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725" yWindow="2235" windowWidth="20355" windowHeight="4845" tabRatio="665"/>
  </bookViews>
  <sheets>
    <sheet name="Part 1" sheetId="1" r:id="rId1"/>
    <sheet name="Part 2" sheetId="6" r:id="rId2"/>
    <sheet name="Part 3" sheetId="31" r:id="rId3"/>
    <sheet name="Part 4" sheetId="33" r:id="rId4"/>
    <sheet name="Part 5" sheetId="23" r:id="rId5"/>
    <sheet name="Data" sheetId="9" state="hidden" r:id="rId6"/>
    <sheet name="Datasheet1" sheetId="29" r:id="rId7"/>
    <sheet name="Datasheet2" sheetId="25" r:id="rId8"/>
    <sheet name="Datasheet3" sheetId="26" r:id="rId9"/>
    <sheet name="Datasheet4" sheetId="34" r:id="rId10"/>
    <sheet name="Datasheet5" sheetId="28" r:id="rId11"/>
    <sheet name="Sheet1" sheetId="35" state="hidden" r:id="rId12"/>
  </sheets>
  <externalReferences>
    <externalReference r:id="rId13"/>
    <externalReference r:id="rId14"/>
    <externalReference r:id="rId15"/>
  </externalReferences>
  <definedNames>
    <definedName name="_xlnm._FilterDatabase" localSheetId="6" hidden="1">Datasheet1!$A$7:$AF$339</definedName>
    <definedName name="_xlnm._FilterDatabase" localSheetId="7" hidden="1">Datasheet2!$A$7:$FK$339</definedName>
    <definedName name="_xlnm._FilterDatabase" localSheetId="8" hidden="1">Datasheet3!$A$6:$EM$338</definedName>
    <definedName name="_xlnm._FilterDatabase" localSheetId="9" hidden="1">Datasheet4!$A$7:$EM$339</definedName>
    <definedName name="_xlnm._FilterDatabase" localSheetId="10" hidden="1">Datasheet5!$A$7:$CD$339</definedName>
    <definedName name="Adur" localSheetId="6">[1]DATA!#REF!</definedName>
    <definedName name="Adur" localSheetId="9">[1]DATA!#REF!</definedName>
    <definedName name="Adur" localSheetId="10">[1]DATA!#REF!</definedName>
    <definedName name="Adur" localSheetId="2">[1]DATA!#REF!</definedName>
    <definedName name="Adur" localSheetId="3">[1]DATA!#REF!</definedName>
    <definedName name="Adur">[1]DATA!#REF!</definedName>
    <definedName name="BRprint1" localSheetId="6">#REF!</definedName>
    <definedName name="BRprint1" localSheetId="9">#REF!</definedName>
    <definedName name="BRprint1" localSheetId="10">#REF!</definedName>
    <definedName name="BRprint1" localSheetId="2">#REF!</definedName>
    <definedName name="BRprint1" localSheetId="3">#REF!</definedName>
    <definedName name="BRprint1">#REF!</definedName>
    <definedName name="BRprint2" localSheetId="6">#REF!</definedName>
    <definedName name="BRprint2" localSheetId="9">#REF!</definedName>
    <definedName name="BRprint2" localSheetId="10">#REF!</definedName>
    <definedName name="BRprint2" localSheetId="2">#REF!</definedName>
    <definedName name="BRprint2" localSheetId="3">#REF!</definedName>
    <definedName name="BRprint2">#REF!</definedName>
    <definedName name="CERDATA" localSheetId="6">'[2]Section A'!#REF!</definedName>
    <definedName name="CERDATA" localSheetId="9">'[2]Section A'!#REF!</definedName>
    <definedName name="CERDATA" localSheetId="10">'[2]Section A'!#REF!</definedName>
    <definedName name="CERDATA" localSheetId="2">'[2]Section A'!#REF!</definedName>
    <definedName name="CERDATA" localSheetId="3">'[2]Section A'!#REF!</definedName>
    <definedName name="CERDATA">'[2]Section A'!#REF!</definedName>
    <definedName name="CONTACT" localSheetId="9">#REF!</definedName>
    <definedName name="CONTACT">#REF!</definedName>
    <definedName name="datar">Data!$A$8:$C$334</definedName>
    <definedName name="detruse" localSheetId="6">#REF!</definedName>
    <definedName name="detruse" localSheetId="9">#REF!</definedName>
    <definedName name="detruse" localSheetId="10">#REF!</definedName>
    <definedName name="detruse" localSheetId="2">#REF!</definedName>
    <definedName name="detruse" localSheetId="3">#REF!</definedName>
    <definedName name="detruse">#REF!</definedName>
    <definedName name="dtlruse" localSheetId="6">#REF!</definedName>
    <definedName name="dtlruse" localSheetId="9">#REF!</definedName>
    <definedName name="dtlruse" localSheetId="10">#REF!</definedName>
    <definedName name="dtlruse" localSheetId="2">#REF!</definedName>
    <definedName name="dtlruse" localSheetId="3">#REF!</definedName>
    <definedName name="dtlruse">#REF!</definedName>
    <definedName name="LAcodes" localSheetId="6">#REF!</definedName>
    <definedName name="LAcodes" localSheetId="9">#REF!</definedName>
    <definedName name="LAcodes" localSheetId="10">#REF!</definedName>
    <definedName name="LAcodes" localSheetId="2">#REF!</definedName>
    <definedName name="LAcodes" localSheetId="3">#REF!</definedName>
    <definedName name="LAcodes">#REF!</definedName>
    <definedName name="LAlist" localSheetId="6">#REF!</definedName>
    <definedName name="LAlist" localSheetId="9">#REF!</definedName>
    <definedName name="LAlist" localSheetId="10">#REF!</definedName>
    <definedName name="LAlist" localSheetId="2">#REF!</definedName>
    <definedName name="LAlist" localSheetId="3">#REF!</definedName>
    <definedName name="LAlist">#REF!</definedName>
    <definedName name="NNDR1" localSheetId="9">#REF!</definedName>
    <definedName name="NNDR1">#REF!</definedName>
    <definedName name="NNDR1S" localSheetId="9">#REF!</definedName>
    <definedName name="NNDR1S">#REF!</definedName>
    <definedName name="numberhered" localSheetId="6">#REF!</definedName>
    <definedName name="numberhered" localSheetId="9">#REF!</definedName>
    <definedName name="numberhered" localSheetId="10">#REF!</definedName>
    <definedName name="numberhered" localSheetId="2">#REF!</definedName>
    <definedName name="numberhered" localSheetId="3">#REF!</definedName>
    <definedName name="numberhered">#REF!</definedName>
    <definedName name="Part1">Datasheet1!$A$8:$U$339</definedName>
    <definedName name="Part2">Datasheet2!$A$8:$AP$339</definedName>
    <definedName name="Part3">Datasheet3!$A$7:$EM$339</definedName>
    <definedName name="Part4">Datasheet4!$A$8:$BI$339</definedName>
    <definedName name="Part5">Datasheet5!$A$8:$CD$339</definedName>
    <definedName name="_xlnm.Print_Area" localSheetId="6">'[2]Section A'!#REF!</definedName>
    <definedName name="_xlnm.Print_Area" localSheetId="9">'[2]Section A'!#REF!</definedName>
    <definedName name="_xlnm.Print_Area" localSheetId="10">'[2]Section A'!#REF!</definedName>
    <definedName name="_xlnm.Print_Area" localSheetId="1">'Part 2'!$A$1:$S$81</definedName>
    <definedName name="_xlnm.Print_Area" localSheetId="2">'Part 3'!$A$1:$Y$134</definedName>
    <definedName name="_xlnm.Print_Area" localSheetId="3">'Part 4'!$A$1:$Y$121</definedName>
    <definedName name="_xlnm.Print_Area" localSheetId="4">'Part 5'!$A$1:$Y$121</definedName>
    <definedName name="_xlnm.Print_Area">'[2]Section A'!#REF!</definedName>
    <definedName name="_xlnm.Print_Titles" localSheetId="5">Data!$1:$7</definedName>
    <definedName name="_xlnm.Print_Titles" localSheetId="0">'Part 1'!$1:$6</definedName>
    <definedName name="_xlnm.Print_Titles" localSheetId="1">'Part 2'!$1:$12</definedName>
    <definedName name="_xlnm.Print_Titles" localSheetId="2">'Part 3'!$1:$12</definedName>
    <definedName name="Table" localSheetId="6">#REF!</definedName>
    <definedName name="Table" localSheetId="9">#REF!</definedName>
    <definedName name="Table" localSheetId="10">#REF!</definedName>
    <definedName name="Table" localSheetId="2">#REF!</definedName>
    <definedName name="Table" localSheetId="3">#REF!</definedName>
    <definedName name="Table">#REF!</definedName>
    <definedName name="table1" localSheetId="6">#REF!</definedName>
    <definedName name="table1" localSheetId="9">#REF!</definedName>
    <definedName name="table1" localSheetId="10">#REF!</definedName>
    <definedName name="table1" localSheetId="2">#REF!</definedName>
    <definedName name="table1" localSheetId="3">#REF!</definedName>
    <definedName name="table1">#REF!</definedName>
    <definedName name="tiersplit" localSheetId="9">#REF!</definedName>
    <definedName name="tiersplit">#REF!</definedName>
    <definedName name="Validation" localSheetId="6">#REF!</definedName>
    <definedName name="Validation" localSheetId="9">#REF!</definedName>
    <definedName name="Validation" localSheetId="10">#REF!</definedName>
    <definedName name="Validation" localSheetId="2">#REF!</definedName>
    <definedName name="Validation" localSheetId="3">#REF!</definedName>
    <definedName name="Validation">#REF!</definedName>
    <definedName name="zzz" localSheetId="6">#REF!</definedName>
    <definedName name="zzz" localSheetId="9">#REF!</definedName>
    <definedName name="zzz" localSheetId="10">#REF!</definedName>
    <definedName name="zzz" localSheetId="2">#REF!</definedName>
    <definedName name="zzz" localSheetId="3">#REF!</definedName>
    <definedName name="zzz">#REF!</definedName>
  </definedNames>
  <calcPr calcId="145621"/>
</workbook>
</file>

<file path=xl/calcChain.xml><?xml version="1.0" encoding="utf-8"?>
<calcChain xmlns="http://schemas.openxmlformats.org/spreadsheetml/2006/main">
  <c r="G335" i="29" l="1"/>
  <c r="H335" i="29"/>
  <c r="I335" i="29"/>
  <c r="J335" i="29"/>
  <c r="K335" i="29"/>
  <c r="L335" i="29"/>
  <c r="M335" i="29"/>
  <c r="N335" i="29"/>
  <c r="O335" i="29"/>
  <c r="P335" i="29"/>
  <c r="Q335" i="29"/>
  <c r="R335" i="29"/>
  <c r="G336" i="29"/>
  <c r="H336" i="29"/>
  <c r="I336" i="29"/>
  <c r="J336" i="29"/>
  <c r="K336" i="29"/>
  <c r="L336" i="29"/>
  <c r="M336" i="29"/>
  <c r="N336" i="29"/>
  <c r="O336" i="29"/>
  <c r="P336" i="29"/>
  <c r="Q336" i="29"/>
  <c r="R336" i="29"/>
  <c r="G337" i="29"/>
  <c r="H337" i="29"/>
  <c r="I337" i="29"/>
  <c r="J337" i="29"/>
  <c r="K337" i="29"/>
  <c r="L337" i="29"/>
  <c r="M337" i="29"/>
  <c r="N337" i="29"/>
  <c r="O337" i="29"/>
  <c r="P337" i="29"/>
  <c r="Q337" i="29"/>
  <c r="R337" i="29"/>
  <c r="G338" i="29"/>
  <c r="H338" i="29"/>
  <c r="I338" i="29"/>
  <c r="J338" i="29"/>
  <c r="K338" i="29"/>
  <c r="L338" i="29"/>
  <c r="M338" i="29"/>
  <c r="N338" i="29"/>
  <c r="O338" i="29"/>
  <c r="P338" i="29"/>
  <c r="Q338" i="29"/>
  <c r="R338" i="29"/>
  <c r="G339" i="29"/>
  <c r="H339" i="29"/>
  <c r="I339" i="29"/>
  <c r="J339" i="29"/>
  <c r="K339" i="29"/>
  <c r="L339" i="29"/>
  <c r="M339" i="29"/>
  <c r="N339" i="29"/>
  <c r="O339" i="29"/>
  <c r="P339" i="29"/>
  <c r="Q339" i="29"/>
  <c r="R339" i="29"/>
  <c r="F336" i="29"/>
  <c r="F337" i="29"/>
  <c r="F338" i="29"/>
  <c r="F339" i="29"/>
  <c r="F335" i="29"/>
  <c r="G334" i="26"/>
  <c r="H334" i="26"/>
  <c r="I334" i="26"/>
  <c r="J334" i="26"/>
  <c r="K334" i="26"/>
  <c r="L334" i="26"/>
  <c r="M334" i="26"/>
  <c r="N334" i="26"/>
  <c r="O334" i="26"/>
  <c r="P334" i="26"/>
  <c r="Q334" i="26"/>
  <c r="R334" i="26"/>
  <c r="S334" i="26"/>
  <c r="T334" i="26"/>
  <c r="U334" i="26"/>
  <c r="V334" i="26"/>
  <c r="W334" i="26"/>
  <c r="X334" i="26"/>
  <c r="Y334" i="26"/>
  <c r="Z334" i="26"/>
  <c r="AA334" i="26"/>
  <c r="AB334" i="26"/>
  <c r="AC334" i="26"/>
  <c r="AD334" i="26"/>
  <c r="AE334" i="26"/>
  <c r="AF334" i="26"/>
  <c r="AG334" i="26"/>
  <c r="AH334" i="26"/>
  <c r="AI334" i="26"/>
  <c r="AJ334" i="26"/>
  <c r="AK334" i="26"/>
  <c r="AL334" i="26"/>
  <c r="AM334" i="26"/>
  <c r="AN334" i="26"/>
  <c r="AO334" i="26"/>
  <c r="AP334" i="26"/>
  <c r="AQ334" i="26"/>
  <c r="AR334" i="26"/>
  <c r="AS334" i="26"/>
  <c r="AT334" i="26"/>
  <c r="AU334" i="26"/>
  <c r="AV334" i="26"/>
  <c r="AW334" i="26"/>
  <c r="AX334" i="26"/>
  <c r="AY334" i="26"/>
  <c r="AZ334" i="26"/>
  <c r="BA334" i="26"/>
  <c r="BB334" i="26"/>
  <c r="BC334" i="26"/>
  <c r="BD334" i="26"/>
  <c r="BE334" i="26"/>
  <c r="BF334" i="26"/>
  <c r="BG334" i="26"/>
  <c r="BH334" i="26"/>
  <c r="BI334" i="26"/>
  <c r="BJ334" i="26"/>
  <c r="BK334" i="26"/>
  <c r="BL334" i="26"/>
  <c r="BM334" i="26"/>
  <c r="BN334" i="26"/>
  <c r="BO334" i="26"/>
  <c r="BP334" i="26"/>
  <c r="BQ334" i="26"/>
  <c r="BR334" i="26"/>
  <c r="BS334" i="26"/>
  <c r="BT334" i="26"/>
  <c r="BU334" i="26"/>
  <c r="BV334" i="26"/>
  <c r="BW334" i="26"/>
  <c r="BX334" i="26"/>
  <c r="BY334" i="26"/>
  <c r="BZ334" i="26"/>
  <c r="CA334" i="26"/>
  <c r="CB334" i="26"/>
  <c r="CC334" i="26"/>
  <c r="CD334" i="26"/>
  <c r="CE334" i="26"/>
  <c r="CF334" i="26"/>
  <c r="CG334" i="26"/>
  <c r="CH334" i="26"/>
  <c r="CI334" i="26"/>
  <c r="CJ334" i="26"/>
  <c r="CK334" i="26"/>
  <c r="CL334" i="26"/>
  <c r="CM334" i="26"/>
  <c r="CN334" i="26"/>
  <c r="CO334" i="26"/>
  <c r="CP334" i="26"/>
  <c r="CQ334" i="26"/>
  <c r="CR334" i="26"/>
  <c r="CS334" i="26"/>
  <c r="CT334" i="26"/>
  <c r="CU334" i="26"/>
  <c r="CV334" i="26"/>
  <c r="CW334" i="26"/>
  <c r="CX334" i="26"/>
  <c r="CY334" i="26"/>
  <c r="CZ334" i="26"/>
  <c r="DA334" i="26"/>
  <c r="DB334" i="26"/>
  <c r="DC334" i="26"/>
  <c r="DD334" i="26"/>
  <c r="DE334" i="26"/>
  <c r="DF334" i="26"/>
  <c r="DG334" i="26"/>
  <c r="DH334" i="26"/>
  <c r="DI334" i="26"/>
  <c r="DJ334" i="26"/>
  <c r="DK334" i="26"/>
  <c r="DL334" i="26"/>
  <c r="DM334" i="26"/>
  <c r="DN334" i="26"/>
  <c r="DO334" i="26"/>
  <c r="DP334" i="26"/>
  <c r="DQ334" i="26"/>
  <c r="DR334" i="26"/>
  <c r="DS334" i="26"/>
  <c r="DT334" i="26"/>
  <c r="DU334" i="26"/>
  <c r="DV334" i="26"/>
  <c r="DW334" i="26"/>
  <c r="DX334" i="26"/>
  <c r="DY334" i="26"/>
  <c r="DZ334" i="26"/>
  <c r="EA334" i="26"/>
  <c r="EB334" i="26"/>
  <c r="EC334" i="26"/>
  <c r="ED334" i="26"/>
  <c r="EE334" i="26"/>
  <c r="EF334" i="26"/>
  <c r="EG334" i="26"/>
  <c r="EH334" i="26"/>
  <c r="EI334" i="26"/>
  <c r="EJ334" i="26"/>
  <c r="EK334" i="26"/>
  <c r="EL334" i="26"/>
  <c r="EM334" i="26"/>
  <c r="G335" i="26"/>
  <c r="H335" i="26"/>
  <c r="I335" i="26"/>
  <c r="J335" i="26"/>
  <c r="K335" i="26"/>
  <c r="L335" i="26"/>
  <c r="M335" i="26"/>
  <c r="N335" i="26"/>
  <c r="O335" i="26"/>
  <c r="P335" i="26"/>
  <c r="Q335" i="26"/>
  <c r="R335" i="26"/>
  <c r="S335" i="26"/>
  <c r="T335" i="26"/>
  <c r="U335" i="26"/>
  <c r="V335" i="26"/>
  <c r="W335" i="26"/>
  <c r="X335" i="26"/>
  <c r="Y335" i="26"/>
  <c r="Z335" i="26"/>
  <c r="AA335" i="26"/>
  <c r="AB335" i="26"/>
  <c r="AC335" i="26"/>
  <c r="AD335" i="26"/>
  <c r="AE335" i="26"/>
  <c r="AF335" i="26"/>
  <c r="AG335" i="26"/>
  <c r="AH335" i="26"/>
  <c r="AI335" i="26"/>
  <c r="AJ335" i="26"/>
  <c r="AK335" i="26"/>
  <c r="AL335" i="26"/>
  <c r="AM335" i="26"/>
  <c r="AN335" i="26"/>
  <c r="AO335" i="26"/>
  <c r="AP335" i="26"/>
  <c r="AQ335" i="26"/>
  <c r="AR335" i="26"/>
  <c r="AS335" i="26"/>
  <c r="AT335" i="26"/>
  <c r="AU335" i="26"/>
  <c r="AV335" i="26"/>
  <c r="AW335" i="26"/>
  <c r="AX335" i="26"/>
  <c r="AY335" i="26"/>
  <c r="AZ335" i="26"/>
  <c r="BA335" i="26"/>
  <c r="BB335" i="26"/>
  <c r="BC335" i="26"/>
  <c r="BD335" i="26"/>
  <c r="BE335" i="26"/>
  <c r="BF335" i="26"/>
  <c r="BG335" i="26"/>
  <c r="BH335" i="26"/>
  <c r="BI335" i="26"/>
  <c r="BJ335" i="26"/>
  <c r="BK335" i="26"/>
  <c r="BL335" i="26"/>
  <c r="BM335" i="26"/>
  <c r="BN335" i="26"/>
  <c r="BO335" i="26"/>
  <c r="BP335" i="26"/>
  <c r="BQ335" i="26"/>
  <c r="BR335" i="26"/>
  <c r="BS335" i="26"/>
  <c r="BT335" i="26"/>
  <c r="BU335" i="26"/>
  <c r="BV335" i="26"/>
  <c r="BW335" i="26"/>
  <c r="BX335" i="26"/>
  <c r="BY335" i="26"/>
  <c r="BZ335" i="26"/>
  <c r="CA335" i="26"/>
  <c r="CB335" i="26"/>
  <c r="CC335" i="26"/>
  <c r="CD335" i="26"/>
  <c r="CE335" i="26"/>
  <c r="CF335" i="26"/>
  <c r="CG335" i="26"/>
  <c r="CH335" i="26"/>
  <c r="CI335" i="26"/>
  <c r="CJ335" i="26"/>
  <c r="CK335" i="26"/>
  <c r="CL335" i="26"/>
  <c r="CM335" i="26"/>
  <c r="CN335" i="26"/>
  <c r="CO335" i="26"/>
  <c r="CP335" i="26"/>
  <c r="CQ335" i="26"/>
  <c r="CR335" i="26"/>
  <c r="CS335" i="26"/>
  <c r="CT335" i="26"/>
  <c r="CU335" i="26"/>
  <c r="CV335" i="26"/>
  <c r="CW335" i="26"/>
  <c r="CX335" i="26"/>
  <c r="CY335" i="26"/>
  <c r="CZ335" i="26"/>
  <c r="DA335" i="26"/>
  <c r="DB335" i="26"/>
  <c r="DC335" i="26"/>
  <c r="DD335" i="26"/>
  <c r="DE335" i="26"/>
  <c r="DF335" i="26"/>
  <c r="DG335" i="26"/>
  <c r="DH335" i="26"/>
  <c r="DI335" i="26"/>
  <c r="DJ335" i="26"/>
  <c r="DK335" i="26"/>
  <c r="DL335" i="26"/>
  <c r="DM335" i="26"/>
  <c r="DN335" i="26"/>
  <c r="DO335" i="26"/>
  <c r="DP335" i="26"/>
  <c r="DQ335" i="26"/>
  <c r="DR335" i="26"/>
  <c r="DS335" i="26"/>
  <c r="DT335" i="26"/>
  <c r="DU335" i="26"/>
  <c r="DV335" i="26"/>
  <c r="DW335" i="26"/>
  <c r="DX335" i="26"/>
  <c r="DY335" i="26"/>
  <c r="DZ335" i="26"/>
  <c r="EA335" i="26"/>
  <c r="EB335" i="26"/>
  <c r="EC335" i="26"/>
  <c r="ED335" i="26"/>
  <c r="EE335" i="26"/>
  <c r="EF335" i="26"/>
  <c r="EG335" i="26"/>
  <c r="EH335" i="26"/>
  <c r="EI335" i="26"/>
  <c r="EJ335" i="26"/>
  <c r="EK335" i="26"/>
  <c r="EL335" i="26"/>
  <c r="EM335" i="26"/>
  <c r="G336" i="26"/>
  <c r="H336" i="26"/>
  <c r="I336" i="26"/>
  <c r="J336" i="26"/>
  <c r="K336" i="26"/>
  <c r="L336" i="26"/>
  <c r="M336" i="26"/>
  <c r="N336" i="26"/>
  <c r="O336" i="26"/>
  <c r="P336" i="26"/>
  <c r="Q336" i="26"/>
  <c r="R336" i="26"/>
  <c r="S336" i="26"/>
  <c r="T336" i="26"/>
  <c r="U336" i="26"/>
  <c r="V336" i="26"/>
  <c r="W336" i="26"/>
  <c r="X336" i="26"/>
  <c r="Y336" i="26"/>
  <c r="Z336" i="26"/>
  <c r="AA336" i="26"/>
  <c r="AB336" i="26"/>
  <c r="AC336" i="26"/>
  <c r="AD336" i="26"/>
  <c r="AE336" i="26"/>
  <c r="AF336" i="26"/>
  <c r="AG336" i="26"/>
  <c r="AH336" i="26"/>
  <c r="AI336" i="26"/>
  <c r="AJ336" i="26"/>
  <c r="AK336" i="26"/>
  <c r="AL336" i="26"/>
  <c r="AM336" i="26"/>
  <c r="AN336" i="26"/>
  <c r="AO336" i="26"/>
  <c r="AP336" i="26"/>
  <c r="AQ336" i="26"/>
  <c r="AR336" i="26"/>
  <c r="AS336" i="26"/>
  <c r="AT336" i="26"/>
  <c r="AU336" i="26"/>
  <c r="AV336" i="26"/>
  <c r="AW336" i="26"/>
  <c r="AX336" i="26"/>
  <c r="AY336" i="26"/>
  <c r="AZ336" i="26"/>
  <c r="BA336" i="26"/>
  <c r="BB336" i="26"/>
  <c r="BC336" i="26"/>
  <c r="BD336" i="26"/>
  <c r="BE336" i="26"/>
  <c r="BF336" i="26"/>
  <c r="BG336" i="26"/>
  <c r="BH336" i="26"/>
  <c r="BI336" i="26"/>
  <c r="BJ336" i="26"/>
  <c r="BK336" i="26"/>
  <c r="BL336" i="26"/>
  <c r="BM336" i="26"/>
  <c r="BN336" i="26"/>
  <c r="BO336" i="26"/>
  <c r="BP336" i="26"/>
  <c r="BQ336" i="26"/>
  <c r="BR336" i="26"/>
  <c r="BS336" i="26"/>
  <c r="BT336" i="26"/>
  <c r="BU336" i="26"/>
  <c r="BV336" i="26"/>
  <c r="BW336" i="26"/>
  <c r="BX336" i="26"/>
  <c r="BY336" i="26"/>
  <c r="BZ336" i="26"/>
  <c r="CA336" i="26"/>
  <c r="CB336" i="26"/>
  <c r="CC336" i="26"/>
  <c r="CD336" i="26"/>
  <c r="CE336" i="26"/>
  <c r="CF336" i="26"/>
  <c r="CG336" i="26"/>
  <c r="CH336" i="26"/>
  <c r="CI336" i="26"/>
  <c r="CJ336" i="26"/>
  <c r="CK336" i="26"/>
  <c r="CL336" i="26"/>
  <c r="CM336" i="26"/>
  <c r="CN336" i="26"/>
  <c r="CO336" i="26"/>
  <c r="CP336" i="26"/>
  <c r="CQ336" i="26"/>
  <c r="CR336" i="26"/>
  <c r="CS336" i="26"/>
  <c r="CT336" i="26"/>
  <c r="CU336" i="26"/>
  <c r="CV336" i="26"/>
  <c r="CW336" i="26"/>
  <c r="CX336" i="26"/>
  <c r="CY336" i="26"/>
  <c r="CZ336" i="26"/>
  <c r="DA336" i="26"/>
  <c r="DB336" i="26"/>
  <c r="DC336" i="26"/>
  <c r="DD336" i="26"/>
  <c r="DE336" i="26"/>
  <c r="DF336" i="26"/>
  <c r="DG336" i="26"/>
  <c r="DH336" i="26"/>
  <c r="DI336" i="26"/>
  <c r="DJ336" i="26"/>
  <c r="DK336" i="26"/>
  <c r="DL336" i="26"/>
  <c r="DM336" i="26"/>
  <c r="DN336" i="26"/>
  <c r="DO336" i="26"/>
  <c r="DP336" i="26"/>
  <c r="DQ336" i="26"/>
  <c r="DR336" i="26"/>
  <c r="DS336" i="26"/>
  <c r="DT336" i="26"/>
  <c r="DU336" i="26"/>
  <c r="DV336" i="26"/>
  <c r="DW336" i="26"/>
  <c r="DX336" i="26"/>
  <c r="DY336" i="26"/>
  <c r="DZ336" i="26"/>
  <c r="EA336" i="26"/>
  <c r="EB336" i="26"/>
  <c r="EC336" i="26"/>
  <c r="ED336" i="26"/>
  <c r="EE336" i="26"/>
  <c r="EF336" i="26"/>
  <c r="EG336" i="26"/>
  <c r="EH336" i="26"/>
  <c r="EI336" i="26"/>
  <c r="EJ336" i="26"/>
  <c r="EK336" i="26"/>
  <c r="EL336" i="26"/>
  <c r="EM336" i="26"/>
  <c r="G337" i="26"/>
  <c r="H337" i="26"/>
  <c r="I337" i="26"/>
  <c r="J337" i="26"/>
  <c r="K337" i="26"/>
  <c r="L337" i="26"/>
  <c r="M337" i="26"/>
  <c r="N337" i="26"/>
  <c r="O337" i="26"/>
  <c r="P337" i="26"/>
  <c r="Q337" i="26"/>
  <c r="R337" i="26"/>
  <c r="S337" i="26"/>
  <c r="T337" i="26"/>
  <c r="U337" i="26"/>
  <c r="V337" i="26"/>
  <c r="W337" i="26"/>
  <c r="X337" i="26"/>
  <c r="Y337" i="26"/>
  <c r="Z337" i="26"/>
  <c r="AA337" i="26"/>
  <c r="AB337" i="26"/>
  <c r="AC337" i="26"/>
  <c r="AD337" i="26"/>
  <c r="AE337" i="26"/>
  <c r="AF337" i="26"/>
  <c r="AG337" i="26"/>
  <c r="AH337" i="26"/>
  <c r="AI337" i="26"/>
  <c r="AJ337" i="26"/>
  <c r="AK337" i="26"/>
  <c r="AL337" i="26"/>
  <c r="AM337" i="26"/>
  <c r="AN337" i="26"/>
  <c r="AO337" i="26"/>
  <c r="AP337" i="26"/>
  <c r="AQ337" i="26"/>
  <c r="AR337" i="26"/>
  <c r="AS337" i="26"/>
  <c r="AT337" i="26"/>
  <c r="AU337" i="26"/>
  <c r="AV337" i="26"/>
  <c r="AW337" i="26"/>
  <c r="AX337" i="26"/>
  <c r="AY337" i="26"/>
  <c r="AZ337" i="26"/>
  <c r="BA337" i="26"/>
  <c r="BB337" i="26"/>
  <c r="BC337" i="26"/>
  <c r="BD337" i="26"/>
  <c r="BE337" i="26"/>
  <c r="BF337" i="26"/>
  <c r="BG337" i="26"/>
  <c r="BH337" i="26"/>
  <c r="BI337" i="26"/>
  <c r="BJ337" i="26"/>
  <c r="BK337" i="26"/>
  <c r="BL337" i="26"/>
  <c r="BM337" i="26"/>
  <c r="BN337" i="26"/>
  <c r="BO337" i="26"/>
  <c r="BP337" i="26"/>
  <c r="BQ337" i="26"/>
  <c r="BR337" i="26"/>
  <c r="BS337" i="26"/>
  <c r="BT337" i="26"/>
  <c r="BU337" i="26"/>
  <c r="BV337" i="26"/>
  <c r="BW337" i="26"/>
  <c r="BX337" i="26"/>
  <c r="BY337" i="26"/>
  <c r="BZ337" i="26"/>
  <c r="CA337" i="26"/>
  <c r="CB337" i="26"/>
  <c r="CC337" i="26"/>
  <c r="CD337" i="26"/>
  <c r="CE337" i="26"/>
  <c r="CF337" i="26"/>
  <c r="CG337" i="26"/>
  <c r="CH337" i="26"/>
  <c r="CI337" i="26"/>
  <c r="CJ337" i="26"/>
  <c r="CK337" i="26"/>
  <c r="CL337" i="26"/>
  <c r="CM337" i="26"/>
  <c r="CN337" i="26"/>
  <c r="CO337" i="26"/>
  <c r="CP337" i="26"/>
  <c r="CQ337" i="26"/>
  <c r="CR337" i="26"/>
  <c r="CS337" i="26"/>
  <c r="CT337" i="26"/>
  <c r="CU337" i="26"/>
  <c r="CV337" i="26"/>
  <c r="CW337" i="26"/>
  <c r="CX337" i="26"/>
  <c r="CY337" i="26"/>
  <c r="CZ337" i="26"/>
  <c r="DA337" i="26"/>
  <c r="DB337" i="26"/>
  <c r="DC337" i="26"/>
  <c r="DD337" i="26"/>
  <c r="DE337" i="26"/>
  <c r="DF337" i="26"/>
  <c r="DG337" i="26"/>
  <c r="DH337" i="26"/>
  <c r="DI337" i="26"/>
  <c r="DJ337" i="26"/>
  <c r="DK337" i="26"/>
  <c r="DL337" i="26"/>
  <c r="DM337" i="26"/>
  <c r="DN337" i="26"/>
  <c r="DO337" i="26"/>
  <c r="DP337" i="26"/>
  <c r="DQ337" i="26"/>
  <c r="DR337" i="26"/>
  <c r="DS337" i="26"/>
  <c r="DT337" i="26"/>
  <c r="DU337" i="26"/>
  <c r="DV337" i="26"/>
  <c r="DW337" i="26"/>
  <c r="DX337" i="26"/>
  <c r="DY337" i="26"/>
  <c r="DZ337" i="26"/>
  <c r="EA337" i="26"/>
  <c r="EB337" i="26"/>
  <c r="EC337" i="26"/>
  <c r="ED337" i="26"/>
  <c r="EE337" i="26"/>
  <c r="EF337" i="26"/>
  <c r="EG337" i="26"/>
  <c r="EH337" i="26"/>
  <c r="EI337" i="26"/>
  <c r="EJ337" i="26"/>
  <c r="EK337" i="26"/>
  <c r="EL337" i="26"/>
  <c r="EM337" i="26"/>
  <c r="G338" i="26"/>
  <c r="H338" i="26"/>
  <c r="I338" i="26"/>
  <c r="J338" i="26"/>
  <c r="K338" i="26"/>
  <c r="L338" i="26"/>
  <c r="M338" i="26"/>
  <c r="N338" i="26"/>
  <c r="O338" i="26"/>
  <c r="P338" i="26"/>
  <c r="Q338" i="26"/>
  <c r="R338" i="26"/>
  <c r="S338" i="26"/>
  <c r="T338" i="26"/>
  <c r="U338" i="26"/>
  <c r="V338" i="26"/>
  <c r="W338" i="26"/>
  <c r="X338" i="26"/>
  <c r="Y338" i="26"/>
  <c r="Z338" i="26"/>
  <c r="AA338" i="26"/>
  <c r="AB338" i="26"/>
  <c r="AC338" i="26"/>
  <c r="AD338" i="26"/>
  <c r="AE338" i="26"/>
  <c r="AF338" i="26"/>
  <c r="AG338" i="26"/>
  <c r="AH338" i="26"/>
  <c r="AI338" i="26"/>
  <c r="AJ338" i="26"/>
  <c r="AK338" i="26"/>
  <c r="AL338" i="26"/>
  <c r="AM338" i="26"/>
  <c r="AN338" i="26"/>
  <c r="AO338" i="26"/>
  <c r="AP338" i="26"/>
  <c r="AQ338" i="26"/>
  <c r="AR338" i="26"/>
  <c r="AS338" i="26"/>
  <c r="AT338" i="26"/>
  <c r="AU338" i="26"/>
  <c r="AV338" i="26"/>
  <c r="AW338" i="26"/>
  <c r="AX338" i="26"/>
  <c r="AY338" i="26"/>
  <c r="AZ338" i="26"/>
  <c r="BA338" i="26"/>
  <c r="BB338" i="26"/>
  <c r="BC338" i="26"/>
  <c r="BD338" i="26"/>
  <c r="BE338" i="26"/>
  <c r="BF338" i="26"/>
  <c r="BG338" i="26"/>
  <c r="BH338" i="26"/>
  <c r="BI338" i="26"/>
  <c r="BJ338" i="26"/>
  <c r="BK338" i="26"/>
  <c r="BL338" i="26"/>
  <c r="BM338" i="26"/>
  <c r="BN338" i="26"/>
  <c r="BO338" i="26"/>
  <c r="BP338" i="26"/>
  <c r="BQ338" i="26"/>
  <c r="BR338" i="26"/>
  <c r="BS338" i="26"/>
  <c r="BT338" i="26"/>
  <c r="BU338" i="26"/>
  <c r="BV338" i="26"/>
  <c r="BW338" i="26"/>
  <c r="BX338" i="26"/>
  <c r="BY338" i="26"/>
  <c r="BZ338" i="26"/>
  <c r="CA338" i="26"/>
  <c r="CB338" i="26"/>
  <c r="CC338" i="26"/>
  <c r="CD338" i="26"/>
  <c r="CE338" i="26"/>
  <c r="CF338" i="26"/>
  <c r="CG338" i="26"/>
  <c r="CH338" i="26"/>
  <c r="CI338" i="26"/>
  <c r="CJ338" i="26"/>
  <c r="CK338" i="26"/>
  <c r="CL338" i="26"/>
  <c r="CM338" i="26"/>
  <c r="CN338" i="26"/>
  <c r="CO338" i="26"/>
  <c r="CP338" i="26"/>
  <c r="CQ338" i="26"/>
  <c r="CR338" i="26"/>
  <c r="CS338" i="26"/>
  <c r="CT338" i="26"/>
  <c r="CU338" i="26"/>
  <c r="CV338" i="26"/>
  <c r="CW338" i="26"/>
  <c r="CX338" i="26"/>
  <c r="CY338" i="26"/>
  <c r="CZ338" i="26"/>
  <c r="DA338" i="26"/>
  <c r="DB338" i="26"/>
  <c r="DC338" i="26"/>
  <c r="DD338" i="26"/>
  <c r="DE338" i="26"/>
  <c r="DF338" i="26"/>
  <c r="DG338" i="26"/>
  <c r="DH338" i="26"/>
  <c r="DI338" i="26"/>
  <c r="DJ338" i="26"/>
  <c r="DK338" i="26"/>
  <c r="DL338" i="26"/>
  <c r="DM338" i="26"/>
  <c r="DN338" i="26"/>
  <c r="DO338" i="26"/>
  <c r="DP338" i="26"/>
  <c r="DQ338" i="26"/>
  <c r="DR338" i="26"/>
  <c r="DS338" i="26"/>
  <c r="DT338" i="26"/>
  <c r="DU338" i="26"/>
  <c r="DV338" i="26"/>
  <c r="DW338" i="26"/>
  <c r="DX338" i="26"/>
  <c r="DY338" i="26"/>
  <c r="DZ338" i="26"/>
  <c r="EA338" i="26"/>
  <c r="EB338" i="26"/>
  <c r="EC338" i="26"/>
  <c r="ED338" i="26"/>
  <c r="EE338" i="26"/>
  <c r="EF338" i="26"/>
  <c r="EG338" i="26"/>
  <c r="EH338" i="26"/>
  <c r="EI338" i="26"/>
  <c r="EJ338" i="26"/>
  <c r="EK338" i="26"/>
  <c r="EL338" i="26"/>
  <c r="EM338" i="26"/>
  <c r="F335" i="26"/>
  <c r="F336" i="26"/>
  <c r="F337" i="26"/>
  <c r="F338" i="26"/>
  <c r="F334" i="26"/>
  <c r="BF334" i="28"/>
  <c r="G335" i="28"/>
  <c r="H335" i="28"/>
  <c r="I335" i="28"/>
  <c r="J335" i="28"/>
  <c r="K335" i="28"/>
  <c r="L335" i="28"/>
  <c r="M335" i="28"/>
  <c r="N335" i="28"/>
  <c r="O335" i="28"/>
  <c r="P335" i="28"/>
  <c r="Q335" i="28"/>
  <c r="R335" i="28"/>
  <c r="S335" i="28"/>
  <c r="T335" i="28"/>
  <c r="U335" i="28"/>
  <c r="V335" i="28"/>
  <c r="W335" i="28"/>
  <c r="X335" i="28"/>
  <c r="Y335" i="28"/>
  <c r="Z335" i="28"/>
  <c r="AA335" i="28"/>
  <c r="AB335" i="28"/>
  <c r="AC335" i="28"/>
  <c r="AD335" i="28"/>
  <c r="AE335" i="28"/>
  <c r="AF335" i="28"/>
  <c r="AG335" i="28"/>
  <c r="AH335" i="28"/>
  <c r="AI335" i="28"/>
  <c r="AJ335" i="28"/>
  <c r="AK335" i="28"/>
  <c r="AL335" i="28"/>
  <c r="AM335" i="28"/>
  <c r="AN335" i="28"/>
  <c r="AO335" i="28"/>
  <c r="AP335" i="28"/>
  <c r="AQ335" i="28"/>
  <c r="AR335" i="28"/>
  <c r="AS335" i="28"/>
  <c r="AT335" i="28"/>
  <c r="AU335" i="28"/>
  <c r="AV335" i="28"/>
  <c r="AW335" i="28"/>
  <c r="AX335" i="28"/>
  <c r="AY335" i="28"/>
  <c r="AZ335" i="28"/>
  <c r="BA335" i="28"/>
  <c r="BB335" i="28"/>
  <c r="BC335" i="28"/>
  <c r="BD335" i="28"/>
  <c r="BE335" i="28"/>
  <c r="BF335" i="28"/>
  <c r="BG335" i="28"/>
  <c r="BH335" i="28"/>
  <c r="BI335" i="28"/>
  <c r="BJ335" i="28"/>
  <c r="BK335" i="28"/>
  <c r="BL335" i="28"/>
  <c r="BM335" i="28"/>
  <c r="BN335" i="28"/>
  <c r="BO335" i="28"/>
  <c r="BP335" i="28"/>
  <c r="BQ335" i="28"/>
  <c r="BR335" i="28"/>
  <c r="BS335" i="28"/>
  <c r="BT335" i="28"/>
  <c r="BU335" i="28"/>
  <c r="BV335" i="28"/>
  <c r="BW335" i="28"/>
  <c r="BX335" i="28"/>
  <c r="BY335" i="28"/>
  <c r="BZ335" i="28"/>
  <c r="CA335" i="28"/>
  <c r="CB335" i="28"/>
  <c r="CC335" i="28"/>
  <c r="CD335" i="28"/>
  <c r="G336" i="28"/>
  <c r="H336" i="28"/>
  <c r="I336" i="28"/>
  <c r="J336" i="28"/>
  <c r="K336" i="28"/>
  <c r="L336" i="28"/>
  <c r="M336" i="28"/>
  <c r="N336" i="28"/>
  <c r="O336" i="28"/>
  <c r="P336" i="28"/>
  <c r="Q336" i="28"/>
  <c r="R336" i="28"/>
  <c r="S336" i="28"/>
  <c r="T336" i="28"/>
  <c r="U336" i="28"/>
  <c r="V336" i="28"/>
  <c r="W336" i="28"/>
  <c r="X336" i="28"/>
  <c r="Y336" i="28"/>
  <c r="Z336" i="28"/>
  <c r="AA336" i="28"/>
  <c r="AB336" i="28"/>
  <c r="AC336" i="28"/>
  <c r="AD336" i="28"/>
  <c r="AE336" i="28"/>
  <c r="AF336" i="28"/>
  <c r="AG336" i="28"/>
  <c r="AH336" i="28"/>
  <c r="AI336" i="28"/>
  <c r="AJ336" i="28"/>
  <c r="AK336" i="28"/>
  <c r="AL336" i="28"/>
  <c r="AM336" i="28"/>
  <c r="AN336" i="28"/>
  <c r="AO336" i="28"/>
  <c r="AP336" i="28"/>
  <c r="AQ336" i="28"/>
  <c r="AR336" i="28"/>
  <c r="AS336" i="28"/>
  <c r="AT336" i="28"/>
  <c r="AU336" i="28"/>
  <c r="AV336" i="28"/>
  <c r="AW336" i="28"/>
  <c r="AX336" i="28"/>
  <c r="AY336" i="28"/>
  <c r="AZ336" i="28"/>
  <c r="BA336" i="28"/>
  <c r="BB336" i="28"/>
  <c r="BC336" i="28"/>
  <c r="BD336" i="28"/>
  <c r="BE336" i="28"/>
  <c r="BF336" i="28"/>
  <c r="BG336" i="28"/>
  <c r="BH336" i="28"/>
  <c r="BI336" i="28"/>
  <c r="BJ336" i="28"/>
  <c r="BK336" i="28"/>
  <c r="BL336" i="28"/>
  <c r="BM336" i="28"/>
  <c r="BN336" i="28"/>
  <c r="BO336" i="28"/>
  <c r="BP336" i="28"/>
  <c r="BQ336" i="28"/>
  <c r="BR336" i="28"/>
  <c r="BS336" i="28"/>
  <c r="BT336" i="28"/>
  <c r="BU336" i="28"/>
  <c r="BV336" i="28"/>
  <c r="BW336" i="28"/>
  <c r="BX336" i="28"/>
  <c r="BY336" i="28"/>
  <c r="BZ336" i="28"/>
  <c r="CA336" i="28"/>
  <c r="CB336" i="28"/>
  <c r="CC336" i="28"/>
  <c r="CD336" i="28"/>
  <c r="G337" i="28"/>
  <c r="H337" i="28"/>
  <c r="I337" i="28"/>
  <c r="J337" i="28"/>
  <c r="K337" i="28"/>
  <c r="L337" i="28"/>
  <c r="M337" i="28"/>
  <c r="N337" i="28"/>
  <c r="O337" i="28"/>
  <c r="P337" i="28"/>
  <c r="Q337" i="28"/>
  <c r="R337" i="28"/>
  <c r="S337" i="28"/>
  <c r="T337" i="28"/>
  <c r="U337" i="28"/>
  <c r="V337" i="28"/>
  <c r="W337" i="28"/>
  <c r="X337" i="28"/>
  <c r="Y337" i="28"/>
  <c r="Z337" i="28"/>
  <c r="AA337" i="28"/>
  <c r="AB337" i="28"/>
  <c r="AC337" i="28"/>
  <c r="AD337" i="28"/>
  <c r="AE337" i="28"/>
  <c r="AF337" i="28"/>
  <c r="AG337" i="28"/>
  <c r="AH337" i="28"/>
  <c r="AI337" i="28"/>
  <c r="AJ337" i="28"/>
  <c r="AK337" i="28"/>
  <c r="AL337" i="28"/>
  <c r="AM337" i="28"/>
  <c r="AN337" i="28"/>
  <c r="AO337" i="28"/>
  <c r="AP337" i="28"/>
  <c r="AQ337" i="28"/>
  <c r="AR337" i="28"/>
  <c r="AS337" i="28"/>
  <c r="AT337" i="28"/>
  <c r="AU337" i="28"/>
  <c r="AV337" i="28"/>
  <c r="AW337" i="28"/>
  <c r="AX337" i="28"/>
  <c r="AY337" i="28"/>
  <c r="AZ337" i="28"/>
  <c r="BA337" i="28"/>
  <c r="BB337" i="28"/>
  <c r="BC337" i="28"/>
  <c r="BD337" i="28"/>
  <c r="BE337" i="28"/>
  <c r="BF337" i="28"/>
  <c r="BG337" i="28"/>
  <c r="BH337" i="28"/>
  <c r="BI337" i="28"/>
  <c r="BJ337" i="28"/>
  <c r="BK337" i="28"/>
  <c r="BL337" i="28"/>
  <c r="BM337" i="28"/>
  <c r="BN337" i="28"/>
  <c r="BO337" i="28"/>
  <c r="BP337" i="28"/>
  <c r="BQ337" i="28"/>
  <c r="BR337" i="28"/>
  <c r="BS337" i="28"/>
  <c r="BT337" i="28"/>
  <c r="BU337" i="28"/>
  <c r="BV337" i="28"/>
  <c r="BW337" i="28"/>
  <c r="BX337" i="28"/>
  <c r="BY337" i="28"/>
  <c r="BZ337" i="28"/>
  <c r="CA337" i="28"/>
  <c r="CB337" i="28"/>
  <c r="CC337" i="28"/>
  <c r="CD337" i="28"/>
  <c r="G338" i="28"/>
  <c r="H338" i="28"/>
  <c r="I338" i="28"/>
  <c r="J338" i="28"/>
  <c r="K338" i="28"/>
  <c r="L338" i="28"/>
  <c r="M338" i="28"/>
  <c r="N338" i="28"/>
  <c r="O338" i="28"/>
  <c r="P338" i="28"/>
  <c r="Q338" i="28"/>
  <c r="R338" i="28"/>
  <c r="S338" i="28"/>
  <c r="T338" i="28"/>
  <c r="U338" i="28"/>
  <c r="V338" i="28"/>
  <c r="W338" i="28"/>
  <c r="X338" i="28"/>
  <c r="Y338" i="28"/>
  <c r="Z338" i="28"/>
  <c r="AA338" i="28"/>
  <c r="AB338" i="28"/>
  <c r="AC338" i="28"/>
  <c r="AD338" i="28"/>
  <c r="AE338" i="28"/>
  <c r="AF338" i="28"/>
  <c r="AG338" i="28"/>
  <c r="AH338" i="28"/>
  <c r="AI338" i="28"/>
  <c r="AJ338" i="28"/>
  <c r="AK338" i="28"/>
  <c r="AL338" i="28"/>
  <c r="AM338" i="28"/>
  <c r="AN338" i="28"/>
  <c r="AO338" i="28"/>
  <c r="AP338" i="28"/>
  <c r="AQ338" i="28"/>
  <c r="AR338" i="28"/>
  <c r="AS338" i="28"/>
  <c r="AT338" i="28"/>
  <c r="AU338" i="28"/>
  <c r="AV338" i="28"/>
  <c r="AW338" i="28"/>
  <c r="AX338" i="28"/>
  <c r="AY338" i="28"/>
  <c r="AZ338" i="28"/>
  <c r="BA338" i="28"/>
  <c r="BB338" i="28"/>
  <c r="BC338" i="28"/>
  <c r="BD338" i="28"/>
  <c r="BE338" i="28"/>
  <c r="BF338" i="28"/>
  <c r="BG338" i="28"/>
  <c r="BH338" i="28"/>
  <c r="BI338" i="28"/>
  <c r="BJ338" i="28"/>
  <c r="BK338" i="28"/>
  <c r="BL338" i="28"/>
  <c r="BM338" i="28"/>
  <c r="BN338" i="28"/>
  <c r="BO338" i="28"/>
  <c r="BP338" i="28"/>
  <c r="BQ338" i="28"/>
  <c r="BR338" i="28"/>
  <c r="BS338" i="28"/>
  <c r="BT338" i="28"/>
  <c r="BU338" i="28"/>
  <c r="BV338" i="28"/>
  <c r="BW338" i="28"/>
  <c r="BX338" i="28"/>
  <c r="BY338" i="28"/>
  <c r="BZ338" i="28"/>
  <c r="CA338" i="28"/>
  <c r="CB338" i="28"/>
  <c r="CC338" i="28"/>
  <c r="CD338" i="28"/>
  <c r="G339" i="28"/>
  <c r="H339" i="28"/>
  <c r="I339" i="28"/>
  <c r="J339" i="28"/>
  <c r="K339" i="28"/>
  <c r="L339" i="28"/>
  <c r="M339" i="28"/>
  <c r="N339" i="28"/>
  <c r="O339" i="28"/>
  <c r="P339" i="28"/>
  <c r="Q339" i="28"/>
  <c r="R339" i="28"/>
  <c r="S339" i="28"/>
  <c r="T339" i="28"/>
  <c r="U339" i="28"/>
  <c r="V339" i="28"/>
  <c r="W339" i="28"/>
  <c r="X339" i="28"/>
  <c r="Y339" i="28"/>
  <c r="Z339" i="28"/>
  <c r="AA339" i="28"/>
  <c r="AB339" i="28"/>
  <c r="AC339" i="28"/>
  <c r="AD339" i="28"/>
  <c r="AE339" i="28"/>
  <c r="AF339" i="28"/>
  <c r="AG339" i="28"/>
  <c r="AH339" i="28"/>
  <c r="AI339" i="28"/>
  <c r="AJ339" i="28"/>
  <c r="AK339" i="28"/>
  <c r="AL339" i="28"/>
  <c r="AM339" i="28"/>
  <c r="AN339" i="28"/>
  <c r="AO339" i="28"/>
  <c r="AP339" i="28"/>
  <c r="AQ339" i="28"/>
  <c r="AR339" i="28"/>
  <c r="AS339" i="28"/>
  <c r="AT339" i="28"/>
  <c r="AU339" i="28"/>
  <c r="AV339" i="28"/>
  <c r="AW339" i="28"/>
  <c r="AX339" i="28"/>
  <c r="AY339" i="28"/>
  <c r="AZ339" i="28"/>
  <c r="BA339" i="28"/>
  <c r="BB339" i="28"/>
  <c r="BC339" i="28"/>
  <c r="BD339" i="28"/>
  <c r="BE339" i="28"/>
  <c r="BF339" i="28"/>
  <c r="BG339" i="28"/>
  <c r="BH339" i="28"/>
  <c r="BI339" i="28"/>
  <c r="BJ339" i="28"/>
  <c r="BK339" i="28"/>
  <c r="BL339" i="28"/>
  <c r="BM339" i="28"/>
  <c r="BN339" i="28"/>
  <c r="BO339" i="28"/>
  <c r="BP339" i="28"/>
  <c r="BQ339" i="28"/>
  <c r="BR339" i="28"/>
  <c r="BS339" i="28"/>
  <c r="BT339" i="28"/>
  <c r="BU339" i="28"/>
  <c r="BV339" i="28"/>
  <c r="BW339" i="28"/>
  <c r="BX339" i="28"/>
  <c r="BY339" i="28"/>
  <c r="BZ339" i="28"/>
  <c r="CA339" i="28"/>
  <c r="CB339" i="28"/>
  <c r="CC339" i="28"/>
  <c r="CD339" i="28"/>
  <c r="F336" i="28"/>
  <c r="F337" i="28"/>
  <c r="F338" i="28"/>
  <c r="F339" i="28"/>
  <c r="F335" i="28"/>
  <c r="F336" i="34"/>
  <c r="Y334" i="34"/>
  <c r="X334" i="34"/>
  <c r="G335" i="34"/>
  <c r="H335" i="34"/>
  <c r="I335" i="34"/>
  <c r="J335" i="34"/>
  <c r="K335" i="34"/>
  <c r="L335" i="34"/>
  <c r="M335" i="34"/>
  <c r="N335" i="34"/>
  <c r="O335" i="34"/>
  <c r="P335" i="34"/>
  <c r="Q335" i="34"/>
  <c r="R335" i="34"/>
  <c r="S335" i="34"/>
  <c r="T335" i="34"/>
  <c r="U335" i="34"/>
  <c r="V335" i="34"/>
  <c r="W335" i="34"/>
  <c r="X335" i="34"/>
  <c r="Y335" i="34"/>
  <c r="Z335" i="34"/>
  <c r="AA335" i="34"/>
  <c r="AB335" i="34"/>
  <c r="AC335" i="34"/>
  <c r="AD335" i="34"/>
  <c r="AE335" i="34"/>
  <c r="AF335" i="34"/>
  <c r="AG335" i="34"/>
  <c r="AH335" i="34"/>
  <c r="AI335" i="34"/>
  <c r="AJ335" i="34"/>
  <c r="AK335" i="34"/>
  <c r="AL335" i="34"/>
  <c r="AM335" i="34"/>
  <c r="AN335" i="34"/>
  <c r="AO335" i="34"/>
  <c r="AP335" i="34"/>
  <c r="AQ335" i="34"/>
  <c r="AR335" i="34"/>
  <c r="AS335" i="34"/>
  <c r="AT335" i="34"/>
  <c r="AU335" i="34"/>
  <c r="AV335" i="34"/>
  <c r="AW335" i="34"/>
  <c r="AX335" i="34"/>
  <c r="AY335" i="34"/>
  <c r="AZ335" i="34"/>
  <c r="BA335" i="34"/>
  <c r="BB335" i="34"/>
  <c r="BC335" i="34"/>
  <c r="BD335" i="34"/>
  <c r="BE335" i="34"/>
  <c r="BF335" i="34"/>
  <c r="BG335" i="34"/>
  <c r="BH335" i="34"/>
  <c r="BI335" i="34"/>
  <c r="G336" i="34"/>
  <c r="H336" i="34"/>
  <c r="I336" i="34"/>
  <c r="J336" i="34"/>
  <c r="K336" i="34"/>
  <c r="L336" i="34"/>
  <c r="M336" i="34"/>
  <c r="N336" i="34"/>
  <c r="O336" i="34"/>
  <c r="P336" i="34"/>
  <c r="Q336" i="34"/>
  <c r="R336" i="34"/>
  <c r="S336" i="34"/>
  <c r="T336" i="34"/>
  <c r="U336" i="34"/>
  <c r="V336" i="34"/>
  <c r="W336" i="34"/>
  <c r="X336" i="34"/>
  <c r="Y336" i="34"/>
  <c r="Z336" i="34"/>
  <c r="AA336" i="34"/>
  <c r="AB336" i="34"/>
  <c r="AC336" i="34"/>
  <c r="AD336" i="34"/>
  <c r="AE336" i="34"/>
  <c r="AF336" i="34"/>
  <c r="AG336" i="34"/>
  <c r="AH336" i="34"/>
  <c r="AI336" i="34"/>
  <c r="AJ336" i="34"/>
  <c r="AK336" i="34"/>
  <c r="AL336" i="34"/>
  <c r="AM336" i="34"/>
  <c r="AN336" i="34"/>
  <c r="AO336" i="34"/>
  <c r="AP336" i="34"/>
  <c r="AQ336" i="34"/>
  <c r="AR336" i="34"/>
  <c r="AS336" i="34"/>
  <c r="AT336" i="34"/>
  <c r="AU336" i="34"/>
  <c r="AV336" i="34"/>
  <c r="AW336" i="34"/>
  <c r="AX336" i="34"/>
  <c r="AY336" i="34"/>
  <c r="AZ336" i="34"/>
  <c r="BA336" i="34"/>
  <c r="BB336" i="34"/>
  <c r="BC336" i="34"/>
  <c r="BD336" i="34"/>
  <c r="BE336" i="34"/>
  <c r="BF336" i="34"/>
  <c r="BG336" i="34"/>
  <c r="BH336" i="34"/>
  <c r="BI336" i="34"/>
  <c r="G337" i="34"/>
  <c r="H337" i="34"/>
  <c r="I337" i="34"/>
  <c r="J337" i="34"/>
  <c r="K337" i="34"/>
  <c r="L337" i="34"/>
  <c r="M337" i="34"/>
  <c r="N337" i="34"/>
  <c r="O337" i="34"/>
  <c r="P337" i="34"/>
  <c r="Q337" i="34"/>
  <c r="R337" i="34"/>
  <c r="S337" i="34"/>
  <c r="T337" i="34"/>
  <c r="U337" i="34"/>
  <c r="V337" i="34"/>
  <c r="W337" i="34"/>
  <c r="X337" i="34"/>
  <c r="Y337" i="34"/>
  <c r="Z337" i="34"/>
  <c r="AA337" i="34"/>
  <c r="AB337" i="34"/>
  <c r="AC337" i="34"/>
  <c r="AD337" i="34"/>
  <c r="AE337" i="34"/>
  <c r="AF337" i="34"/>
  <c r="AG337" i="34"/>
  <c r="AH337" i="34"/>
  <c r="AI337" i="34"/>
  <c r="AJ337" i="34"/>
  <c r="AK337" i="34"/>
  <c r="AL337" i="34"/>
  <c r="AM337" i="34"/>
  <c r="AN337" i="34"/>
  <c r="AO337" i="34"/>
  <c r="AP337" i="34"/>
  <c r="AQ337" i="34"/>
  <c r="AR337" i="34"/>
  <c r="AS337" i="34"/>
  <c r="AT337" i="34"/>
  <c r="AU337" i="34"/>
  <c r="AV337" i="34"/>
  <c r="AW337" i="34"/>
  <c r="AX337" i="34"/>
  <c r="AY337" i="34"/>
  <c r="AZ337" i="34"/>
  <c r="BA337" i="34"/>
  <c r="BB337" i="34"/>
  <c r="BC337" i="34"/>
  <c r="BD337" i="34"/>
  <c r="BE337" i="34"/>
  <c r="BF337" i="34"/>
  <c r="BG337" i="34"/>
  <c r="BH337" i="34"/>
  <c r="BI337" i="34"/>
  <c r="G338" i="34"/>
  <c r="H338" i="34"/>
  <c r="I338" i="34"/>
  <c r="J338" i="34"/>
  <c r="K338" i="34"/>
  <c r="L338" i="34"/>
  <c r="M338" i="34"/>
  <c r="N338" i="34"/>
  <c r="O338" i="34"/>
  <c r="P338" i="34"/>
  <c r="Q338" i="34"/>
  <c r="R338" i="34"/>
  <c r="S338" i="34"/>
  <c r="T338" i="34"/>
  <c r="U338" i="34"/>
  <c r="V338" i="34"/>
  <c r="W338" i="34"/>
  <c r="X338" i="34"/>
  <c r="Y338" i="34"/>
  <c r="Z338" i="34"/>
  <c r="AA338" i="34"/>
  <c r="AB338" i="34"/>
  <c r="AC338" i="34"/>
  <c r="AD338" i="34"/>
  <c r="AE338" i="34"/>
  <c r="AF338" i="34"/>
  <c r="AG338" i="34"/>
  <c r="AH338" i="34"/>
  <c r="AI338" i="34"/>
  <c r="AJ338" i="34"/>
  <c r="AK338" i="34"/>
  <c r="AL338" i="34"/>
  <c r="AM338" i="34"/>
  <c r="AN338" i="34"/>
  <c r="AO338" i="34"/>
  <c r="AP338" i="34"/>
  <c r="AQ338" i="34"/>
  <c r="AR338" i="34"/>
  <c r="AS338" i="34"/>
  <c r="AT338" i="34"/>
  <c r="AU338" i="34"/>
  <c r="AV338" i="34"/>
  <c r="AW338" i="34"/>
  <c r="AX338" i="34"/>
  <c r="AY338" i="34"/>
  <c r="AZ338" i="34"/>
  <c r="BA338" i="34"/>
  <c r="BB338" i="34"/>
  <c r="BC338" i="34"/>
  <c r="BD338" i="34"/>
  <c r="BE338" i="34"/>
  <c r="BF338" i="34"/>
  <c r="BG338" i="34"/>
  <c r="BH338" i="34"/>
  <c r="BI338" i="34"/>
  <c r="G339" i="34"/>
  <c r="H339" i="34"/>
  <c r="I339" i="34"/>
  <c r="J339" i="34"/>
  <c r="K339" i="34"/>
  <c r="L339" i="34"/>
  <c r="M339" i="34"/>
  <c r="N339" i="34"/>
  <c r="O339" i="34"/>
  <c r="P339" i="34"/>
  <c r="Q339" i="34"/>
  <c r="R339" i="34"/>
  <c r="S339" i="34"/>
  <c r="T339" i="34"/>
  <c r="U339" i="34"/>
  <c r="V339" i="34"/>
  <c r="W339" i="34"/>
  <c r="X339" i="34"/>
  <c r="Y339" i="34"/>
  <c r="Z339" i="34"/>
  <c r="AA339" i="34"/>
  <c r="AB339" i="34"/>
  <c r="AC339" i="34"/>
  <c r="AD339" i="34"/>
  <c r="AE339" i="34"/>
  <c r="AF339" i="34"/>
  <c r="AG339" i="34"/>
  <c r="AH339" i="34"/>
  <c r="AI339" i="34"/>
  <c r="AJ339" i="34"/>
  <c r="AK339" i="34"/>
  <c r="AL339" i="34"/>
  <c r="AM339" i="34"/>
  <c r="AN339" i="34"/>
  <c r="AO339" i="34"/>
  <c r="AP339" i="34"/>
  <c r="AQ339" i="34"/>
  <c r="AR339" i="34"/>
  <c r="AS339" i="34"/>
  <c r="AT339" i="34"/>
  <c r="AU339" i="34"/>
  <c r="AV339" i="34"/>
  <c r="AW339" i="34"/>
  <c r="AX339" i="34"/>
  <c r="AY339" i="34"/>
  <c r="AZ339" i="34"/>
  <c r="BA339" i="34"/>
  <c r="BB339" i="34"/>
  <c r="BC339" i="34"/>
  <c r="BD339" i="34"/>
  <c r="BE339" i="34"/>
  <c r="BF339" i="34"/>
  <c r="BG339" i="34"/>
  <c r="BH339" i="34"/>
  <c r="BI339" i="34"/>
  <c r="F337" i="34"/>
  <c r="F338" i="34"/>
  <c r="F339" i="34"/>
  <c r="F335" i="34"/>
  <c r="F334" i="34"/>
  <c r="CD333" i="26"/>
  <c r="F335" i="25" l="1"/>
  <c r="H334" i="25"/>
  <c r="G334" i="25"/>
  <c r="F334" i="25"/>
  <c r="G334" i="29"/>
  <c r="F334" i="29"/>
  <c r="K15" i="1" s="1"/>
  <c r="F334" i="28" l="1"/>
  <c r="G334" i="28"/>
  <c r="K21" i="1"/>
  <c r="AP339" i="25" l="1"/>
  <c r="AP338" i="25"/>
  <c r="AP337" i="25"/>
  <c r="AP336" i="25"/>
  <c r="AP335" i="25"/>
  <c r="AO339" i="25"/>
  <c r="AO338" i="25"/>
  <c r="AO337" i="25"/>
  <c r="AO336" i="25"/>
  <c r="AO335" i="25"/>
  <c r="AN339" i="25"/>
  <c r="AN338" i="25"/>
  <c r="AN337" i="25"/>
  <c r="AN336" i="25"/>
  <c r="AN335" i="25"/>
  <c r="AM339" i="25"/>
  <c r="AM338" i="25"/>
  <c r="AM337" i="25"/>
  <c r="AM336" i="25"/>
  <c r="AM335" i="25"/>
  <c r="AL339" i="25"/>
  <c r="AL338" i="25"/>
  <c r="AL337" i="25"/>
  <c r="AL336" i="25"/>
  <c r="AL335" i="25"/>
  <c r="AK339" i="25"/>
  <c r="AK338" i="25"/>
  <c r="AK337" i="25"/>
  <c r="AK336" i="25"/>
  <c r="AK335" i="25"/>
  <c r="AJ339" i="25"/>
  <c r="AJ338" i="25"/>
  <c r="AJ337" i="25"/>
  <c r="AJ336" i="25"/>
  <c r="AJ335" i="25"/>
  <c r="AI339" i="25"/>
  <c r="AI338" i="25"/>
  <c r="AI337" i="25"/>
  <c r="AI336" i="25"/>
  <c r="AI335" i="25"/>
  <c r="AH339" i="25"/>
  <c r="AH338" i="25"/>
  <c r="AH337" i="25"/>
  <c r="AH336" i="25"/>
  <c r="AH335" i="25"/>
  <c r="AG339" i="25"/>
  <c r="AG338" i="25"/>
  <c r="AG337" i="25"/>
  <c r="AG336" i="25"/>
  <c r="AG335" i="25"/>
  <c r="AF339" i="25"/>
  <c r="AF338" i="25"/>
  <c r="AF337" i="25"/>
  <c r="AF336" i="25"/>
  <c r="AF335" i="25"/>
  <c r="AE339" i="25"/>
  <c r="AE338" i="25"/>
  <c r="AE337" i="25"/>
  <c r="AE336" i="25"/>
  <c r="AE335" i="25"/>
  <c r="AD339" i="25"/>
  <c r="AD338" i="25"/>
  <c r="AD337" i="25"/>
  <c r="AD336" i="25"/>
  <c r="AD335" i="25"/>
  <c r="AC339" i="25"/>
  <c r="AC338" i="25"/>
  <c r="AC337" i="25"/>
  <c r="AC336" i="25"/>
  <c r="AC335" i="25"/>
  <c r="AB339" i="25"/>
  <c r="AB338" i="25"/>
  <c r="AB337" i="25"/>
  <c r="AB336" i="25"/>
  <c r="AB335" i="25"/>
  <c r="AA339" i="25"/>
  <c r="AA338" i="25"/>
  <c r="AA337" i="25"/>
  <c r="AA336" i="25"/>
  <c r="AA335" i="25"/>
  <c r="Z339" i="25"/>
  <c r="Z338" i="25"/>
  <c r="Z337" i="25"/>
  <c r="Z336" i="25"/>
  <c r="Z335" i="25"/>
  <c r="Y339" i="25"/>
  <c r="Y338" i="25"/>
  <c r="Y337" i="25"/>
  <c r="Y336" i="25"/>
  <c r="Y335" i="25"/>
  <c r="X339" i="25"/>
  <c r="X338" i="25"/>
  <c r="X337" i="25"/>
  <c r="X336" i="25"/>
  <c r="X335" i="25"/>
  <c r="W339" i="25"/>
  <c r="W338" i="25"/>
  <c r="W337" i="25"/>
  <c r="W336" i="25"/>
  <c r="W335" i="25"/>
  <c r="V339" i="25"/>
  <c r="V338" i="25"/>
  <c r="V337" i="25"/>
  <c r="V336" i="25"/>
  <c r="V335" i="25"/>
  <c r="U339" i="25"/>
  <c r="U338" i="25"/>
  <c r="U337" i="25"/>
  <c r="U336" i="25"/>
  <c r="U335" i="25"/>
  <c r="T339" i="25"/>
  <c r="T338" i="25"/>
  <c r="T337" i="25"/>
  <c r="T336" i="25"/>
  <c r="T335" i="25"/>
  <c r="S339" i="25"/>
  <c r="S338" i="25"/>
  <c r="S337" i="25"/>
  <c r="S336" i="25"/>
  <c r="S335" i="25"/>
  <c r="R339" i="25"/>
  <c r="Q339" i="25"/>
  <c r="P339" i="25"/>
  <c r="O339" i="25"/>
  <c r="N339" i="25"/>
  <c r="M339" i="25"/>
  <c r="L339" i="25"/>
  <c r="K339" i="25"/>
  <c r="J339" i="25"/>
  <c r="I339" i="25"/>
  <c r="H339" i="25"/>
  <c r="G339" i="25"/>
  <c r="F339" i="25"/>
  <c r="R338" i="25"/>
  <c r="Q338" i="25"/>
  <c r="P338" i="25"/>
  <c r="O338" i="25"/>
  <c r="N338" i="25"/>
  <c r="M338" i="25"/>
  <c r="L338" i="25"/>
  <c r="K338" i="25"/>
  <c r="J338" i="25"/>
  <c r="I338" i="25"/>
  <c r="H338" i="25"/>
  <c r="G338" i="25"/>
  <c r="F338" i="25"/>
  <c r="R337" i="25"/>
  <c r="Q337" i="25"/>
  <c r="P337" i="25"/>
  <c r="O337" i="25"/>
  <c r="N337" i="25"/>
  <c r="M337" i="25"/>
  <c r="L337" i="25"/>
  <c r="K337" i="25"/>
  <c r="J337" i="25"/>
  <c r="I337" i="25"/>
  <c r="H337" i="25"/>
  <c r="G337" i="25"/>
  <c r="F337" i="25"/>
  <c r="R336" i="25"/>
  <c r="Q336" i="25"/>
  <c r="P336" i="25"/>
  <c r="O336" i="25"/>
  <c r="N336" i="25"/>
  <c r="M336" i="25"/>
  <c r="L336" i="25"/>
  <c r="K336" i="25"/>
  <c r="J336" i="25"/>
  <c r="I336" i="25"/>
  <c r="H336" i="25"/>
  <c r="G336" i="25"/>
  <c r="F336" i="25"/>
  <c r="R335" i="25"/>
  <c r="Q335" i="25"/>
  <c r="P335" i="25"/>
  <c r="O335" i="25"/>
  <c r="N335" i="25"/>
  <c r="M335" i="25"/>
  <c r="L335" i="25"/>
  <c r="K335" i="25"/>
  <c r="J335" i="25"/>
  <c r="I335" i="25"/>
  <c r="H335" i="25"/>
  <c r="G335" i="25"/>
  <c r="EM333" i="26" l="1"/>
  <c r="EL333" i="26"/>
  <c r="EK333" i="26"/>
  <c r="EJ333" i="26"/>
  <c r="EI333" i="26"/>
  <c r="EH333" i="26"/>
  <c r="EG333" i="26"/>
  <c r="EF333" i="26"/>
  <c r="EE333" i="26"/>
  <c r="ED333" i="26"/>
  <c r="EC333" i="26"/>
  <c r="EB333" i="26"/>
  <c r="EA333" i="26"/>
  <c r="DZ333" i="26"/>
  <c r="DY333" i="26"/>
  <c r="DX333" i="26"/>
  <c r="DW333" i="26"/>
  <c r="DV333" i="26"/>
  <c r="DU333" i="26"/>
  <c r="DT333" i="26"/>
  <c r="DS333" i="26"/>
  <c r="DR333" i="26"/>
  <c r="DQ333" i="26"/>
  <c r="DP333" i="26"/>
  <c r="DO333" i="26"/>
  <c r="DN333" i="26"/>
  <c r="DM333" i="26"/>
  <c r="DL333" i="26"/>
  <c r="DK333" i="26"/>
  <c r="DJ333" i="26"/>
  <c r="DI333" i="26"/>
  <c r="DH333" i="26"/>
  <c r="DG333" i="26"/>
  <c r="DF333" i="26"/>
  <c r="DE333" i="26"/>
  <c r="DD333" i="26"/>
  <c r="DC333" i="26"/>
  <c r="DB333" i="26"/>
  <c r="DA333" i="26"/>
  <c r="CZ333" i="26"/>
  <c r="CY333" i="26"/>
  <c r="CX333" i="26"/>
  <c r="CW333" i="26"/>
  <c r="CV333" i="26"/>
  <c r="CU333" i="26"/>
  <c r="CT333" i="26"/>
  <c r="CS333" i="26"/>
  <c r="CR333" i="26"/>
  <c r="CQ333" i="26"/>
  <c r="CP333" i="26"/>
  <c r="CO333" i="26"/>
  <c r="CN333" i="26"/>
  <c r="CM333" i="26"/>
  <c r="CL333" i="26"/>
  <c r="CK333" i="26"/>
  <c r="CJ333" i="26"/>
  <c r="CI333" i="26"/>
  <c r="CH333" i="26"/>
  <c r="CG333" i="26"/>
  <c r="CF333" i="26"/>
  <c r="CE333" i="26"/>
  <c r="CC333" i="26"/>
  <c r="CB333" i="26"/>
  <c r="CA333" i="26"/>
  <c r="BZ333" i="26"/>
  <c r="BY333" i="26"/>
  <c r="BX333" i="26"/>
  <c r="BW333" i="26"/>
  <c r="BV333" i="26"/>
  <c r="BU333" i="26"/>
  <c r="BT333" i="26"/>
  <c r="BS333" i="26"/>
  <c r="BR333" i="26"/>
  <c r="BQ333" i="26"/>
  <c r="BP333" i="26"/>
  <c r="BO333" i="26"/>
  <c r="BN333" i="26"/>
  <c r="BM333" i="26"/>
  <c r="BL333" i="26"/>
  <c r="BK333" i="26"/>
  <c r="BJ333" i="26"/>
  <c r="BI333" i="26"/>
  <c r="BH333" i="26"/>
  <c r="BG333" i="26"/>
  <c r="BF333" i="26"/>
  <c r="BE333" i="26"/>
  <c r="BD333" i="26"/>
  <c r="BC333" i="26"/>
  <c r="BB333" i="26"/>
  <c r="BA333" i="26"/>
  <c r="AZ333" i="26"/>
  <c r="AY333" i="26"/>
  <c r="AX333" i="26"/>
  <c r="AW333" i="26"/>
  <c r="AV333" i="26"/>
  <c r="AU333" i="26"/>
  <c r="AT333" i="26"/>
  <c r="AS333" i="26"/>
  <c r="AR333" i="26"/>
  <c r="AQ333" i="26"/>
  <c r="AP333" i="26"/>
  <c r="AO333" i="26"/>
  <c r="AN333" i="26"/>
  <c r="AM333" i="26"/>
  <c r="AL333" i="26"/>
  <c r="AK333" i="26"/>
  <c r="AJ333" i="26"/>
  <c r="AI333" i="26"/>
  <c r="AH333" i="26"/>
  <c r="AG333" i="26"/>
  <c r="AF333" i="26"/>
  <c r="BI334" i="34"/>
  <c r="BH334" i="34"/>
  <c r="BG334" i="34"/>
  <c r="BF334" i="34"/>
  <c r="BE334" i="34"/>
  <c r="BD334" i="34"/>
  <c r="BC334" i="34"/>
  <c r="BB334" i="34"/>
  <c r="BA334" i="34"/>
  <c r="AZ334" i="34"/>
  <c r="AY334" i="34"/>
  <c r="AX334" i="34"/>
  <c r="AW334" i="34"/>
  <c r="AV334" i="34"/>
  <c r="AU334" i="34"/>
  <c r="AT334" i="34"/>
  <c r="AS334" i="34"/>
  <c r="AR334" i="34"/>
  <c r="AQ334" i="34"/>
  <c r="AP334" i="34"/>
  <c r="AO334" i="34"/>
  <c r="AN334" i="34"/>
  <c r="AM334" i="34"/>
  <c r="AL334" i="34"/>
  <c r="AK334" i="34"/>
  <c r="AJ334" i="34"/>
  <c r="AI334" i="34"/>
  <c r="AH334" i="34"/>
  <c r="AG334" i="34"/>
  <c r="AF334" i="34"/>
  <c r="AE334" i="34"/>
  <c r="AD334" i="34"/>
  <c r="AC334" i="34"/>
  <c r="AB334" i="34"/>
  <c r="AA334" i="34"/>
  <c r="Z334" i="34"/>
  <c r="W334" i="34"/>
  <c r="CD334" i="28"/>
  <c r="CC334" i="28"/>
  <c r="CB334" i="28"/>
  <c r="CA334" i="28"/>
  <c r="BZ334" i="28"/>
  <c r="BY334" i="28"/>
  <c r="BX334" i="28"/>
  <c r="BW334" i="28"/>
  <c r="BV334" i="28"/>
  <c r="BU334" i="28"/>
  <c r="BT334" i="28"/>
  <c r="BS334" i="28"/>
  <c r="BR334" i="28"/>
  <c r="BQ334" i="28"/>
  <c r="BP334" i="28"/>
  <c r="BO334" i="28"/>
  <c r="BN334" i="28"/>
  <c r="BM334" i="28"/>
  <c r="BL334" i="28"/>
  <c r="BK334" i="28"/>
  <c r="BJ334" i="28"/>
  <c r="BI334" i="28"/>
  <c r="BH334" i="28"/>
  <c r="BG334" i="28"/>
  <c r="BE334" i="28"/>
  <c r="BD334" i="28"/>
  <c r="BC334" i="28"/>
  <c r="BB334" i="28"/>
  <c r="BA334" i="28"/>
  <c r="AZ334" i="28"/>
  <c r="AY334" i="28"/>
  <c r="AX334" i="28"/>
  <c r="AW334" i="28"/>
  <c r="AV334" i="28"/>
  <c r="AU334" i="28"/>
  <c r="AT334" i="28"/>
  <c r="AS334" i="28"/>
  <c r="AR334" i="28"/>
  <c r="AQ334" i="28"/>
  <c r="AP334" i="28"/>
  <c r="AO334" i="28"/>
  <c r="AN334" i="28"/>
  <c r="AM334" i="28"/>
  <c r="AL334" i="28"/>
  <c r="AK334" i="28"/>
  <c r="AJ334" i="28"/>
  <c r="AI334" i="28"/>
  <c r="AH334" i="28"/>
  <c r="AG334" i="28"/>
  <c r="AF334" i="28"/>
  <c r="AE334" i="28"/>
  <c r="AD334" i="28"/>
  <c r="AC334" i="28"/>
  <c r="AB334" i="28"/>
  <c r="AA334" i="28"/>
  <c r="Z334" i="28"/>
  <c r="Y334" i="28"/>
  <c r="X334" i="28"/>
  <c r="W334" i="28"/>
  <c r="V334" i="34" l="1"/>
  <c r="U334" i="34"/>
  <c r="T334" i="34"/>
  <c r="S334" i="34"/>
  <c r="R334" i="34"/>
  <c r="Q334" i="34"/>
  <c r="P334" i="34"/>
  <c r="O334" i="34"/>
  <c r="N334" i="34"/>
  <c r="M334" i="34"/>
  <c r="L334" i="34"/>
  <c r="K334" i="34"/>
  <c r="J334" i="34"/>
  <c r="I334" i="34"/>
  <c r="H334" i="34"/>
  <c r="G334" i="34"/>
  <c r="C64" i="23" l="1"/>
  <c r="T14" i="23"/>
  <c r="Q14" i="23"/>
  <c r="N14" i="23"/>
  <c r="F1" i="31"/>
  <c r="R128" i="31" l="1"/>
  <c r="R126" i="31"/>
  <c r="R122" i="31"/>
  <c r="R119" i="31"/>
  <c r="R111" i="31"/>
  <c r="J106" i="31"/>
  <c r="J104" i="31"/>
  <c r="J100" i="31"/>
  <c r="J98" i="31"/>
  <c r="J91" i="31"/>
  <c r="J89" i="31"/>
  <c r="J85" i="31"/>
  <c r="J83" i="31"/>
  <c r="J79" i="31"/>
  <c r="J77" i="31"/>
  <c r="J73" i="31"/>
  <c r="J71" i="31"/>
  <c r="J66" i="31"/>
  <c r="J64" i="31"/>
  <c r="J60" i="31"/>
  <c r="J58" i="31"/>
  <c r="J52" i="31"/>
  <c r="J50" i="31"/>
  <c r="J46" i="31"/>
  <c r="J44" i="31"/>
  <c r="J40" i="31"/>
  <c r="J38" i="31"/>
  <c r="J34" i="31"/>
  <c r="V122" i="31"/>
  <c r="J113" i="31"/>
  <c r="N100" i="31"/>
  <c r="N89" i="31"/>
  <c r="N83" i="31"/>
  <c r="N73" i="31"/>
  <c r="N60" i="31"/>
  <c r="N50" i="31"/>
  <c r="N44" i="31"/>
  <c r="N128" i="31"/>
  <c r="N126" i="31"/>
  <c r="N122" i="31"/>
  <c r="N119" i="31"/>
  <c r="V106" i="31"/>
  <c r="V104" i="31"/>
  <c r="V100" i="31"/>
  <c r="V98" i="31"/>
  <c r="V91" i="31"/>
  <c r="V89" i="31"/>
  <c r="V85" i="31"/>
  <c r="V83" i="31"/>
  <c r="V79" i="31"/>
  <c r="V77" i="31"/>
  <c r="V73" i="31"/>
  <c r="V71" i="31"/>
  <c r="V66" i="31"/>
  <c r="V64" i="31"/>
  <c r="V60" i="31"/>
  <c r="V58" i="31"/>
  <c r="V52" i="31"/>
  <c r="V50" i="31"/>
  <c r="V46" i="31"/>
  <c r="V44" i="31"/>
  <c r="V40" i="31"/>
  <c r="V38" i="31"/>
  <c r="V34" i="31"/>
  <c r="V31" i="31"/>
  <c r="V128" i="31"/>
  <c r="N106" i="31"/>
  <c r="N91" i="31"/>
  <c r="N79" i="31"/>
  <c r="N66" i="31"/>
  <c r="N52" i="31"/>
  <c r="N38" i="31"/>
  <c r="J128" i="31"/>
  <c r="J126" i="31"/>
  <c r="J122" i="31"/>
  <c r="J119" i="31"/>
  <c r="R106" i="31"/>
  <c r="R104" i="31"/>
  <c r="R100" i="31"/>
  <c r="R98" i="31"/>
  <c r="R91" i="31"/>
  <c r="R89" i="31"/>
  <c r="R85" i="31"/>
  <c r="R83" i="31"/>
  <c r="R79" i="31"/>
  <c r="R77" i="31"/>
  <c r="R73" i="31"/>
  <c r="R71" i="31"/>
  <c r="R66" i="31"/>
  <c r="R64" i="31"/>
  <c r="R60" i="31"/>
  <c r="R58" i="31"/>
  <c r="R52" i="31"/>
  <c r="R50" i="31"/>
  <c r="R46" i="31"/>
  <c r="R44" i="31"/>
  <c r="R40" i="31"/>
  <c r="R38" i="31"/>
  <c r="R34" i="31"/>
  <c r="R31" i="31"/>
  <c r="V126" i="31"/>
  <c r="V119" i="31"/>
  <c r="N104" i="31"/>
  <c r="N98" i="31"/>
  <c r="N85" i="31"/>
  <c r="N77" i="31"/>
  <c r="N71" i="31"/>
  <c r="N64" i="31"/>
  <c r="N58" i="31"/>
  <c r="N46" i="31"/>
  <c r="N40" i="31"/>
  <c r="N34" i="31"/>
  <c r="N15" i="31"/>
  <c r="C8" i="31"/>
  <c r="H334" i="29"/>
  <c r="K23" i="1" s="1"/>
  <c r="I334" i="29"/>
  <c r="K26" i="1" s="1"/>
  <c r="J334" i="29"/>
  <c r="K28" i="1" s="1"/>
  <c r="K334" i="29"/>
  <c r="K30" i="1" s="1"/>
  <c r="L334" i="29"/>
  <c r="K33" i="1" s="1"/>
  <c r="M334" i="29"/>
  <c r="K36" i="1" s="1"/>
  <c r="N334" i="29"/>
  <c r="K38" i="1" s="1"/>
  <c r="O334" i="29"/>
  <c r="K40" i="1" s="1"/>
  <c r="P334" i="29"/>
  <c r="K43" i="1" s="1"/>
  <c r="Q334" i="29"/>
  <c r="R334" i="29"/>
  <c r="I334" i="25"/>
  <c r="J334" i="25"/>
  <c r="K334" i="25"/>
  <c r="L334" i="25"/>
  <c r="M334" i="25"/>
  <c r="N334" i="25"/>
  <c r="O334" i="25"/>
  <c r="P334" i="25"/>
  <c r="Q334" i="25"/>
  <c r="R334" i="25"/>
  <c r="S334" i="25"/>
  <c r="T334" i="25"/>
  <c r="U334" i="25"/>
  <c r="V334" i="25"/>
  <c r="W334" i="25"/>
  <c r="X334" i="25"/>
  <c r="Y334" i="25"/>
  <c r="Z334" i="25"/>
  <c r="AA334" i="25"/>
  <c r="AB334" i="25"/>
  <c r="AC334" i="25"/>
  <c r="AD334" i="25"/>
  <c r="AE334" i="25"/>
  <c r="AF334" i="25"/>
  <c r="AG334" i="25"/>
  <c r="AH334" i="25"/>
  <c r="AI334" i="25"/>
  <c r="AJ334" i="25"/>
  <c r="AK334" i="25"/>
  <c r="AL334" i="25"/>
  <c r="AM334" i="25"/>
  <c r="AN334" i="25"/>
  <c r="AO334" i="25"/>
  <c r="AP334" i="25"/>
  <c r="H334" i="28"/>
  <c r="I334" i="28"/>
  <c r="J334" i="28"/>
  <c r="K334" i="28"/>
  <c r="L334" i="28"/>
  <c r="M334" i="28"/>
  <c r="N334" i="28"/>
  <c r="O334" i="28"/>
  <c r="P334" i="28"/>
  <c r="Q334" i="28"/>
  <c r="R334" i="28"/>
  <c r="S334" i="28"/>
  <c r="T334" i="28"/>
  <c r="U334" i="28"/>
  <c r="V334" i="28"/>
  <c r="G333" i="26"/>
  <c r="H333" i="26"/>
  <c r="R15" i="31" s="1"/>
  <c r="I333" i="26"/>
  <c r="V15" i="31" s="1"/>
  <c r="J333" i="26"/>
  <c r="J17" i="31" s="1"/>
  <c r="K333" i="26"/>
  <c r="N17" i="31" s="1"/>
  <c r="L333" i="26"/>
  <c r="R17" i="31" s="1"/>
  <c r="M333" i="26"/>
  <c r="V17" i="31" s="1"/>
  <c r="N333" i="26"/>
  <c r="J19" i="31" s="1"/>
  <c r="O333" i="26"/>
  <c r="N19" i="31" s="1"/>
  <c r="P333" i="26"/>
  <c r="R19" i="31" s="1"/>
  <c r="Q333" i="26"/>
  <c r="V19" i="31" s="1"/>
  <c r="R333" i="26"/>
  <c r="J22" i="31" s="1"/>
  <c r="S333" i="26"/>
  <c r="N22" i="31" s="1"/>
  <c r="T333" i="26"/>
  <c r="R22" i="31" s="1"/>
  <c r="U333" i="26"/>
  <c r="V22" i="31" s="1"/>
  <c r="V333" i="26"/>
  <c r="J27" i="31" s="1"/>
  <c r="W333" i="26"/>
  <c r="N27" i="31" s="1"/>
  <c r="X333" i="26"/>
  <c r="R27" i="31" s="1"/>
  <c r="Y333" i="26"/>
  <c r="V27" i="31" s="1"/>
  <c r="Z333" i="26"/>
  <c r="J29" i="31" s="1"/>
  <c r="AA333" i="26"/>
  <c r="N29" i="31" s="1"/>
  <c r="AB333" i="26"/>
  <c r="R29" i="31" s="1"/>
  <c r="AC333" i="26"/>
  <c r="V29" i="31" s="1"/>
  <c r="AD333" i="26"/>
  <c r="J31" i="31" s="1"/>
  <c r="AE333" i="26"/>
  <c r="N31" i="31" s="1"/>
  <c r="F333" i="26"/>
  <c r="J15" i="31" s="1"/>
  <c r="F1" i="6"/>
  <c r="T52" i="1"/>
  <c r="K48" i="1" l="1"/>
  <c r="Q52" i="1"/>
  <c r="K45" i="1"/>
  <c r="N52" i="1"/>
  <c r="P53" i="6"/>
  <c r="J46" i="6"/>
  <c r="J40" i="6"/>
  <c r="G38" i="6"/>
  <c r="G33" i="6"/>
  <c r="G29" i="6"/>
  <c r="G27" i="6"/>
  <c r="G24" i="6"/>
  <c r="G22" i="6"/>
  <c r="G15" i="6"/>
  <c r="P46" i="6"/>
  <c r="J42" i="6"/>
  <c r="M38" i="6"/>
  <c r="M33" i="6"/>
  <c r="M29" i="6"/>
  <c r="M27" i="6"/>
  <c r="M24" i="6"/>
  <c r="M22" i="6"/>
  <c r="M15" i="6"/>
  <c r="M46" i="6"/>
  <c r="M40" i="6"/>
  <c r="J38" i="6"/>
  <c r="J33" i="6"/>
  <c r="J29" i="6"/>
  <c r="J27" i="6"/>
  <c r="J24" i="6"/>
  <c r="J22" i="6"/>
  <c r="J15" i="6"/>
  <c r="P51" i="6"/>
  <c r="M42" i="6"/>
  <c r="P38" i="6"/>
  <c r="P33" i="6"/>
  <c r="P29" i="6"/>
  <c r="P27" i="6"/>
  <c r="P24" i="6"/>
  <c r="P22" i="6"/>
  <c r="P15" i="6"/>
  <c r="C8" i="6"/>
  <c r="F1" i="33"/>
  <c r="F1" i="23"/>
  <c r="W62" i="23" l="1"/>
  <c r="K62" i="23"/>
  <c r="N60" i="23"/>
  <c r="Q58" i="23"/>
  <c r="T55" i="23"/>
  <c r="W53" i="23"/>
  <c r="K53" i="23"/>
  <c r="N51" i="23"/>
  <c r="Q47" i="23"/>
  <c r="T45" i="23"/>
  <c r="W43" i="23"/>
  <c r="K43" i="23"/>
  <c r="N40" i="23"/>
  <c r="Q38" i="23"/>
  <c r="T34" i="23"/>
  <c r="Q32" i="23"/>
  <c r="W28" i="23"/>
  <c r="Q62" i="23"/>
  <c r="W58" i="23"/>
  <c r="N55" i="23"/>
  <c r="T51" i="23"/>
  <c r="K47" i="23"/>
  <c r="Q43" i="23"/>
  <c r="W38" i="23"/>
  <c r="N34" i="23"/>
  <c r="W26" i="23"/>
  <c r="T62" i="23"/>
  <c r="W60" i="23"/>
  <c r="K60" i="23"/>
  <c r="N58" i="23"/>
  <c r="Q55" i="23"/>
  <c r="T53" i="23"/>
  <c r="W51" i="23"/>
  <c r="K51" i="23"/>
  <c r="N47" i="23"/>
  <c r="Q45" i="23"/>
  <c r="T43" i="23"/>
  <c r="W40" i="23"/>
  <c r="K40" i="23"/>
  <c r="N38" i="23"/>
  <c r="Q34" i="23"/>
  <c r="N32" i="23"/>
  <c r="N28" i="23"/>
  <c r="T60" i="23"/>
  <c r="K58" i="23"/>
  <c r="Q53" i="23"/>
  <c r="W47" i="23"/>
  <c r="N45" i="23"/>
  <c r="T40" i="23"/>
  <c r="K38" i="23"/>
  <c r="W30" i="23"/>
  <c r="N62" i="23"/>
  <c r="Q60" i="23"/>
  <c r="T58" i="23"/>
  <c r="W55" i="23"/>
  <c r="K55" i="23"/>
  <c r="N53" i="23"/>
  <c r="Q51" i="23"/>
  <c r="T47" i="23"/>
  <c r="W45" i="23"/>
  <c r="K45" i="23"/>
  <c r="N43" i="23"/>
  <c r="Q40" i="23"/>
  <c r="T38" i="23"/>
  <c r="W34" i="23"/>
  <c r="W32" i="23"/>
  <c r="N30" i="23"/>
  <c r="N26" i="23"/>
  <c r="W23" i="23"/>
  <c r="W18" i="23"/>
  <c r="K18" i="23"/>
  <c r="K23" i="23"/>
  <c r="W21" i="23"/>
  <c r="Q18" i="23"/>
  <c r="K21" i="23"/>
  <c r="N18" i="23"/>
  <c r="T18" i="23"/>
  <c r="C8" i="23"/>
  <c r="C8" i="33"/>
  <c r="V114" i="33"/>
  <c r="V105" i="33"/>
  <c r="V96" i="33"/>
  <c r="V82" i="33"/>
  <c r="V73" i="33"/>
  <c r="V64" i="33"/>
  <c r="V54" i="33"/>
  <c r="V45" i="33"/>
  <c r="V36" i="33"/>
  <c r="V25" i="33"/>
  <c r="V22" i="33"/>
  <c r="V19" i="33"/>
  <c r="V17" i="33"/>
  <c r="V15" i="33"/>
  <c r="V112" i="33"/>
  <c r="V103" i="33"/>
  <c r="V89" i="33"/>
  <c r="V80" i="33"/>
  <c r="V71" i="33"/>
  <c r="V61" i="33"/>
  <c r="V52" i="33"/>
  <c r="V43" i="33"/>
  <c r="V33" i="33"/>
  <c r="R22" i="33"/>
  <c r="R19" i="33"/>
  <c r="R17" i="33"/>
  <c r="R15" i="33"/>
  <c r="V110" i="33"/>
  <c r="V100" i="33"/>
  <c r="V87" i="33"/>
  <c r="V78" i="33"/>
  <c r="V68" i="33"/>
  <c r="V59" i="33"/>
  <c r="V50" i="33"/>
  <c r="V40" i="33"/>
  <c r="V31" i="33"/>
  <c r="N25" i="33"/>
  <c r="N22" i="33"/>
  <c r="N19" i="33"/>
  <c r="N17" i="33"/>
  <c r="N15" i="33"/>
  <c r="V107" i="33"/>
  <c r="V98" i="33"/>
  <c r="V85" i="33"/>
  <c r="V75" i="33"/>
  <c r="V66" i="33"/>
  <c r="V57" i="33"/>
  <c r="V47" i="33"/>
  <c r="V38" i="33"/>
  <c r="V29" i="33"/>
  <c r="J25" i="33"/>
  <c r="J22" i="33"/>
  <c r="J19" i="33"/>
  <c r="J17" i="33"/>
  <c r="J15" i="33"/>
  <c r="R25" i="33"/>
</calcChain>
</file>

<file path=xl/sharedStrings.xml><?xml version="1.0" encoding="utf-8"?>
<sst xmlns="http://schemas.openxmlformats.org/spreadsheetml/2006/main" count="8979" uniqueCount="1121">
  <si>
    <t>E5010</t>
  </si>
  <si>
    <t>Colchester</t>
  </si>
  <si>
    <t>E1536</t>
  </si>
  <si>
    <t>Copeland</t>
  </si>
  <si>
    <t>E0934</t>
  </si>
  <si>
    <t>Corby</t>
  </si>
  <si>
    <t>E2831</t>
  </si>
  <si>
    <t>Cornwall UA</t>
  </si>
  <si>
    <t>E0801</t>
  </si>
  <si>
    <t>Cotswold</t>
  </si>
  <si>
    <t>E1632</t>
  </si>
  <si>
    <t>Coventry</t>
  </si>
  <si>
    <t>E4602</t>
  </si>
  <si>
    <t>Craven</t>
  </si>
  <si>
    <t>E2731</t>
  </si>
  <si>
    <t>Crawley</t>
  </si>
  <si>
    <t>E3834</t>
  </si>
  <si>
    <t>Croydon</t>
  </si>
  <si>
    <t>E5035</t>
  </si>
  <si>
    <t>Dacorum</t>
  </si>
  <si>
    <t>E1932</t>
  </si>
  <si>
    <t>Darlington</t>
  </si>
  <si>
    <t>E1301</t>
  </si>
  <si>
    <t>Dartford</t>
  </si>
  <si>
    <t>E2233</t>
  </si>
  <si>
    <t>Daventry</t>
  </si>
  <si>
    <t>E2832</t>
  </si>
  <si>
    <t>Derby</t>
  </si>
  <si>
    <t>E1001</t>
  </si>
  <si>
    <t>Derbyshire Dales</t>
  </si>
  <si>
    <t>E1035</t>
  </si>
  <si>
    <t>Doncaster</t>
  </si>
  <si>
    <t>E4402</t>
  </si>
  <si>
    <t>TOTAL
(All BA Area)</t>
  </si>
  <si>
    <t>BA Area
(exc. NDD &amp; EZ)</t>
  </si>
  <si>
    <t>Central
Government</t>
  </si>
  <si>
    <t>8.  Amounts retained in respect of Enterprise Zones</t>
  </si>
  <si>
    <t xml:space="preserve">of which: </t>
  </si>
  <si>
    <t>Dover</t>
  </si>
  <si>
    <t>E2234</t>
  </si>
  <si>
    <t>Dudley</t>
  </si>
  <si>
    <t>E4603</t>
  </si>
  <si>
    <t>Durham UA</t>
  </si>
  <si>
    <t>E1302</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</si>
  <si>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</si>
  <si>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</si>
  <si>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</si>
  <si>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</si>
  <si>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</si>
  <si>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</si>
  <si>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</si>
  <si>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</si>
  <si>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</si>
  <si>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</si>
  <si>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</si>
  <si>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</si>
  <si>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</si>
  <si>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</si>
  <si>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</si>
  <si>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</si>
  <si>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</si>
  <si>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</si>
  <si>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</si>
  <si>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</si>
  <si>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</si>
  <si>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</si>
  <si>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</si>
  <si>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</si>
  <si>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</si>
  <si>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</si>
  <si>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</si>
  <si>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</si>
  <si>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</si>
  <si>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</si>
  <si>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</si>
  <si>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</si>
  <si>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</si>
  <si>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</si>
  <si>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</si>
  <si>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</si>
  <si>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</si>
  <si>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</si>
  <si>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</si>
  <si>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</si>
  <si>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</si>
  <si>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</si>
  <si>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</si>
  <si>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</si>
  <si>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</si>
  <si>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</si>
  <si>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</si>
  <si>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</si>
  <si>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</si>
  <si>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</si>
  <si>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</si>
  <si>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</si>
  <si>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</si>
  <si>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</si>
  <si>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</si>
  <si>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</si>
  <si>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</si>
  <si>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</si>
  <si>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</si>
  <si>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</si>
  <si>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</si>
  <si>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</si>
  <si>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</si>
  <si>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</si>
  <si>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</si>
  <si>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</si>
  <si>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</si>
  <si>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</si>
  <si>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</si>
  <si>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</si>
  <si>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</si>
  <si>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</si>
  <si>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</si>
  <si>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</si>
  <si>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</si>
  <si>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</si>
  <si>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</si>
  <si>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</si>
  <si>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</si>
  <si>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</si>
  <si>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</si>
  <si>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</si>
  <si>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</si>
  <si>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</si>
  <si>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</si>
  <si>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</si>
  <si>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</si>
  <si>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</si>
  <si>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</si>
  <si>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</si>
  <si>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</si>
  <si>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</si>
  <si>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Herefordshire</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</si>
  <si>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</si>
  <si>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</si>
  <si>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</si>
  <si>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</si>
  <si>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</si>
  <si>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</si>
  <si>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</si>
  <si>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</si>
  <si>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</si>
  <si>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</si>
  <si>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</si>
  <si>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</si>
  <si>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</si>
  <si>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</si>
  <si>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</si>
  <si>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</si>
  <si>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</si>
  <si>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</si>
  <si>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</si>
  <si>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</si>
  <si>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</si>
  <si>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</si>
  <si>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</si>
  <si>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</si>
  <si>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</si>
  <si>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</si>
  <si>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</si>
  <si>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</si>
  <si>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</si>
  <si>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</si>
  <si>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</si>
  <si>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</si>
  <si>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</si>
  <si>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</si>
  <si>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</si>
  <si>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</si>
  <si>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</si>
  <si>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</si>
  <si>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</si>
  <si>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</si>
  <si>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</si>
  <si>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</si>
  <si>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</si>
  <si>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</si>
  <si>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</si>
  <si>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</si>
  <si>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</si>
  <si>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</si>
  <si>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</si>
  <si>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</si>
  <si>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</si>
  <si>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</si>
  <si>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</si>
  <si>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</si>
  <si>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</si>
  <si>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</si>
  <si>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</si>
  <si>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</si>
  <si>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</si>
  <si>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</si>
  <si>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</si>
  <si>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</si>
  <si>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</si>
  <si>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</si>
  <si>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</si>
  <si>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</si>
  <si>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</si>
  <si>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</si>
  <si>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</si>
  <si>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Medway</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</si>
  <si>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</si>
  <si>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</si>
  <si>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</si>
  <si>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</si>
  <si>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</si>
  <si>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</si>
  <si>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</si>
  <si>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</si>
  <si>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</si>
  <si>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</si>
  <si>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</si>
  <si>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</si>
  <si>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</si>
  <si>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</si>
  <si>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</si>
  <si>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</si>
  <si>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</si>
  <si>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</si>
  <si>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</si>
  <si>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</si>
  <si>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</si>
  <si>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</si>
  <si>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</si>
  <si>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Newcastle-upon-Tyne</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</si>
  <si>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</si>
  <si>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</si>
  <si>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</si>
  <si>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</si>
  <si>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</si>
  <si>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</si>
  <si>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</si>
  <si>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</si>
  <si>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</si>
  <si>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</si>
  <si>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</si>
  <si>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</si>
  <si>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</si>
  <si>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</si>
  <si>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</si>
  <si>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</si>
  <si>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</si>
  <si>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</si>
  <si>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</si>
  <si>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</si>
  <si>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</si>
  <si>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</si>
  <si>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</si>
  <si>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</si>
  <si>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</si>
  <si>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</si>
  <si>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</si>
  <si>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</si>
  <si>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</si>
  <si>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Northampton</t>
  </si>
  <si>
    <t>E2835</t>
  </si>
  <si>
    <t>Northumberland UA</t>
  </si>
  <si>
    <t>E2901</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</si>
  <si>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</si>
  <si>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</si>
  <si>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</si>
  <si>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</si>
  <si>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</si>
  <si>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</si>
  <si>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</si>
  <si>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</si>
  <si>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</si>
  <si>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</si>
  <si>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</si>
  <si>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</si>
  <si>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</si>
  <si>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</si>
  <si>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</si>
  <si>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</si>
  <si>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</si>
  <si>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</si>
  <si>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</si>
  <si>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</si>
  <si>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</si>
  <si>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</si>
  <si>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</si>
  <si>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</si>
  <si>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</si>
  <si>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</si>
  <si>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</si>
  <si>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</si>
  <si>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</si>
  <si>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</si>
  <si>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</si>
  <si>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</si>
  <si>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</si>
  <si>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</si>
  <si>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</si>
  <si>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</si>
  <si>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</si>
  <si>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</si>
  <si>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</si>
  <si>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</si>
  <si>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</si>
  <si>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</si>
  <si>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</si>
  <si>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</si>
  <si>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</si>
  <si>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</si>
  <si>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</si>
  <si>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</si>
  <si>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</si>
  <si>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</si>
  <si>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</si>
  <si>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</si>
  <si>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</si>
  <si>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</si>
  <si>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</si>
  <si>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</si>
  <si>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</si>
  <si>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</si>
  <si>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</si>
  <si>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</si>
  <si>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</si>
  <si>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</si>
  <si>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</si>
  <si>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</si>
  <si>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</si>
  <si>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</si>
  <si>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</si>
  <si>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</si>
  <si>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</si>
  <si>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</si>
  <si>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</si>
  <si>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</si>
  <si>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</si>
  <si>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</si>
  <si>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</si>
  <si>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</si>
  <si>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</si>
  <si>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</si>
  <si>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</si>
  <si>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</si>
  <si>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</si>
  <si>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</si>
  <si>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UA</t>
  </si>
  <si>
    <t>E3202</t>
  </si>
  <si>
    <t>Slough</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</si>
  <si>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</si>
  <si>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</si>
  <si>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</si>
  <si>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</si>
  <si>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</si>
  <si>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</si>
  <si>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</si>
  <si>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</si>
  <si>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</si>
  <si>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</si>
  <si>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</si>
  <si>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</si>
  <si>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</si>
  <si>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</si>
  <si>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</si>
  <si>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</si>
  <si>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</si>
  <si>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</si>
  <si>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</si>
  <si>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</si>
  <si>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</si>
  <si>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</si>
  <si>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</si>
  <si>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</si>
  <si>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</si>
  <si>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</si>
  <si>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</si>
  <si>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</si>
  <si>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</si>
  <si>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</si>
  <si>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</si>
  <si>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</si>
  <si>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</si>
  <si>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</si>
  <si>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</si>
  <si>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</si>
  <si>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</si>
  <si>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</si>
  <si>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</si>
  <si>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</si>
  <si>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</si>
  <si>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</si>
  <si>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</si>
  <si>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</si>
  <si>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</si>
  <si>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</si>
  <si>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</si>
  <si>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</si>
  <si>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</si>
  <si>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</si>
  <si>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</si>
  <si>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</si>
  <si>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</si>
  <si>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</si>
  <si>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</si>
  <si>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</si>
  <si>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</si>
  <si>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</si>
  <si>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</si>
  <si>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</si>
  <si>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</si>
  <si>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</si>
  <si>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</si>
  <si>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</si>
  <si>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</si>
  <si>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</si>
  <si>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</si>
  <si>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</si>
  <si>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</si>
  <si>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</si>
  <si>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</si>
  <si>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</si>
  <si>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</si>
  <si>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</si>
  <si>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</si>
  <si>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</si>
  <si>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</si>
  <si>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</si>
  <si>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</si>
  <si>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</si>
  <si>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</si>
  <si>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</si>
  <si>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</si>
  <si>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</si>
  <si>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</si>
  <si>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</si>
  <si>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</si>
  <si>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</si>
  <si>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</si>
  <si>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</si>
  <si>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</si>
  <si>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</si>
  <si>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</si>
  <si>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</si>
  <si>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</si>
  <si>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</si>
  <si>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</si>
  <si>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</si>
  <si>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</si>
  <si>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</si>
  <si>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</si>
  <si>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</si>
  <si>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</si>
  <si>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</si>
  <si>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</si>
  <si>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</si>
  <si>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</si>
  <si>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</si>
  <si>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</si>
  <si>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</si>
  <si>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</si>
  <si>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</si>
  <si>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</si>
  <si>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</si>
  <si>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</si>
  <si>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</si>
  <si>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</si>
  <si>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</si>
  <si>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</si>
  <si>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</si>
  <si>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</si>
  <si>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</si>
  <si>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</si>
  <si>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</si>
  <si>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</si>
  <si>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</si>
  <si>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</si>
  <si>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</si>
  <si>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</si>
  <si>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</si>
  <si>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</si>
  <si>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</si>
  <si>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</si>
  <si>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</si>
  <si>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</si>
  <si>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</si>
  <si>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</si>
  <si>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</si>
  <si>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</si>
  <si>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</si>
  <si>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</si>
  <si>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</si>
  <si>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</si>
  <si>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</si>
  <si>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</si>
  <si>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</si>
  <si>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</si>
  <si>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</si>
  <si>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</si>
  <si>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</si>
  <si>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</si>
  <si>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</si>
  <si>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</si>
  <si>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Westminster</t>
  </si>
  <si>
    <t>E5022</t>
  </si>
  <si>
    <t>Weymouth and Portland</t>
  </si>
  <si>
    <t>E1238</t>
  </si>
  <si>
    <t>Wigan</t>
  </si>
  <si>
    <t>E4210</t>
  </si>
  <si>
    <t>Wiltshire UA</t>
  </si>
  <si>
    <t>E3902</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</si>
  <si>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</si>
  <si>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</si>
  <si>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</si>
  <si>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</si>
  <si>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</si>
  <si>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</si>
  <si>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</si>
  <si>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</si>
  <si>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</si>
  <si>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</si>
  <si>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</si>
  <si>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</si>
  <si>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</si>
  <si>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</si>
  <si>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</si>
  <si>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</si>
  <si>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</si>
  <si>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</si>
  <si>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</si>
  <si>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</si>
  <si>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</si>
  <si>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</si>
  <si>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</si>
  <si>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</si>
  <si>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</si>
  <si>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</si>
  <si>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EZZZZ</t>
  </si>
  <si>
    <t xml:space="preserve">Select your local authority's name from this list: </t>
  </si>
  <si>
    <t>Partially occupied hereditaments</t>
  </si>
  <si>
    <t>Empty premises</t>
  </si>
  <si>
    <t>"New Empty" properties</t>
  </si>
  <si>
    <t xml:space="preserve">COLLECTABLE RATES </t>
  </si>
  <si>
    <t>£</t>
  </si>
  <si>
    <t>2.  Sums due to the authority</t>
  </si>
  <si>
    <t xml:space="preserve">3.  Sums due from the authority </t>
  </si>
  <si>
    <t>Column 1</t>
  </si>
  <si>
    <t>Column 2</t>
  </si>
  <si>
    <t>Column 3</t>
  </si>
  <si>
    <t>Column 4</t>
  </si>
  <si>
    <t>NDD Area</t>
  </si>
  <si>
    <t>Enterprise Zone</t>
  </si>
  <si>
    <t xml:space="preserve">Total Renewable Energy </t>
  </si>
  <si>
    <t>Small Business Rate Relief</t>
  </si>
  <si>
    <t>Community Amateur Sports Clubs (CASCs)</t>
  </si>
  <si>
    <t>Non-profit making bodies</t>
  </si>
  <si>
    <t>Small rural businesses</t>
  </si>
  <si>
    <t>Total</t>
  </si>
  <si>
    <t xml:space="preserve"> </t>
  </si>
  <si>
    <t xml:space="preserve">NET RATES PAYABLE </t>
  </si>
  <si>
    <t>5.  Legal costs</t>
  </si>
  <si>
    <t>6.  Allowance for cost of collection</t>
  </si>
  <si>
    <t>4. Cost of collection formula</t>
  </si>
  <si>
    <t>SPECIAL AUTHORITY DEDUCTIONS</t>
  </si>
  <si>
    <t>9.  Amounts retained in respect of NDD areas</t>
  </si>
  <si>
    <t>7.  City of London Offset</t>
  </si>
  <si>
    <t>Column 5</t>
  </si>
  <si>
    <t>Charitable occupation</t>
  </si>
  <si>
    <t>Rural shops etc</t>
  </si>
  <si>
    <t>Rural rate relief</t>
  </si>
  <si>
    <t>Other ratepayers</t>
  </si>
  <si>
    <t>of which:</t>
  </si>
  <si>
    <t>11. sums retained by billing authority</t>
  </si>
  <si>
    <t>12. sums retained by major precepting authority</t>
  </si>
  <si>
    <t>13.  Line 1 plus line 2, minus lines 3 and 6 - 10</t>
  </si>
  <si>
    <t xml:space="preserve">NON-DOMESTIC RATING INCOME </t>
  </si>
  <si>
    <t xml:space="preserve">DISREGARDED AMOUNTS </t>
  </si>
  <si>
    <t xml:space="preserve">1.  Net amount receivable from rate payers after taking account of transitional adjustments, empty property rate, mandatory and discretionary reliefs and accounting adjustments </t>
  </si>
  <si>
    <t xml:space="preserve">TOTAL:  </t>
  </si>
  <si>
    <t>1.  Sum payable by rate payers after taking account of transitional adjustments, empty property rate, mandatory and discretionary reliefs</t>
  </si>
  <si>
    <t>No.</t>
  </si>
  <si>
    <t>Local Authority</t>
  </si>
  <si>
    <t>Ecodes</t>
  </si>
  <si>
    <t>Adur</t>
  </si>
  <si>
    <t>E3831</t>
  </si>
  <si>
    <t>Allerdale</t>
  </si>
  <si>
    <t>E0931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</si>
  <si>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</si>
  <si>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</si>
  <si>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</si>
  <si>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</si>
  <si>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</si>
  <si>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</si>
  <si>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</si>
  <si>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</si>
  <si>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</si>
  <si>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</si>
  <si>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</si>
  <si>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</si>
  <si>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</si>
  <si>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</si>
  <si>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</si>
  <si>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</si>
  <si>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</si>
  <si>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</si>
  <si>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</si>
  <si>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</si>
  <si>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</si>
  <si>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</si>
  <si>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</si>
  <si>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</si>
  <si>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</si>
  <si>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</si>
  <si>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</si>
  <si>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</si>
  <si>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 UA</t>
  </si>
  <si>
    <t>E0202</t>
  </si>
  <si>
    <t>Bexley</t>
  </si>
  <si>
    <t>E5032</t>
  </si>
  <si>
    <t>Birmingham</t>
  </si>
  <si>
    <t>E4601</t>
  </si>
  <si>
    <t>Blaby</t>
  </si>
  <si>
    <t>E2431</t>
  </si>
  <si>
    <t>Blackburn with Darwen</t>
  </si>
  <si>
    <t>E2301</t>
  </si>
  <si>
    <t>Blackpool</t>
  </si>
  <si>
    <t>E2302</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</si>
  <si>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</si>
  <si>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</si>
  <si>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</si>
  <si>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</si>
  <si>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</si>
  <si>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</si>
  <si>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</si>
  <si>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</si>
  <si>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</si>
  <si>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</si>
  <si>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</si>
  <si>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</si>
  <si>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</si>
  <si>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</si>
  <si>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</si>
  <si>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</si>
  <si>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</si>
  <si>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</si>
  <si>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</si>
  <si>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</si>
  <si>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</si>
  <si>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</si>
  <si>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</si>
  <si>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</si>
  <si>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</si>
  <si>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</si>
  <si>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</si>
  <si>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</si>
  <si>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</si>
  <si>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</si>
  <si>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</si>
  <si>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</si>
  <si>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</si>
  <si>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</si>
  <si>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</si>
  <si>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</si>
  <si>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</si>
  <si>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</si>
  <si>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</si>
  <si>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</si>
  <si>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</si>
  <si>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</si>
  <si>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</si>
  <si>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</si>
  <si>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</si>
  <si>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</si>
  <si>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</si>
  <si>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</si>
  <si>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</si>
  <si>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</si>
  <si>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</si>
  <si>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</si>
  <si>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Central Bedfordshire UA</t>
  </si>
  <si>
    <t>E0203</t>
  </si>
  <si>
    <t>Charnwood</t>
  </si>
  <si>
    <t>E2432</t>
  </si>
  <si>
    <t>Chelmsford</t>
  </si>
  <si>
    <t>E1535</t>
  </si>
  <si>
    <t>Cheltenham</t>
  </si>
  <si>
    <t>E1631</t>
  </si>
  <si>
    <t>Cherwell</t>
  </si>
  <si>
    <t>E3131</t>
  </si>
  <si>
    <t>Cheshire East UA</t>
  </si>
  <si>
    <t>E0603</t>
  </si>
  <si>
    <t>Cheshire West &amp; Chester UA</t>
  </si>
  <si>
    <t>E0604</t>
  </si>
  <si>
    <t>Chesterfield</t>
  </si>
  <si>
    <t>E1033</t>
  </si>
  <si>
    <t>Chichester</t>
  </si>
  <si>
    <t>E3833</t>
  </si>
  <si>
    <t>Chiltern</t>
  </si>
  <si>
    <t>E0432</t>
  </si>
  <si>
    <t>Chorley</t>
  </si>
  <si>
    <t>E2334</t>
  </si>
  <si>
    <t>Christchurch</t>
  </si>
  <si>
    <t>E1232</t>
  </si>
  <si>
    <t>City of London</t>
  </si>
  <si>
    <t>TRANSITIONAL PROTECTION PAYMENTS</t>
  </si>
  <si>
    <t>Relief given to Case A hereditaments</t>
  </si>
  <si>
    <t>Net Rates Payable</t>
  </si>
  <si>
    <t>England</t>
  </si>
  <si>
    <t>Total Disregarded Amounts</t>
  </si>
  <si>
    <t>Barking &amp; Dagenham</t>
  </si>
  <si>
    <t>Blackburn with Darwen UA</t>
  </si>
  <si>
    <t>Blackpool UA</t>
  </si>
  <si>
    <t>Bournemouth UA</t>
  </si>
  <si>
    <t>Bracknell Forest UA</t>
  </si>
  <si>
    <t>Cheshire West and Chester UA</t>
  </si>
  <si>
    <t>Darlington UA</t>
  </si>
  <si>
    <t>Derby UA</t>
  </si>
  <si>
    <t>East Riding of Yorkshire UA</t>
  </si>
  <si>
    <t>Halton UA</t>
  </si>
  <si>
    <t>Hammersmith &amp; Fulham</t>
  </si>
  <si>
    <t>Hartlepool UA</t>
  </si>
  <si>
    <t>Herefordshire UA</t>
  </si>
  <si>
    <t>Hinckley &amp; Bosworth</t>
  </si>
  <si>
    <t>Kensington &amp; Chelsea</t>
  </si>
  <si>
    <t>Leicester UA</t>
  </si>
  <si>
    <t>Luton UA</t>
  </si>
  <si>
    <t>Medway UA</t>
  </si>
  <si>
    <t>Middlesbrough UA</t>
  </si>
  <si>
    <t>Milton Keynes UA</t>
  </si>
  <si>
    <t>Newark &amp; Sherwood</t>
  </si>
  <si>
    <t>North East Lincolnshire UA</t>
  </si>
  <si>
    <t>North Lincolnshire UA</t>
  </si>
  <si>
    <t>North Somerset UA</t>
  </si>
  <si>
    <t>Nottingham UA</t>
  </si>
  <si>
    <t>Nuneaton &amp; Bedworth</t>
  </si>
  <si>
    <t>Oadby &amp; Wigston</t>
  </si>
  <si>
    <t>Peterborough UA</t>
  </si>
  <si>
    <t>Plymouth UA</t>
  </si>
  <si>
    <t>Poole UA</t>
  </si>
  <si>
    <t>Portsmouth UA</t>
  </si>
  <si>
    <t>Reading UA</t>
  </si>
  <si>
    <t>Redcar &amp; Cleveland UA</t>
  </si>
  <si>
    <t>Reigate &amp; Banstead</t>
  </si>
  <si>
    <t>Rutland UA</t>
  </si>
  <si>
    <t>Slough UA</t>
  </si>
  <si>
    <t>South Gloucestershire UA</t>
  </si>
  <si>
    <t>Southampton UA</t>
  </si>
  <si>
    <t>Southend-on-Sea UA</t>
  </si>
  <si>
    <t>Stockton-on-Tees UA</t>
  </si>
  <si>
    <t>Stoke-on-Trent UA</t>
  </si>
  <si>
    <t>Swindon UA</t>
  </si>
  <si>
    <t>Telford &amp; Wrekin UA</t>
  </si>
  <si>
    <t>Thurrock UA</t>
  </si>
  <si>
    <t>Tonbridge &amp; Malling</t>
  </si>
  <si>
    <t>Torbay UA</t>
  </si>
  <si>
    <t>Warrington UA</t>
  </si>
  <si>
    <t>West Berkshire UA</t>
  </si>
  <si>
    <t>Weymouth &amp; Portland</t>
  </si>
  <si>
    <t>Windsor &amp; Maidenhead UA</t>
  </si>
  <si>
    <t>Wokingham UA</t>
  </si>
  <si>
    <t>York UA</t>
  </si>
  <si>
    <t xml:space="preserve">Net amount receivable from rate payers </t>
  </si>
  <si>
    <t>Sums due to the authority</t>
  </si>
  <si>
    <t xml:space="preserve">Sums due from the authority </t>
  </si>
  <si>
    <t>Cost of collection formula</t>
  </si>
  <si>
    <t>Legal costs</t>
  </si>
  <si>
    <t>Allowance for cost of collection</t>
  </si>
  <si>
    <t>City of London Offset</t>
  </si>
  <si>
    <t>Amounts retained in respect of Enterprise Zones</t>
  </si>
  <si>
    <t>Amounts retained in respect of NDD areas</t>
  </si>
  <si>
    <t>Amounts retained in respect of Renewable Energy Schemes (See Note B)</t>
  </si>
  <si>
    <t xml:space="preserve">sums retained by billing authority </t>
  </si>
  <si>
    <t xml:space="preserve">sums retained by major precepting authority </t>
  </si>
  <si>
    <t>Line 1 plus line 2 minus lines 3 and 6 - 10</t>
  </si>
  <si>
    <t>West Sussex</t>
  </si>
  <si>
    <t>NA</t>
  </si>
  <si>
    <t>County</t>
  </si>
  <si>
    <t>Cumbria</t>
  </si>
  <si>
    <t>Derbyshire</t>
  </si>
  <si>
    <t>Derbyshire Fire Authority</t>
  </si>
  <si>
    <t>Nottinghamshire</t>
  </si>
  <si>
    <t>Nottinghamshire Fire Authority</t>
  </si>
  <si>
    <t>Kent</t>
  </si>
  <si>
    <t>Kent Fire Authority</t>
  </si>
  <si>
    <t>Buckinghamshire</t>
  </si>
  <si>
    <t>Buckinghamshire Fire Authority</t>
  </si>
  <si>
    <t>Suffolk</t>
  </si>
  <si>
    <t>Greater London Authority</t>
  </si>
  <si>
    <t>MD</t>
  </si>
  <si>
    <t>South Yorkshire Fire</t>
  </si>
  <si>
    <t>Essex</t>
  </si>
  <si>
    <t>Essex Fire Authority</t>
  </si>
  <si>
    <t>Hampshire</t>
  </si>
  <si>
    <t>Hampshire Fire Authority</t>
  </si>
  <si>
    <t>Bath &amp; North East Somerset UA</t>
  </si>
  <si>
    <t>UA</t>
  </si>
  <si>
    <t>Avon Fire Authority</t>
  </si>
  <si>
    <t>Bedfordshire Fire Authority</t>
  </si>
  <si>
    <t>West Midlands Fire</t>
  </si>
  <si>
    <t>Leicestershire</t>
  </si>
  <si>
    <t>Leicestershire Fire Authority</t>
  </si>
  <si>
    <t>Lancashire Fire Authority</t>
  </si>
  <si>
    <t>Greater Manchester Fire</t>
  </si>
  <si>
    <t>Lincolnshire</t>
  </si>
  <si>
    <t>Dorset Fire Authority</t>
  </si>
  <si>
    <t>Berkshire Fire Authority</t>
  </si>
  <si>
    <t>West Yorkshire Fire</t>
  </si>
  <si>
    <t>Norfolk</t>
  </si>
  <si>
    <t>Brighton &amp; Hove UA</t>
  </si>
  <si>
    <t>East Sussex Fire Authority</t>
  </si>
  <si>
    <t>Bristol UA</t>
  </si>
  <si>
    <t>Worcestershire</t>
  </si>
  <si>
    <t>Hereford and Worcester Fire Authority</t>
  </si>
  <si>
    <t>Hertfordshire</t>
  </si>
  <si>
    <t>Lancashire</t>
  </si>
  <si>
    <t>Cambridgeshire</t>
  </si>
  <si>
    <t>Cambridgeshire Fire Authority</t>
  </si>
  <si>
    <t>Staffordshire</t>
  </si>
  <si>
    <t>Staffordshire Fire Authority</t>
  </si>
  <si>
    <t>Gloucestershire</t>
  </si>
  <si>
    <t>Oxfordshire</t>
  </si>
  <si>
    <t>Cheshire Fire Authority</t>
  </si>
  <si>
    <t>Dorset</t>
  </si>
  <si>
    <t>GLA - functions exc police</t>
  </si>
  <si>
    <t>Northamptonshire</t>
  </si>
  <si>
    <t>North Yorkshire</t>
  </si>
  <si>
    <t>North Yorkshire Fire Authority</t>
  </si>
  <si>
    <t>Durham Fire Authority</t>
  </si>
  <si>
    <t>Devon</t>
  </si>
  <si>
    <t>Devon and Somerset Fire Authority</t>
  </si>
  <si>
    <t>Humberside Fire Authority</t>
  </si>
  <si>
    <t>East Sussex</t>
  </si>
  <si>
    <t>Surrey</t>
  </si>
  <si>
    <t>Tyne and Wear Fire</t>
  </si>
  <si>
    <t>Cleveland Fire Authority</t>
  </si>
  <si>
    <t>Isle of Wight Council UA</t>
  </si>
  <si>
    <t>King's Lynn &amp; West Norfolk</t>
  </si>
  <si>
    <t>Kingston-upon-Hull UA</t>
  </si>
  <si>
    <t>Kingston-upon-Thames</t>
  </si>
  <si>
    <t>Merseyside Fire</t>
  </si>
  <si>
    <t>Somerset</t>
  </si>
  <si>
    <t>Warwickshire</t>
  </si>
  <si>
    <t>Richmond-upon-Thames</t>
  </si>
  <si>
    <t>Shropshire Fire Authority</t>
  </si>
  <si>
    <t>Wiltshire Fire Authority</t>
  </si>
  <si>
    <t>Local Authority name</t>
  </si>
  <si>
    <t>County Council</t>
  </si>
  <si>
    <t>Fire Authority</t>
  </si>
  <si>
    <t>Billing Authority</t>
  </si>
  <si>
    <t xml:space="preserve">PART 1: NON-DOMESTIC RATING INCOME </t>
  </si>
  <si>
    <t>COLLECTIBLE RATES</t>
  </si>
  <si>
    <t>COST OF COLLECTION (See Note A)</t>
  </si>
  <si>
    <t>10.  Amounts retained in respect of Renewable Energy Schemes
(See Note B)</t>
  </si>
  <si>
    <t>NATIONAL NON-DOMESTIC RATES RETURN - NNDR3</t>
  </si>
  <si>
    <t xml:space="preserve"> 2013-14</t>
  </si>
  <si>
    <t>PART 2: COLLECTIBLE RATES AND DISREGARDED AMOUNTS</t>
  </si>
  <si>
    <t>(LESS) ACCOUNTING ADJUSTMENTS</t>
  </si>
  <si>
    <t>LOSSES IN COLLECTION</t>
  </si>
  <si>
    <t>2. Sums written off</t>
  </si>
  <si>
    <t>3. Change in allowance for non collection</t>
  </si>
  <si>
    <t>LOSSES ON APPEAL</t>
  </si>
  <si>
    <t>4. Changes in provision for appeals</t>
  </si>
  <si>
    <t>5. Changes in provision for backdated appeal costs</t>
  </si>
  <si>
    <t>6.  Net Rates payable less accounting adjustments</t>
  </si>
  <si>
    <r>
      <t>DISRERGARDED AMOUNTS</t>
    </r>
    <r>
      <rPr>
        <sz val="12"/>
        <rFont val="Arial"/>
        <family val="2"/>
      </rPr>
      <t xml:space="preserve"> (See Note C)</t>
    </r>
  </si>
  <si>
    <t>7.  Renewable Energy</t>
  </si>
  <si>
    <t xml:space="preserve">8.  Transitional Protection Payment </t>
  </si>
  <si>
    <t xml:space="preserve">9.  Baseline </t>
  </si>
  <si>
    <t>10. Total Disregarded Amounts</t>
  </si>
  <si>
    <r>
      <t>DEBTORS AND PRE-PAYMENTS</t>
    </r>
    <r>
      <rPr>
        <sz val="12"/>
        <rFont val="Arial"/>
        <family val="2"/>
      </rPr>
      <t xml:space="preserve"> (See Note D)</t>
    </r>
  </si>
  <si>
    <t>11. Sums outstanding from ratepayers (debtors)</t>
  </si>
  <si>
    <t>12. Sums owed to ratepayers</t>
  </si>
  <si>
    <t>PART 3: RELIEFS</t>
  </si>
  <si>
    <t>TRANSITIONAL ARRANGEMENTS (See Note E)</t>
  </si>
  <si>
    <t>1.  Revenue foregone in respect of 2013-14 liability</t>
  </si>
  <si>
    <t>2.  Revenue foregone in respect of previous years' liability</t>
  </si>
  <si>
    <t>3.  Additional income received in respect of 2013-14 liability</t>
  </si>
  <si>
    <t>4.  Additional income received in respect of  previous years' liability</t>
  </si>
  <si>
    <r>
      <t>MANDATORY RELIEFS</t>
    </r>
    <r>
      <rPr>
        <sz val="12"/>
        <rFont val="Arial"/>
        <family val="2"/>
      </rPr>
      <t xml:space="preserve"> (See Note F)</t>
    </r>
  </si>
  <si>
    <t>5. Amount of relief provided in 2013-14</t>
  </si>
  <si>
    <t>6. Adjustments to relief provided in respect of previous years</t>
  </si>
  <si>
    <t>7. Additional yield from the small business supplement in 2013-14</t>
  </si>
  <si>
    <t>8. Adjustments to the yield from the small business supplement in respect of previous years</t>
  </si>
  <si>
    <t>9. Amount of relief provided in 2013-14</t>
  </si>
  <si>
    <t>10. Adjustments to amount of relief provided in respect of previous years</t>
  </si>
  <si>
    <t>11. Amount of relief provided in 2013-14</t>
  </si>
  <si>
    <t>12. Adjustments to amount of relief provided in respect of previous years</t>
  </si>
  <si>
    <t>13. Amount of relief provided in 2013-14</t>
  </si>
  <si>
    <t>14. Adjustments to amount of relief provided in respect of previous years</t>
  </si>
  <si>
    <r>
      <t>UNOCCUPIED PROPERTY</t>
    </r>
    <r>
      <rPr>
        <sz val="12"/>
        <rFont val="Arial"/>
        <family val="2"/>
      </rPr>
      <t xml:space="preserve"> (See Note G)</t>
    </r>
  </si>
  <si>
    <t>15. Amount of relief provided in 2013-14</t>
  </si>
  <si>
    <t>16. Adjustments to amount of relief provided in respect of previous years</t>
  </si>
  <si>
    <t>17. Amount of relief provided in 2013-14</t>
  </si>
  <si>
    <t>18. Adjustments to amount of relief provided in respect of previous years</t>
  </si>
  <si>
    <r>
      <t>DISCRETIONARY RELIEFS</t>
    </r>
    <r>
      <rPr>
        <sz val="12"/>
        <rFont val="Arial"/>
        <family val="2"/>
      </rPr>
      <t xml:space="preserve"> (See Note H)</t>
    </r>
  </si>
  <si>
    <t>19. Amount of relief provided in 2013-14</t>
  </si>
  <si>
    <t>20. Adjustments to amount of relief provided in respect of previous years</t>
  </si>
  <si>
    <t>21. Amount of relief provided in 2013-14</t>
  </si>
  <si>
    <t>22. Adjustments to amount of relief provided in respect of previous years</t>
  </si>
  <si>
    <t>23. Amount of relief provided in 2013-14</t>
  </si>
  <si>
    <t>24. Adjustments to amount of relief provided in respect of previous years</t>
  </si>
  <si>
    <t>25. Amount of relief provided in 2013-14</t>
  </si>
  <si>
    <t>26. Adjustments to amount of relief provided in respect of previous years</t>
  </si>
  <si>
    <t>27. Amount of relief provided in 2013-14</t>
  </si>
  <si>
    <t>28. Adjustments to amount of relief provided in respect of previous years</t>
  </si>
  <si>
    <t>29. Amount of relief provided in 2013-14</t>
  </si>
  <si>
    <t>30. Adjustments to amount of relief provided in respect of previous years</t>
  </si>
  <si>
    <t>31. Relief given to Case A hereditaments</t>
  </si>
  <si>
    <t>32. Relief given to Case B hereditaments</t>
  </si>
  <si>
    <r>
      <t xml:space="preserve">DISCRETIONARY RELIEFS FUNDED THROUGH SECTION 31 GRANT </t>
    </r>
    <r>
      <rPr>
        <sz val="12"/>
        <rFont val="Arial"/>
        <family val="2"/>
      </rPr>
      <t>(See Note J)</t>
    </r>
  </si>
  <si>
    <t>33. Amount of relief provided in 2013-14</t>
  </si>
  <si>
    <t>Flooding relief</t>
  </si>
  <si>
    <t>34. Amount of "Flooding relief" provided in 2013-14</t>
  </si>
  <si>
    <t>HARDSHIP RELIEF</t>
  </si>
  <si>
    <t>35. Amount of relief provided in 2013-14</t>
  </si>
  <si>
    <t>36. Adjustments to amount of relief provided in respect of previous years</t>
  </si>
  <si>
    <t>PART 4: TRANSITIONAL PROTECTION PAYMENTS &amp; RECONCILIATIONS</t>
  </si>
  <si>
    <t>1.  Deemed rating income for 2013-14</t>
  </si>
  <si>
    <t>2.  Actual rating income for 2013-14</t>
  </si>
  <si>
    <t>3.  Transitional protection payment due to (+) / from (-) authority (line 1 minus line 2)</t>
  </si>
  <si>
    <t>4.  Payment already made on account (based on NNDR1 2013-14)</t>
  </si>
  <si>
    <t>5.  Sum due to (+) / from (-) authority (line 3 minus line 4)</t>
  </si>
  <si>
    <r>
      <t xml:space="preserve">RECONCILLIATIONS </t>
    </r>
    <r>
      <rPr>
        <sz val="12"/>
        <rFont val="Arial"/>
        <family val="2"/>
      </rPr>
      <t>(See Note K)</t>
    </r>
  </si>
  <si>
    <t>Cost of collection</t>
  </si>
  <si>
    <t>6. Amount to be retained by billing authority in 2013-14</t>
  </si>
  <si>
    <t>7. Amount previously retained (based on NNDR1)</t>
  </si>
  <si>
    <t>8.  Sum due to (+) / from (-) billing authority</t>
  </si>
  <si>
    <t>Enterprise Zones</t>
  </si>
  <si>
    <t>9. Amount to be retained by billing authority in 2013-14</t>
  </si>
  <si>
    <t>10. Amount previously retained (based on NNDR1)</t>
  </si>
  <si>
    <t>11.  Sum due to (+) / from (-) billing authority</t>
  </si>
  <si>
    <t>NDD Areas</t>
  </si>
  <si>
    <t>12. Amount to be retained by billing authority in 2013-14</t>
  </si>
  <si>
    <t>13. Amount previously retained (based on NNDR1)</t>
  </si>
  <si>
    <t>14.  Sum due to (+) / from (-) billing authority</t>
  </si>
  <si>
    <t>Renewable Energy Schemes</t>
  </si>
  <si>
    <t>15. Amount to be retained by billing authority in 2013-14</t>
  </si>
  <si>
    <t>16. Amount previously retained (based on NNDR1)</t>
  </si>
  <si>
    <t>17.  Sum due to (+) / from (-) billing authority</t>
  </si>
  <si>
    <t>18. Amount due to major precepting authority in 2013-14</t>
  </si>
  <si>
    <t>19. Amount previously paid (based on NNDR1)</t>
  </si>
  <si>
    <t>20.  Sum due to (+) / from (-) major precepting authority</t>
  </si>
  <si>
    <r>
      <t>Qualifying relief in Enterprise Zones</t>
    </r>
    <r>
      <rPr>
        <sz val="12"/>
        <rFont val="Arial"/>
        <family val="2"/>
      </rPr>
      <t xml:space="preserve"> (See Note L)</t>
    </r>
  </si>
  <si>
    <t>21. Amount to be deducted from central share</t>
  </si>
  <si>
    <t>22. Amount deducted (based on NNDR1)</t>
  </si>
  <si>
    <t>23.  Sum due to (+) / from (-) billing authority</t>
  </si>
  <si>
    <t>24. Amount due to billing authority in 2013-14</t>
  </si>
  <si>
    <t>25. Amount provisionally paid</t>
  </si>
  <si>
    <t>26.  Sum due to (+) / from (-) billing authority</t>
  </si>
  <si>
    <t>27. Amount due to county council in 2013-14</t>
  </si>
  <si>
    <t>28. Amount provisionally paid</t>
  </si>
  <si>
    <t>29.  Sum due to (+) / from (-) county council</t>
  </si>
  <si>
    <t>30. Amount due to Fire &amp; Rescue Authority in 2013-14</t>
  </si>
  <si>
    <t>31. Amount provisionally paid</t>
  </si>
  <si>
    <t>32.  Sum due to (+) / from (-) Fire &amp; Rescue Authority</t>
  </si>
  <si>
    <t>SECTION 31 GRANTS</t>
  </si>
  <si>
    <t>Small Business Rates Relief scheme</t>
  </si>
  <si>
    <t>33. Amount due to billing authority in 2013-14 as a result of doubling SBRR</t>
  </si>
  <si>
    <t>34. Amount provisionally paid (based on s31 grant determination)</t>
  </si>
  <si>
    <t>35.  Sum due to (+) / from (-) billing authority</t>
  </si>
  <si>
    <t>36. Amount due to county council in 2013-14 as a result of doubling SBRR</t>
  </si>
  <si>
    <t>37. Amount provisionally paid (based on s31 grant determination)</t>
  </si>
  <si>
    <t>38.  Sum due to (+) / from (-) county council</t>
  </si>
  <si>
    <t>39. Amount due to Fire &amp; Rescue authority in 2013-14 as a result of doubling SBRR</t>
  </si>
  <si>
    <t>40. Amount provisionally paid (based on s31 grant determination)</t>
  </si>
  <si>
    <t>41.  Sum due to (+) / from (-) Fire &amp; Rescue authority</t>
  </si>
  <si>
    <t>PART 5: ACCOUNTING SUMMARY</t>
  </si>
  <si>
    <t xml:space="preserve">This section shows the sums due to the billing authority, central government and major precepting authorities, along with the various accounting entries each authority will need to complete its financial statements. </t>
  </si>
  <si>
    <t>Non-Domestic Rating Income for 2013-14</t>
  </si>
  <si>
    <t xml:space="preserve">1. Non-domestic rating income from rates retention scheme </t>
  </si>
  <si>
    <t>2. (less) qualifying relief in Enterprise Zones</t>
  </si>
  <si>
    <t>Other Income for 2013-14</t>
  </si>
  <si>
    <t>4. add: cost of collection allowance</t>
  </si>
  <si>
    <t xml:space="preserve">5. add: amounts retained in respect of Enterprise Zones </t>
  </si>
  <si>
    <t xml:space="preserve">6. add: amounts retained in respect of NDD Area </t>
  </si>
  <si>
    <t xml:space="preserve">7. add: amounts retained in respect of renewable energy schemes </t>
  </si>
  <si>
    <t>8. add: qualifying relief in Enterprise Zones</t>
  </si>
  <si>
    <t>Balance Sheet</t>
  </si>
  <si>
    <t>Sums receivable / payable (ratepayers)</t>
  </si>
  <si>
    <t>9.  Sums outstanding from ratepayers</t>
  </si>
  <si>
    <t>10.  Sums oustanding owed to ratepayers</t>
  </si>
  <si>
    <t>Allowance for non collection</t>
  </si>
  <si>
    <t>11. Opening balance as at 1 April 2013</t>
  </si>
  <si>
    <t>12. Change in provision for 2013-14</t>
  </si>
  <si>
    <t>13.  Closing balance on 31 March 2014</t>
  </si>
  <si>
    <t>Appeal adjustment</t>
  </si>
  <si>
    <t>Provision for appeals</t>
  </si>
  <si>
    <t>14. Opening balance as at 1 April 2013</t>
  </si>
  <si>
    <t>15. Change in provision for 2013-14</t>
  </si>
  <si>
    <t>16.  Closing balance on 31 March 2014</t>
  </si>
  <si>
    <t>Provision for backdated appeal adjustments</t>
  </si>
  <si>
    <t>17. Opening balance as at 1 April 2013</t>
  </si>
  <si>
    <t>18. Change in provision for 2013-14</t>
  </si>
  <si>
    <t>19.  Closing balance  on 31 March 2014</t>
  </si>
  <si>
    <t>Losses in Collection - Sums written off</t>
  </si>
  <si>
    <t>Losses in Collection - Change in allowance for non collection</t>
  </si>
  <si>
    <t>Losses on Appeal - Changes in provision for appeals</t>
  </si>
  <si>
    <t>Losses on Appeal - Changes in provision for backdated appeal costs</t>
  </si>
  <si>
    <t>Collectable Rates</t>
  </si>
  <si>
    <t>Disrergarded Amounts -  Renewable Energy</t>
  </si>
  <si>
    <t xml:space="preserve">Disrergarded Amounts -  Baseline </t>
  </si>
  <si>
    <t xml:space="preserve">Debtors and Pre-Payments -  Sums outstanding from ratepayers </t>
  </si>
  <si>
    <t xml:space="preserve">Debtors and Pre-Payments - Sums owed to ratepayers  </t>
  </si>
  <si>
    <t>Transitional Arrangements - Revenue foregone in respect of 2013-14 liability</t>
  </si>
  <si>
    <t>Revenue foregone in respect of previous years liability</t>
  </si>
  <si>
    <t>Additional income received in respect of 2013-14 liability</t>
  </si>
  <si>
    <t>Additional income received in respect of  previous years liability</t>
  </si>
  <si>
    <t>Mandatory Reliefs - Small Business Rate Relief - Amount  provided in 2013-14</t>
  </si>
  <si>
    <t>Mandatory Reliefs - Small Business Rate Relief - Amount of relief provided in respect of previous years</t>
  </si>
  <si>
    <t>Mandatory Reliefs - Small Business Rate Relief - Additional yield from the small business supplement in 2013-14</t>
  </si>
  <si>
    <t>Mandatory Reliefs - Small Business Rate Relief - Additional yield from the small business supplement in respect of previous years</t>
  </si>
  <si>
    <t>Mandatory Reliefs - Charitable occupation - Amount of relief provided in 2013-14</t>
  </si>
  <si>
    <t>Mandatory Reliefs - Charitable occupation - Adjustments to amount of relief provided in respect of previous years</t>
  </si>
  <si>
    <t>Mandatory Reliefs - Community Amateur Sports Clubs - Amount of relief provided in 2013-14</t>
  </si>
  <si>
    <t>Mandatory Reliefs - Community Amateur Sports Clubs -  Adjustments to amount of relief provided in respect of previous years</t>
  </si>
  <si>
    <t>Mandatory Reliefs - Rural rate relief -  Amount of relief provided in 2013-14</t>
  </si>
  <si>
    <t>Mandatory Reliefs - Rural rate relief - Adjustments to amount of relief provided in respect of previous years</t>
  </si>
  <si>
    <t xml:space="preserve">Mandatory Reliefs - Partially occupied hereditaments -  Amount of relief provided in 2013-14                  </t>
  </si>
  <si>
    <t>Mandatory Reliefs - Partially occupied hereditaments - Adjustments to amount of relief provided in respect of previous years</t>
  </si>
  <si>
    <t>Mandatory Reliefs - Empty premises -  Amount of relief provided in 2013-14</t>
  </si>
  <si>
    <t>Mandatory Reliefs - Empty premises - Adjustments to amount of relief provided in respect of previous years</t>
  </si>
  <si>
    <t>Discretionary Reliefs - Charitable occupation -  Amount of relief provided in 2013-14</t>
  </si>
  <si>
    <t>Discretionary Reliefs - Charitable occupation -  Adjustments to amount of relief provided in respect of previous years</t>
  </si>
  <si>
    <t>Discretionary Reliefs - Non-profit making bodies - Amount of relief provided in 2013-14</t>
  </si>
  <si>
    <t>Discretionary Reliefs - Non-profit making bodies - Adjustments to amount of relief provided in respect of previous years</t>
  </si>
  <si>
    <t>Discretionary Reliefs - Community Amateur Sports Clubs - Amount of relief provided in 2013-14</t>
  </si>
  <si>
    <t>Discretionary Reliefs - Community Amateur Sports Clubs - Adjustments to amount of relief provided in respect of previous years</t>
  </si>
  <si>
    <t>Discretionary Reliefs - Rural shops - Amount of relief provided in 2013-14</t>
  </si>
  <si>
    <t>Discretionary Reliefs - Rural shops - Adjustments to amount of relief provided in respect of previous years</t>
  </si>
  <si>
    <t>Small rural businesses - Amount of relief provided in 2013-14</t>
  </si>
  <si>
    <t>Small rural businesses -  Adjustments to amount of relief provided in respect of previous years</t>
  </si>
  <si>
    <t>Other ratepayers - Amount of relief provided in 2013-14</t>
  </si>
  <si>
    <t>Other ratepayers - Adjustments to amount of relief provided in respect of previous years</t>
  </si>
  <si>
    <t>New Empty properties -  Amount of relief provided in 2013-14</t>
  </si>
  <si>
    <t>Flooding relief -  Amount of Flooding relief provided in 2013-14</t>
  </si>
  <si>
    <t xml:space="preserve">Hardship Relief - Amount of relief provided in 2013-14                 </t>
  </si>
  <si>
    <t>Hardship Relief -   Adjustments to amount of relief provided in respect of previous years</t>
  </si>
  <si>
    <t>Transitional protection payments -  Deemed rating income for 2013-14</t>
  </si>
  <si>
    <t>Transitional protection payments - Actual rating income for 2013-14</t>
  </si>
  <si>
    <t xml:space="preserve">Transitional protection payments - due to  authority </t>
  </si>
  <si>
    <t>Transitional protection payments - Payment already made on account</t>
  </si>
  <si>
    <t xml:space="preserve">Transitional protection payments - Sum due </t>
  </si>
  <si>
    <t>Cost of collection - Amount to be retained by billing authority in 2013-14</t>
  </si>
  <si>
    <t>Cost of collection -  Amount previously retained</t>
  </si>
  <si>
    <t xml:space="preserve">Cost of collection - Sum due </t>
  </si>
  <si>
    <t>Enterprise Zones -  Amount to be retained by billing authority in 2013-14</t>
  </si>
  <si>
    <t xml:space="preserve">Enterprise Zones - Amount previously retained </t>
  </si>
  <si>
    <t xml:space="preserve">Enterprise Zones - Sum due </t>
  </si>
  <si>
    <t>NDD Areas - Amount to be retained by billing authority in 2013-14</t>
  </si>
  <si>
    <t xml:space="preserve">NDD Areas - Amount previously retained </t>
  </si>
  <si>
    <t>NDD Areas - Sum due</t>
  </si>
  <si>
    <t xml:space="preserve">Renewable Energy Schemes - Amount to be retained by billing authority in 2013-14                      </t>
  </si>
  <si>
    <t>Renewable Energy Schemes -  Amount previously retained</t>
  </si>
  <si>
    <t>Renewable Energy Schemes - Sum due</t>
  </si>
  <si>
    <t xml:space="preserve">Renewable Energy Schemes -  Amount due to major precepting authority in 2013-14          </t>
  </si>
  <si>
    <t xml:space="preserve">Renewable Energy Schemes - Amount previously paid             </t>
  </si>
  <si>
    <t xml:space="preserve">Renewable Energy Schemes - Sum due               </t>
  </si>
  <si>
    <t>Qualifying relief in Enterprise Zones  - Amount to be deducted from central share</t>
  </si>
  <si>
    <t xml:space="preserve">Qualifying relief in Enterprise Zones  -  Amount deducted </t>
  </si>
  <si>
    <t>Qualifying relief in Enterprise Zones  - Sum due</t>
  </si>
  <si>
    <t>Qualifying relief in Enterprise Zones  - Amount due to billing authority in 2013-14</t>
  </si>
  <si>
    <t>Qualifying relief in Enterprise Zones  - Amount provisionally paid</t>
  </si>
  <si>
    <t>Qualifying relief in Enterprise Zones  - Amount due to county council in 2013-14</t>
  </si>
  <si>
    <t>Qualifying relief in Enterprise Zones  -  Amount due to Fire &amp; Rescue Authority in 2013-14</t>
  </si>
  <si>
    <t>Qualifying relief in Enterprise Zones  -  Amount provisionally paid</t>
  </si>
  <si>
    <t xml:space="preserve">Section 31 Grants -   Amount due to billing authority in 2013-14 as a result of doubling SBRR </t>
  </si>
  <si>
    <t xml:space="preserve">Section 31 Grants -  Amount provisionally paid </t>
  </si>
  <si>
    <t>Section 31 Grants - Sum due</t>
  </si>
  <si>
    <t>Section 31 Grants - Amount due to county council in 2013-14 as a result of doubling SBRR</t>
  </si>
  <si>
    <t>Section 31 Grants -  Sum due</t>
  </si>
  <si>
    <t>Section 31 Grants - Amount due to Fire &amp; Rescue authority in 2013-14 as a result of doubling SBRR</t>
  </si>
  <si>
    <t>Section 31 Grants - Amount provisionally paid</t>
  </si>
  <si>
    <t xml:space="preserve">Non-Domestic Rating Income for 2013-14 -  from rates retention scheme                                  </t>
  </si>
  <si>
    <t xml:space="preserve">Non-Domestic Rating Income for 2013-14 - less qualifying relief in Enterprise Zones                                    </t>
  </si>
  <si>
    <t xml:space="preserve">Non-Domestic Rating Income for 2013-14 - Total                                 </t>
  </si>
  <si>
    <t>Other Income for 2014-15 - add: cost of collection allowance</t>
  </si>
  <si>
    <t xml:space="preserve">Other Income for 2014-15 - add: amounts retained in respect of Enterprise Zones </t>
  </si>
  <si>
    <t>Other Income for 2014-15 - add: amounts retained in respect of NDD Area</t>
  </si>
  <si>
    <t>Other Income for 2014-15 - add: amounts retained in respect of renewable energy schemes</t>
  </si>
  <si>
    <t>Other Income for 2014-15 - add: qualifying relief in Enterprise Zones</t>
  </si>
  <si>
    <t>Balance Sheet - Sums outstanding from ratepayers</t>
  </si>
  <si>
    <t>Balance Sheet -  Sums oustanding owed to ratepayers</t>
  </si>
  <si>
    <t>Allowance for non collection - Opening balance</t>
  </si>
  <si>
    <t>Allowance for non collection - Change in provision for 2013-14</t>
  </si>
  <si>
    <t>Allowance for non collection - Closing balance</t>
  </si>
  <si>
    <t xml:space="preserve">Appeal adjustment -  Opening balance  </t>
  </si>
  <si>
    <t xml:space="preserve">Appeal adjustment - Change in provision for 2013-14   </t>
  </si>
  <si>
    <t xml:space="preserve">Appeal adjustment - Closing balance   </t>
  </si>
  <si>
    <t>Provision for backdated appeal adjustments - Opening balance</t>
  </si>
  <si>
    <t>Provision for backdated appeal adjustments - Change in provision for 2013-14</t>
  </si>
  <si>
    <t>Provision for backdated appeal adjustments - Closing balance</t>
  </si>
  <si>
    <t xml:space="preserve">Disrergarded Amounts - Transitional Protection Payment </t>
  </si>
  <si>
    <t>Class</t>
  </si>
  <si>
    <t>Region</t>
  </si>
  <si>
    <t>SD</t>
  </si>
  <si>
    <t>SE</t>
  </si>
  <si>
    <t>NW</t>
  </si>
  <si>
    <t>EM</t>
  </si>
  <si>
    <t>E</t>
  </si>
  <si>
    <t>OLB</t>
  </si>
  <si>
    <t>L</t>
  </si>
  <si>
    <t>Met</t>
  </si>
  <si>
    <t>YH</t>
  </si>
  <si>
    <t>SW</t>
  </si>
  <si>
    <t>WM</t>
  </si>
  <si>
    <t>ILB</t>
  </si>
  <si>
    <t>NE</t>
  </si>
  <si>
    <t>Inner London Boroughs</t>
  </si>
  <si>
    <t>Outer London Boroughs</t>
  </si>
  <si>
    <t>Metropolitan Districts</t>
  </si>
  <si>
    <t>Unitary Authorities</t>
  </si>
  <si>
    <t>Shire Districts</t>
  </si>
  <si>
    <t>Brighton and Hove</t>
  </si>
  <si>
    <t>Epsom and Ewell</t>
  </si>
  <si>
    <t>Huntingdonshire (new)</t>
  </si>
  <si>
    <t>Isle of Wight UA</t>
  </si>
  <si>
    <t>Kings Lynn &amp; West Norfolk</t>
  </si>
  <si>
    <t>Kingston upon Hull UA</t>
  </si>
  <si>
    <t>Malvern Hills (new)</t>
  </si>
  <si>
    <t>Newcastle upon Tyne</t>
  </si>
  <si>
    <t>NATIONAL NON-DOMESTIC RATES RETURN - NNDR3 (REVISED)</t>
  </si>
  <si>
    <t>( 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</si>
</sst>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_(&quot;£&quot;* \(#,##0.00\);_(&quot;£&quot;* &quot;-&quot;??_);_(@_)"/>
    <numFmt numFmtId="165" formatCode="_(* #,##0.00_);_(* \(#,##0.00\);_(* &quot;-&quot;??_);_(@_)"/>
    <numFmt numFmtId="166" formatCode="#,##0.000"/>
    <numFmt numFmtId="167" formatCode="#,##0.000000000000"/>
    <numFmt numFmtId="168" formatCode="_-* #,##0_-;\-* #,##0_-;_-* &quot;-&quot;??_-;_-@_-"/>
    <numFmt numFmtId="169" formatCode="#,##0.000000000000000"/>
    <numFmt numFmtId="170" formatCode="dd/mm/yy;@"/>
    <numFmt numFmtId="171" formatCode="0_)"/>
    <numFmt numFmtId="172" formatCode="#,##0.0"/>
    <numFmt numFmtId="173" formatCode="_-* #,##0.0_-;\-* #,##0.0_-;_-* &quot;-&quot;??_-;_-@_-"/>
  </numFmts>
  <fonts count="50" x14ac:knownFonts="1">
    <font>
      <sz val="10"/>
      <name val="Arial"/>
    </font>
    <font>
      <sz val="10"/>
      <name val="Arial"/>
      <family val="2"/>
    </font>
    <font>
      <b/>
      <sz val="10"/>
      <name val="Arial"/>
      <family val="2"/>
    </font>
    <font>
      <sz val="10"/>
      <name val="Arial"/>
      <family val="2"/>
    </font>
    <font>
      <sz val="8"/>
      <name val="Arial"/>
      <family val="2"/>
    </font>
    <font>
      <sz val="12"/>
      <name val="Arial"/>
      <family val="2"/>
    </font>
    <font>
      <b/>
      <u/>
      <sz val="12"/>
      <name val="Arial"/>
      <family val="2"/>
    </font>
    <font>
      <b/>
      <sz val="12"/>
      <name val="Arial"/>
      <family val="2"/>
    </font>
    <font>
      <sz val="12"/>
      <color indexed="17"/>
      <name val="Arial"/>
      <family val="2"/>
    </font>
    <font>
      <b/>
      <sz val="12"/>
      <color indexed="17"/>
      <name val="Arial"/>
      <family val="2"/>
    </font>
    <font>
      <b/>
      <sz val="12"/>
      <name val="Arial"/>
      <family val="2"/>
    </font>
    <font>
      <sz val="12"/>
      <name val="Arial"/>
      <family val="2"/>
    </font>
    <font>
      <sz val="12"/>
      <color indexed="6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sz val="12"/>
      <name val="Arial"/>
      <family val="2"/>
    </font>
    <font>
      <b/>
      <sz val="14"/>
      <name val="Arial"/>
      <family val="2"/>
    </font>
    <font>
      <sz val="12"/>
      <color indexed="44"/>
      <name val="Arial"/>
      <family val="2"/>
    </font>
    <font>
      <sz val="12"/>
      <color indexed="10"/>
      <name val="Arial"/>
      <family val="2"/>
    </font>
    <font>
      <b/>
      <sz val="12"/>
      <color indexed="10"/>
      <name val="Arial"/>
      <family val="2"/>
    </font>
    <font>
      <b/>
      <sz val="10"/>
      <name val="Arial"/>
      <family val="2"/>
    </font>
    <font>
      <b/>
      <u/>
      <sz val="10"/>
      <name val="Arial"/>
      <family val="2"/>
    </font>
    <font>
      <sz val="10"/>
      <name val="Arial"/>
      <family val="2"/>
    </font>
    <font>
      <sz val="12"/>
      <color indexed="44"/>
      <name val="Arial"/>
      <family val="2"/>
    </font>
    <font>
      <sz val="12"/>
      <color indexed="44"/>
      <name val="Arial"/>
      <family val="2"/>
    </font>
    <font>
      <sz val="12"/>
      <color indexed="55"/>
      <name val="Arial"/>
      <family val="2"/>
    </font>
    <font>
      <sz val="12"/>
      <color indexed="9"/>
      <name val="Arial"/>
      <family val="2"/>
    </font>
    <font>
      <sz val="8"/>
      <name val="Arial"/>
      <family val="2"/>
    </font>
    <font>
      <b/>
      <sz val="16"/>
      <name val="Arial"/>
      <family val="2"/>
    </font>
    <font>
      <b/>
      <u/>
      <sz val="16"/>
      <name val="Arial"/>
      <family val="2"/>
    </font>
    <font>
      <sz val="16"/>
      <name val="Arial"/>
      <family val="2"/>
    </font>
    <font>
      <sz val="10"/>
      <color indexed="10"/>
      <name val="Arial"/>
      <family val="2"/>
    </font>
    <font>
      <b/>
      <sz val="12"/>
      <color rgb="FFFF0000"/>
      <name val="Arial"/>
      <family val="2"/>
    </font>
    <font>
      <sz val="12"/>
      <color rgb="FFFFFFCC"/>
      <name val="Arial"/>
      <family val="2"/>
    </font>
    <font>
      <sz val="10"/>
      <name val="Courier"/>
      <family val="3"/>
    </font>
    <font>
      <sz val="10"/>
      <color indexed="8"/>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57"/>
      </left>
      <right/>
      <top/>
      <bottom/>
      <diagonal/>
    </border>
    <border>
      <left/>
      <right style="medium">
        <color indexed="57"/>
      </right>
      <top/>
      <bottom/>
      <diagonal/>
    </border>
    <border>
      <left/>
      <right style="medium">
        <color indexed="57"/>
      </right>
      <top/>
      <bottom style="medium">
        <color indexed="57"/>
      </bottom>
      <diagonal/>
    </border>
    <border>
      <left style="medium">
        <color indexed="57"/>
      </left>
      <right/>
      <top/>
      <bottom style="medium">
        <color indexed="57"/>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53"/>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5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theme="9" tint="-0.24994659260841701"/>
      </top>
      <bottom/>
      <diagonal/>
    </border>
    <border>
      <left/>
      <right/>
      <top/>
      <bottom style="medium">
        <color theme="9"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53"/>
      </top>
      <bottom/>
      <diagonal/>
    </border>
    <border>
      <left style="medium">
        <color indexed="57"/>
      </left>
      <right/>
      <top style="medium">
        <color indexed="57"/>
      </top>
      <bottom/>
      <diagonal/>
    </border>
    <border>
      <left/>
      <right/>
      <top style="medium">
        <color indexed="57"/>
      </top>
      <bottom/>
      <diagonal/>
    </border>
    <border>
      <left/>
      <right style="medium">
        <color indexed="57"/>
      </right>
      <top style="medium">
        <color indexed="57"/>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indexed="64"/>
      </left>
      <right/>
      <top style="thin">
        <color indexed="64"/>
      </top>
      <bottom style="medium">
        <color indexed="64"/>
      </bottom>
      <diagonal/>
    </border>
    <border>
      <left/>
      <right style="medium">
        <color indexed="64"/>
      </right>
      <top style="medium">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thin">
        <color auto="1"/>
      </left>
      <right style="thin">
        <color auto="1"/>
      </right>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ck">
        <color indexed="64"/>
      </bottom>
      <diagonal/>
    </border>
    <border>
      <left/>
      <right style="thin">
        <color indexed="64"/>
      </right>
      <top/>
      <bottom/>
      <diagonal/>
    </border>
  </borders>
  <cellStyleXfs count="4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3" fontId="3" fillId="17" borderId="2">
      <alignment horizontal="right"/>
    </xf>
    <xf numFmtId="3" fontId="2" fillId="17" borderId="3">
      <alignment horizontal="right"/>
    </xf>
    <xf numFmtId="3" fontId="3" fillId="17" borderId="3">
      <alignment horizontal="right"/>
    </xf>
    <xf numFmtId="0" fontId="17" fillId="18" borderId="4"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8" applyNumberFormat="0" applyFill="0" applyAlignment="0" applyProtection="0"/>
    <xf numFmtId="0" fontId="25" fillId="7" borderId="0" applyNumberFormat="0" applyBorder="0" applyAlignment="0" applyProtection="0"/>
    <xf numFmtId="0" fontId="1" fillId="4" borderId="9" applyNumberFormat="0" applyFont="0" applyAlignment="0" applyProtection="0"/>
    <xf numFmtId="0" fontId="26" fillId="16" borderId="10"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4" fillId="0" borderId="0" applyNumberFormat="0" applyFill="0" applyBorder="0" applyAlignment="0" applyProtection="0"/>
    <xf numFmtId="171" fontId="48" fillId="0" borderId="0"/>
    <xf numFmtId="0" fontId="1" fillId="0" borderId="0"/>
  </cellStyleXfs>
  <cellXfs count="458">
    <xf numFmtId="0" fontId="0" fillId="0" borderId="0" xfId="0"/>
    <xf numFmtId="0" fontId="0" fillId="19" borderId="0" xfId="0" applyFill="1" applyBorder="1" applyAlignment="1">
      <alignment horizontal="center"/>
    </xf>
    <xf numFmtId="0" fontId="0" fillId="19" borderId="0" xfId="0" applyFill="1" applyBorder="1"/>
    <xf numFmtId="0" fontId="2" fillId="19" borderId="0" xfId="0" applyFont="1" applyFill="1" applyBorder="1" applyAlignment="1">
      <alignment horizontal="center"/>
    </xf>
    <xf numFmtId="0" fontId="0" fillId="19" borderId="13" xfId="0" applyFill="1" applyBorder="1"/>
    <xf numFmtId="0" fontId="0" fillId="19" borderId="14" xfId="0" applyFill="1" applyBorder="1"/>
    <xf numFmtId="0" fontId="5" fillId="17" borderId="0" xfId="0" applyFont="1" applyFill="1" applyBorder="1"/>
    <xf numFmtId="0" fontId="5" fillId="0" borderId="0" xfId="0" applyFont="1"/>
    <xf numFmtId="0" fontId="5" fillId="19" borderId="0" xfId="0" applyFont="1" applyFill="1" applyBorder="1"/>
    <xf numFmtId="0" fontId="5" fillId="19" borderId="16" xfId="0" applyFont="1" applyFill="1" applyBorder="1"/>
    <xf numFmtId="0" fontId="5" fillId="19" borderId="17" xfId="0" applyFont="1" applyFill="1" applyBorder="1"/>
    <xf numFmtId="0" fontId="7" fillId="19" borderId="0" xfId="0" applyFont="1" applyFill="1" applyBorder="1" applyAlignment="1">
      <alignment horizontal="left"/>
    </xf>
    <xf numFmtId="0" fontId="7" fillId="19" borderId="0" xfId="0" applyFont="1" applyFill="1" applyBorder="1"/>
    <xf numFmtId="0" fontId="7" fillId="19" borderId="0" xfId="0" applyFont="1" applyFill="1" applyBorder="1" applyAlignment="1">
      <alignment horizontal="center"/>
    </xf>
    <xf numFmtId="0" fontId="5" fillId="19" borderId="0" xfId="0" applyFont="1" applyFill="1" applyBorder="1" applyAlignment="1">
      <alignment horizontal="left"/>
    </xf>
    <xf numFmtId="0" fontId="7" fillId="19" borderId="0" xfId="0" applyFont="1" applyFill="1" applyBorder="1" applyAlignment="1"/>
    <xf numFmtId="0" fontId="7" fillId="19" borderId="0" xfId="0" applyFont="1" applyFill="1" applyBorder="1" applyAlignment="1">
      <alignment horizontal="right"/>
    </xf>
    <xf numFmtId="0" fontId="5" fillId="20" borderId="18" xfId="0" applyFont="1" applyFill="1" applyBorder="1"/>
    <xf numFmtId="0" fontId="5" fillId="20" borderId="19" xfId="0" applyFont="1" applyFill="1" applyBorder="1"/>
    <xf numFmtId="0" fontId="5" fillId="20" borderId="20" xfId="0" applyFont="1" applyFill="1" applyBorder="1"/>
    <xf numFmtId="0" fontId="5" fillId="17" borderId="21" xfId="0" applyFont="1" applyFill="1" applyBorder="1"/>
    <xf numFmtId="0" fontId="0" fillId="19" borderId="16" xfId="0" applyFill="1" applyBorder="1"/>
    <xf numFmtId="0" fontId="0" fillId="19" borderId="22" xfId="0" applyFill="1" applyBorder="1"/>
    <xf numFmtId="0" fontId="0" fillId="19" borderId="23" xfId="0" applyFill="1" applyBorder="1"/>
    <xf numFmtId="0" fontId="11" fillId="19" borderId="0" xfId="0" applyFont="1" applyFill="1" applyBorder="1"/>
    <xf numFmtId="0" fontId="11" fillId="19" borderId="17" xfId="0" applyFont="1" applyFill="1" applyBorder="1"/>
    <xf numFmtId="0" fontId="11" fillId="0" borderId="0" xfId="0" applyFont="1"/>
    <xf numFmtId="0" fontId="12" fillId="19" borderId="0" xfId="0" applyFont="1" applyFill="1" applyBorder="1" applyAlignment="1">
      <alignment horizontal="center"/>
    </xf>
    <xf numFmtId="0" fontId="10" fillId="19" borderId="16" xfId="0" applyFont="1" applyFill="1" applyBorder="1" applyAlignment="1">
      <alignment horizontal="left"/>
    </xf>
    <xf numFmtId="0" fontId="10" fillId="19" borderId="0" xfId="0" applyFont="1" applyFill="1" applyBorder="1" applyAlignment="1"/>
    <xf numFmtId="0" fontId="11" fillId="19" borderId="16" xfId="0" applyFont="1" applyFill="1" applyBorder="1"/>
    <xf numFmtId="1" fontId="1" fillId="20" borderId="18" xfId="0" applyNumberFormat="1" applyFont="1" applyFill="1" applyBorder="1"/>
    <xf numFmtId="0" fontId="1" fillId="20" borderId="19" xfId="0" applyFont="1" applyFill="1" applyBorder="1"/>
    <xf numFmtId="0" fontId="1" fillId="20" borderId="0" xfId="0" applyFont="1" applyFill="1" applyBorder="1" applyAlignment="1"/>
    <xf numFmtId="1" fontId="1" fillId="20" borderId="16" xfId="0" applyNumberFormat="1" applyFont="1" applyFill="1" applyBorder="1" applyAlignment="1">
      <alignment horizontal="center"/>
    </xf>
    <xf numFmtId="1" fontId="1" fillId="20" borderId="0" xfId="0" applyNumberFormat="1" applyFont="1" applyFill="1" applyBorder="1" applyAlignment="1">
      <alignment horizontal="center"/>
    </xf>
    <xf numFmtId="1" fontId="1" fillId="20" borderId="16" xfId="0" applyNumberFormat="1" applyFont="1" applyFill="1" applyBorder="1"/>
    <xf numFmtId="0" fontId="1" fillId="20" borderId="0" xfId="0" applyFont="1" applyFill="1" applyBorder="1"/>
    <xf numFmtId="0" fontId="0" fillId="20" borderId="0" xfId="0" applyNumberFormat="1" applyFill="1" applyBorder="1" applyAlignment="1" applyProtection="1">
      <alignment horizontal="center"/>
      <protection locked="0"/>
    </xf>
    <xf numFmtId="0" fontId="0" fillId="20" borderId="0" xfId="0" applyFill="1" applyBorder="1" applyAlignment="1" applyProtection="1">
      <alignment horizontal="center"/>
      <protection locked="0"/>
    </xf>
    <xf numFmtId="0" fontId="0" fillId="20" borderId="0" xfId="0" applyFill="1" applyBorder="1" applyProtection="1">
      <protection locked="0"/>
    </xf>
    <xf numFmtId="0" fontId="0" fillId="20" borderId="0" xfId="0" applyNumberFormat="1" applyFill="1" applyBorder="1" applyProtection="1">
      <protection locked="0"/>
    </xf>
    <xf numFmtId="0" fontId="5" fillId="20" borderId="0" xfId="0" applyFont="1" applyFill="1" applyBorder="1"/>
    <xf numFmtId="0" fontId="5" fillId="20" borderId="17" xfId="0" applyFont="1" applyFill="1" applyBorder="1"/>
    <xf numFmtId="0" fontId="5" fillId="20" borderId="16" xfId="0" applyFont="1" applyFill="1" applyBorder="1"/>
    <xf numFmtId="0" fontId="5" fillId="20" borderId="22" xfId="0" applyFont="1" applyFill="1" applyBorder="1"/>
    <xf numFmtId="0" fontId="5" fillId="20" borderId="23" xfId="0" applyFont="1" applyFill="1" applyBorder="1"/>
    <xf numFmtId="0" fontId="5" fillId="20" borderId="24" xfId="0" applyFont="1" applyFill="1" applyBorder="1"/>
    <xf numFmtId="0" fontId="0" fillId="19" borderId="17" xfId="0" applyFill="1" applyBorder="1"/>
    <xf numFmtId="0" fontId="0" fillId="19" borderId="24" xfId="0" applyFill="1" applyBorder="1"/>
    <xf numFmtId="0" fontId="5" fillId="20" borderId="23" xfId="0" applyFont="1" applyFill="1" applyBorder="1" applyAlignment="1">
      <alignment horizontal="center"/>
    </xf>
    <xf numFmtId="0" fontId="10" fillId="19" borderId="0" xfId="0" applyFont="1" applyFill="1" applyBorder="1" applyAlignment="1">
      <alignment horizontal="left"/>
    </xf>
    <xf numFmtId="0" fontId="5" fillId="20" borderId="18" xfId="0" applyFont="1" applyFill="1" applyBorder="1" applyAlignment="1"/>
    <xf numFmtId="0" fontId="5" fillId="20" borderId="19" xfId="0" applyFont="1" applyFill="1" applyBorder="1" applyAlignment="1"/>
    <xf numFmtId="0" fontId="5" fillId="20" borderId="22" xfId="0" applyFont="1" applyFill="1" applyBorder="1" applyAlignment="1"/>
    <xf numFmtId="0" fontId="5" fillId="20" borderId="23" xfId="0" applyFont="1" applyFill="1" applyBorder="1" applyAlignment="1"/>
    <xf numFmtId="0" fontId="5" fillId="20" borderId="24" xfId="0" applyFont="1" applyFill="1" applyBorder="1" applyAlignment="1"/>
    <xf numFmtId="0" fontId="2" fillId="19" borderId="0" xfId="0" applyFont="1" applyFill="1" applyBorder="1" applyAlignment="1">
      <alignment horizontal="left"/>
    </xf>
    <xf numFmtId="0" fontId="30" fillId="19" borderId="0" xfId="0" applyFont="1" applyFill="1" applyBorder="1" applyAlignment="1">
      <alignment horizontal="left"/>
    </xf>
    <xf numFmtId="3" fontId="5" fillId="19" borderId="0" xfId="0" applyNumberFormat="1" applyFont="1" applyFill="1" applyBorder="1" applyAlignment="1">
      <alignment horizontal="right" vertical="center" indent="1"/>
    </xf>
    <xf numFmtId="3" fontId="8" fillId="19" borderId="0" xfId="0" applyNumberFormat="1" applyFont="1" applyFill="1" applyBorder="1" applyAlignment="1">
      <alignment horizontal="right" vertical="center" indent="1"/>
    </xf>
    <xf numFmtId="3" fontId="9" fillId="19" borderId="0" xfId="0" applyNumberFormat="1" applyFont="1" applyFill="1" applyBorder="1" applyAlignment="1">
      <alignment horizontal="right" vertical="center" indent="1"/>
    </xf>
    <xf numFmtId="3" fontId="8" fillId="19" borderId="0" xfId="0" applyNumberFormat="1" applyFont="1" applyFill="1" applyBorder="1" applyAlignment="1">
      <alignment horizontal="left" vertical="center" indent="1"/>
    </xf>
    <xf numFmtId="3" fontId="5" fillId="19" borderId="0" xfId="0" applyNumberFormat="1" applyFont="1" applyFill="1" applyBorder="1" applyAlignment="1">
      <alignment horizontal="left" vertical="center" indent="1"/>
    </xf>
    <xf numFmtId="3" fontId="5" fillId="19" borderId="0" xfId="0" applyNumberFormat="1" applyFont="1" applyFill="1" applyBorder="1" applyAlignment="1">
      <alignment horizontal="center" vertical="center"/>
    </xf>
    <xf numFmtId="3" fontId="7" fillId="19" borderId="0" xfId="0" applyNumberFormat="1" applyFont="1" applyFill="1" applyBorder="1" applyAlignment="1">
      <alignment horizontal="center" vertical="center" wrapText="1"/>
    </xf>
    <xf numFmtId="0" fontId="2" fillId="20" borderId="23" xfId="0" applyFont="1" applyFill="1" applyBorder="1"/>
    <xf numFmtId="0" fontId="11" fillId="19" borderId="23" xfId="0" applyFont="1" applyFill="1" applyBorder="1"/>
    <xf numFmtId="0" fontId="5" fillId="0" borderId="0" xfId="0" applyFont="1" applyBorder="1"/>
    <xf numFmtId="0" fontId="31" fillId="20" borderId="19" xfId="0" applyFont="1" applyFill="1" applyBorder="1"/>
    <xf numFmtId="0" fontId="7" fillId="19" borderId="0" xfId="0" applyFont="1" applyFill="1" applyBorder="1" applyAlignment="1">
      <alignment vertical="top"/>
    </xf>
    <xf numFmtId="0" fontId="5" fillId="19" borderId="0" xfId="0" applyFont="1" applyFill="1" applyBorder="1" applyAlignment="1">
      <alignment vertical="top"/>
    </xf>
    <xf numFmtId="3" fontId="32" fillId="19" borderId="0" xfId="0" applyNumberFormat="1" applyFont="1" applyFill="1" applyBorder="1" applyAlignment="1">
      <alignment horizontal="left" vertical="center" indent="1"/>
    </xf>
    <xf numFmtId="3" fontId="7" fillId="19" borderId="0" xfId="0" applyNumberFormat="1" applyFont="1" applyFill="1" applyBorder="1" applyAlignment="1">
      <alignment horizontal="right" vertical="center" indent="1"/>
    </xf>
    <xf numFmtId="3" fontId="5" fillId="17" borderId="0" xfId="0" applyNumberFormat="1" applyFont="1" applyFill="1" applyBorder="1" applyAlignment="1">
      <alignment horizontal="right" vertical="center" indent="1"/>
    </xf>
    <xf numFmtId="0" fontId="1" fillId="0" borderId="0" xfId="0" applyFont="1"/>
    <xf numFmtId="1" fontId="1" fillId="20" borderId="16" xfId="0" applyNumberFormat="1" applyFont="1" applyFill="1" applyBorder="1" applyAlignment="1"/>
    <xf numFmtId="1" fontId="36" fillId="21" borderId="26" xfId="0" applyNumberFormat="1" applyFont="1" applyFill="1" applyBorder="1"/>
    <xf numFmtId="0" fontId="36" fillId="21" borderId="27" xfId="0" applyFont="1" applyFill="1" applyBorder="1"/>
    <xf numFmtId="0" fontId="36" fillId="0" borderId="0" xfId="0" applyFont="1" applyBorder="1"/>
    <xf numFmtId="0" fontId="34" fillId="21" borderId="28" xfId="0" applyFont="1" applyFill="1" applyBorder="1" applyAlignment="1">
      <alignment horizontal="center"/>
    </xf>
    <xf numFmtId="4" fontId="36" fillId="21" borderId="18" xfId="0" applyNumberFormat="1" applyFont="1" applyFill="1" applyBorder="1" applyAlignment="1">
      <alignment horizontal="center"/>
    </xf>
    <xf numFmtId="4" fontId="36" fillId="21" borderId="16" xfId="0" applyNumberFormat="1" applyFont="1" applyFill="1" applyBorder="1" applyAlignment="1">
      <alignment horizontal="center"/>
    </xf>
    <xf numFmtId="0" fontId="36" fillId="21" borderId="16" xfId="0" applyFont="1" applyFill="1" applyBorder="1" applyAlignment="1">
      <alignment horizontal="center"/>
    </xf>
    <xf numFmtId="4" fontId="36" fillId="21" borderId="22" xfId="0" applyNumberFormat="1" applyFont="1" applyFill="1" applyBorder="1" applyAlignment="1">
      <alignment horizontal="center"/>
    </xf>
    <xf numFmtId="0" fontId="36" fillId="21" borderId="29" xfId="0" applyFont="1" applyFill="1" applyBorder="1" applyAlignment="1">
      <alignment horizontal="center"/>
    </xf>
    <xf numFmtId="1" fontId="1" fillId="20" borderId="17" xfId="0" applyNumberFormat="1" applyFont="1" applyFill="1" applyBorder="1" applyAlignment="1">
      <alignment horizontal="center"/>
    </xf>
    <xf numFmtId="0" fontId="1" fillId="20" borderId="20" xfId="0" applyFont="1" applyFill="1" applyBorder="1" applyAlignment="1">
      <alignment horizontal="center"/>
    </xf>
    <xf numFmtId="0" fontId="1" fillId="20" borderId="17" xfId="0" applyFont="1" applyFill="1" applyBorder="1" applyAlignment="1">
      <alignment horizontal="center"/>
    </xf>
    <xf numFmtId="1" fontId="36" fillId="20" borderId="22" xfId="0" applyNumberFormat="1" applyFont="1" applyFill="1" applyBorder="1"/>
    <xf numFmtId="0" fontId="36" fillId="20" borderId="23" xfId="0" applyFont="1" applyFill="1" applyBorder="1"/>
    <xf numFmtId="0" fontId="36" fillId="20" borderId="24" xfId="0" applyFont="1" applyFill="1" applyBorder="1" applyAlignment="1">
      <alignment horizontal="center"/>
    </xf>
    <xf numFmtId="1" fontId="36" fillId="21" borderId="16" xfId="0" applyNumberFormat="1" applyFont="1" applyFill="1" applyBorder="1" applyAlignment="1">
      <alignment horizontal="center"/>
    </xf>
    <xf numFmtId="1" fontId="36" fillId="21" borderId="30" xfId="0" applyNumberFormat="1" applyFont="1" applyFill="1" applyBorder="1" applyAlignment="1">
      <alignment horizontal="center"/>
    </xf>
    <xf numFmtId="4" fontId="36" fillId="21" borderId="31" xfId="0" applyNumberFormat="1" applyFont="1" applyFill="1" applyBorder="1"/>
    <xf numFmtId="4" fontId="36" fillId="21" borderId="32" xfId="0" applyNumberFormat="1" applyFont="1" applyFill="1" applyBorder="1"/>
    <xf numFmtId="0" fontId="36" fillId="21" borderId="32" xfId="0" applyFont="1" applyFill="1" applyBorder="1"/>
    <xf numFmtId="4" fontId="36" fillId="21" borderId="33" xfId="0" applyNumberFormat="1" applyFont="1" applyFill="1" applyBorder="1"/>
    <xf numFmtId="1" fontId="34" fillId="21" borderId="26" xfId="0" applyNumberFormat="1" applyFont="1" applyFill="1" applyBorder="1" applyAlignment="1">
      <alignment horizontal="center"/>
    </xf>
    <xf numFmtId="1" fontId="35" fillId="20" borderId="16" xfId="0" applyNumberFormat="1" applyFont="1" applyFill="1" applyBorder="1" applyAlignment="1">
      <alignment horizontal="center" vertical="top"/>
    </xf>
    <xf numFmtId="0" fontId="35" fillId="20" borderId="0" xfId="0" applyFont="1" applyFill="1" applyBorder="1" applyAlignment="1">
      <alignment vertical="top"/>
    </xf>
    <xf numFmtId="0" fontId="35" fillId="20" borderId="17" xfId="0" applyFont="1" applyFill="1" applyBorder="1" applyAlignment="1">
      <alignment horizontal="center" vertical="top"/>
    </xf>
    <xf numFmtId="3" fontId="34" fillId="21" borderId="28" xfId="0" applyNumberFormat="1" applyFont="1" applyFill="1" applyBorder="1" applyAlignment="1">
      <alignment horizontal="right"/>
    </xf>
    <xf numFmtId="3" fontId="29" fillId="0" borderId="19" xfId="0" applyNumberFormat="1" applyFont="1" applyFill="1" applyBorder="1" applyAlignment="1" applyProtection="1">
      <alignment vertical="top"/>
    </xf>
    <xf numFmtId="3" fontId="0" fillId="0" borderId="0" xfId="0" applyNumberFormat="1"/>
    <xf numFmtId="0" fontId="5" fillId="20" borderId="0" xfId="0" applyFont="1" applyFill="1" applyBorder="1" applyAlignment="1">
      <alignment horizontal="center"/>
    </xf>
    <xf numFmtId="0" fontId="5" fillId="0" borderId="0" xfId="0" applyFont="1" applyFill="1" applyBorder="1"/>
    <xf numFmtId="0" fontId="1" fillId="20" borderId="23" xfId="0" applyFont="1" applyFill="1" applyBorder="1" applyAlignment="1"/>
    <xf numFmtId="0" fontId="3" fillId="20" borderId="23" xfId="0" applyFont="1" applyFill="1" applyBorder="1" applyAlignment="1">
      <alignment horizontal="right"/>
    </xf>
    <xf numFmtId="0" fontId="31" fillId="20" borderId="0" xfId="0" applyFont="1" applyFill="1" applyBorder="1"/>
    <xf numFmtId="170" fontId="1" fillId="0" borderId="0" xfId="0" applyNumberFormat="1" applyFont="1"/>
    <xf numFmtId="170" fontId="11" fillId="0" borderId="0" xfId="0" applyNumberFormat="1" applyFont="1"/>
    <xf numFmtId="0" fontId="35" fillId="20" borderId="0" xfId="0" applyFont="1" applyFill="1" applyBorder="1" applyAlignment="1">
      <alignment horizontal="center" vertical="top"/>
    </xf>
    <xf numFmtId="0" fontId="36" fillId="20" borderId="23" xfId="0" applyFont="1" applyFill="1" applyBorder="1" applyAlignment="1">
      <alignment horizontal="center"/>
    </xf>
    <xf numFmtId="170" fontId="34" fillId="20" borderId="32" xfId="0" applyNumberFormat="1" applyFont="1" applyFill="1" applyBorder="1" applyAlignment="1" applyProtection="1"/>
    <xf numFmtId="0" fontId="34" fillId="20" borderId="32" xfId="0" applyFont="1" applyFill="1" applyBorder="1" applyAlignment="1" applyProtection="1"/>
    <xf numFmtId="0" fontId="0" fillId="20" borderId="32" xfId="0" applyFill="1" applyBorder="1"/>
    <xf numFmtId="0" fontId="0" fillId="20" borderId="17" xfId="0" applyFill="1" applyBorder="1"/>
    <xf numFmtId="0" fontId="0" fillId="20" borderId="32" xfId="0" applyFill="1" applyBorder="1" applyAlignment="1">
      <alignment vertical="top" wrapText="1"/>
    </xf>
    <xf numFmtId="170" fontId="36" fillId="21" borderId="33" xfId="0" applyNumberFormat="1" applyFont="1" applyFill="1" applyBorder="1" applyAlignment="1"/>
    <xf numFmtId="0" fontId="36" fillId="21" borderId="33" xfId="0" applyFont="1" applyFill="1" applyBorder="1" applyAlignment="1">
      <alignment horizontal="right"/>
    </xf>
    <xf numFmtId="3" fontId="0" fillId="21" borderId="33" xfId="0" applyNumberFormat="1" applyFill="1" applyBorder="1"/>
    <xf numFmtId="3" fontId="0" fillId="21" borderId="24" xfId="0" applyNumberFormat="1" applyFill="1" applyBorder="1"/>
    <xf numFmtId="0" fontId="0" fillId="21" borderId="33" xfId="0" applyFill="1" applyBorder="1"/>
    <xf numFmtId="0" fontId="1" fillId="20" borderId="0" xfId="0" applyFont="1" applyFill="1" applyBorder="1" applyAlignment="1">
      <alignment horizontal="center"/>
    </xf>
    <xf numFmtId="0" fontId="0" fillId="0" borderId="0" xfId="0" applyAlignment="1">
      <alignment horizontal="center"/>
    </xf>
    <xf numFmtId="0" fontId="2" fillId="21" borderId="28" xfId="0" applyFont="1" applyFill="1" applyBorder="1"/>
    <xf numFmtId="0" fontId="2" fillId="0" borderId="34" xfId="0" applyFont="1" applyBorder="1"/>
    <xf numFmtId="0" fontId="2" fillId="0" borderId="35" xfId="0" applyFont="1" applyBorder="1"/>
    <xf numFmtId="0" fontId="2" fillId="0" borderId="37" xfId="0" applyFont="1" applyBorder="1" applyAlignment="1">
      <alignment horizontal="center"/>
    </xf>
    <xf numFmtId="0" fontId="2" fillId="0" borderId="34"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35" xfId="0" applyFont="1" applyBorder="1" applyAlignment="1">
      <alignment horizontal="center"/>
    </xf>
    <xf numFmtId="0" fontId="2" fillId="0" borderId="40" xfId="0" applyFont="1" applyBorder="1" applyAlignment="1">
      <alignment horizontal="center"/>
    </xf>
    <xf numFmtId="0" fontId="38" fillId="20" borderId="19" xfId="0" applyFont="1" applyFill="1" applyBorder="1" applyAlignment="1"/>
    <xf numFmtId="0" fontId="0" fillId="0" borderId="0" xfId="0" applyAlignment="1"/>
    <xf numFmtId="1" fontId="1" fillId="20" borderId="0" xfId="0" applyNumberFormat="1" applyFont="1" applyFill="1" applyBorder="1" applyAlignment="1"/>
    <xf numFmtId="0" fontId="0" fillId="0" borderId="0" xfId="0" applyBorder="1" applyAlignment="1"/>
    <xf numFmtId="0" fontId="0" fillId="0" borderId="36" xfId="0" applyBorder="1" applyAlignment="1">
      <alignment wrapText="1"/>
    </xf>
    <xf numFmtId="164" fontId="0" fillId="0" borderId="36" xfId="32" applyFont="1" applyBorder="1" applyAlignment="1">
      <alignment wrapText="1"/>
    </xf>
    <xf numFmtId="0" fontId="1" fillId="17" borderId="0" xfId="0" applyFont="1" applyFill="1" applyBorder="1"/>
    <xf numFmtId="0" fontId="1" fillId="0" borderId="41" xfId="0" applyFont="1" applyBorder="1" applyAlignment="1"/>
    <xf numFmtId="0" fontId="1" fillId="0" borderId="42" xfId="0" applyFont="1" applyBorder="1" applyAlignment="1"/>
    <xf numFmtId="0" fontId="1" fillId="0" borderId="43" xfId="0" applyFont="1" applyBorder="1" applyAlignment="1"/>
    <xf numFmtId="0" fontId="2" fillId="0" borderId="37" xfId="0" applyFont="1" applyBorder="1"/>
    <xf numFmtId="0" fontId="2" fillId="0" borderId="39" xfId="0" applyFont="1" applyBorder="1"/>
    <xf numFmtId="3" fontId="34" fillId="21" borderId="28" xfId="0" applyNumberFormat="1" applyFont="1" applyFill="1" applyBorder="1" applyAlignment="1">
      <alignment horizontal="center"/>
    </xf>
    <xf numFmtId="0" fontId="0" fillId="0" borderId="16" xfId="0" applyBorder="1"/>
    <xf numFmtId="0" fontId="5" fillId="19" borderId="22" xfId="0" applyFont="1" applyFill="1" applyBorder="1"/>
    <xf numFmtId="0" fontId="5" fillId="19" borderId="23" xfId="0" applyFont="1" applyFill="1" applyBorder="1"/>
    <xf numFmtId="3" fontId="11" fillId="19" borderId="23" xfId="0" applyNumberFormat="1" applyFont="1" applyFill="1" applyBorder="1" applyAlignment="1">
      <alignment vertical="center"/>
    </xf>
    <xf numFmtId="0" fontId="5" fillId="20" borderId="16" xfId="0" applyFont="1" applyFill="1" applyBorder="1" applyAlignment="1"/>
    <xf numFmtId="0" fontId="5" fillId="20" borderId="0" xfId="0" applyFont="1" applyFill="1" applyBorder="1" applyAlignment="1"/>
    <xf numFmtId="0" fontId="37" fillId="20" borderId="0" xfId="0" applyFont="1" applyFill="1" applyBorder="1" applyAlignment="1"/>
    <xf numFmtId="0" fontId="5" fillId="20" borderId="17" xfId="0" applyFont="1" applyFill="1" applyBorder="1" applyAlignment="1"/>
    <xf numFmtId="0" fontId="38" fillId="20" borderId="0" xfId="0" applyFont="1" applyFill="1" applyBorder="1" applyAlignment="1"/>
    <xf numFmtId="0" fontId="44" fillId="0" borderId="0" xfId="0" applyFont="1"/>
    <xf numFmtId="0" fontId="0" fillId="0" borderId="0" xfId="0" applyBorder="1" applyAlignment="1">
      <alignment horizontal="center"/>
    </xf>
    <xf numFmtId="0" fontId="5" fillId="20" borderId="24" xfId="0" applyFont="1" applyFill="1" applyBorder="1" applyAlignment="1">
      <alignment horizontal="center"/>
    </xf>
    <xf numFmtId="0" fontId="5" fillId="19" borderId="0" xfId="0" applyFont="1" applyFill="1" applyBorder="1" applyAlignment="1">
      <alignment vertical="top" wrapText="1"/>
    </xf>
    <xf numFmtId="0" fontId="5" fillId="20" borderId="17" xfId="0" applyFont="1" applyFill="1" applyBorder="1" applyAlignment="1">
      <alignment horizontal="center"/>
    </xf>
    <xf numFmtId="0" fontId="44" fillId="0" borderId="0" xfId="0" applyFont="1" applyBorder="1" applyAlignment="1">
      <alignment horizontal="center"/>
    </xf>
    <xf numFmtId="0" fontId="7" fillId="19" borderId="0" xfId="0" applyFont="1" applyFill="1" applyBorder="1" applyAlignment="1">
      <alignment horizontal="left" vertical="top"/>
    </xf>
    <xf numFmtId="0" fontId="5" fillId="23" borderId="23" xfId="0" applyFont="1" applyFill="1" applyBorder="1"/>
    <xf numFmtId="3" fontId="5" fillId="19" borderId="23" xfId="0" applyNumberFormat="1" applyFont="1" applyFill="1" applyBorder="1" applyAlignment="1">
      <alignment horizontal="right" vertical="center" indent="1"/>
    </xf>
    <xf numFmtId="0" fontId="40" fillId="0" borderId="0" xfId="0" applyFont="1" applyFill="1" applyBorder="1"/>
    <xf numFmtId="0" fontId="39" fillId="0" borderId="0" xfId="0" applyFont="1" applyFill="1" applyBorder="1"/>
    <xf numFmtId="0" fontId="0" fillId="0" borderId="16" xfId="0" applyFill="1" applyBorder="1"/>
    <xf numFmtId="0" fontId="0" fillId="0" borderId="0" xfId="0" applyFill="1" applyBorder="1"/>
    <xf numFmtId="0" fontId="5" fillId="0" borderId="23" xfId="0" applyFont="1" applyFill="1" applyBorder="1"/>
    <xf numFmtId="3" fontId="5" fillId="0" borderId="0" xfId="0" applyNumberFormat="1" applyFont="1" applyFill="1" applyBorder="1"/>
    <xf numFmtId="0" fontId="5" fillId="23" borderId="0" xfId="0" applyFont="1" applyFill="1" applyBorder="1"/>
    <xf numFmtId="166" fontId="5" fillId="0" borderId="0" xfId="0" applyNumberFormat="1" applyFont="1" applyBorder="1"/>
    <xf numFmtId="3" fontId="5" fillId="0" borderId="0" xfId="0" applyNumberFormat="1" applyFont="1" applyBorder="1"/>
    <xf numFmtId="0" fontId="7" fillId="19" borderId="16" xfId="0" applyFont="1" applyFill="1" applyBorder="1" applyAlignment="1">
      <alignment horizontal="left"/>
    </xf>
    <xf numFmtId="0" fontId="5" fillId="19" borderId="0" xfId="0" applyFont="1" applyFill="1" applyBorder="1" applyAlignment="1"/>
    <xf numFmtId="0" fontId="5" fillId="19" borderId="16" xfId="0" applyFont="1" applyFill="1" applyBorder="1" applyAlignment="1"/>
    <xf numFmtId="0" fontId="5" fillId="19" borderId="0" xfId="0" applyFont="1" applyFill="1" applyBorder="1" applyAlignment="1">
      <alignment horizontal="center"/>
    </xf>
    <xf numFmtId="0" fontId="5" fillId="19" borderId="21" xfId="0" applyFont="1" applyFill="1" applyBorder="1" applyAlignment="1">
      <alignment vertical="top"/>
    </xf>
    <xf numFmtId="0" fontId="5" fillId="19" borderId="21" xfId="0" applyFont="1" applyFill="1" applyBorder="1" applyAlignment="1"/>
    <xf numFmtId="3" fontId="5" fillId="19" borderId="21" xfId="0" applyNumberFormat="1" applyFont="1" applyFill="1" applyBorder="1" applyAlignment="1">
      <alignment horizontal="right" vertical="center" indent="1"/>
    </xf>
    <xf numFmtId="0" fontId="7" fillId="17" borderId="0" xfId="0" applyFont="1" applyFill="1" applyBorder="1" applyAlignment="1">
      <alignment vertical="top"/>
    </xf>
    <xf numFmtId="0" fontId="5" fillId="17" borderId="0" xfId="0" applyFont="1" applyFill="1" applyBorder="1" applyAlignment="1">
      <alignment vertical="top"/>
    </xf>
    <xf numFmtId="3" fontId="5" fillId="17" borderId="0" xfId="0" applyNumberFormat="1" applyFont="1" applyFill="1" applyBorder="1" applyAlignment="1">
      <alignment horizontal="center" vertical="center"/>
    </xf>
    <xf numFmtId="0" fontId="5" fillId="17" borderId="21" xfId="0" applyFont="1" applyFill="1" applyBorder="1" applyAlignment="1">
      <alignment vertical="top"/>
    </xf>
    <xf numFmtId="0" fontId="5" fillId="17" borderId="21" xfId="0" applyFont="1" applyFill="1" applyBorder="1" applyAlignment="1">
      <alignment horizontal="right" vertical="center" indent="1"/>
    </xf>
    <xf numFmtId="0" fontId="5" fillId="19" borderId="0" xfId="0" applyFont="1" applyFill="1" applyBorder="1" applyAlignment="1">
      <alignment horizontal="right" vertical="center" indent="1"/>
    </xf>
    <xf numFmtId="0" fontId="5" fillId="19" borderId="45" xfId="0" applyFont="1" applyFill="1" applyBorder="1" applyAlignment="1">
      <alignment vertical="top"/>
    </xf>
    <xf numFmtId="0" fontId="5" fillId="19" borderId="45" xfId="0" applyFont="1" applyFill="1" applyBorder="1"/>
    <xf numFmtId="0" fontId="5" fillId="19" borderId="45" xfId="0" applyFont="1" applyFill="1" applyBorder="1" applyAlignment="1">
      <alignment horizontal="right" vertical="center" indent="1"/>
    </xf>
    <xf numFmtId="0" fontId="5" fillId="19" borderId="46" xfId="0" applyFont="1" applyFill="1" applyBorder="1"/>
    <xf numFmtId="0" fontId="10" fillId="19" borderId="23" xfId="0" applyFont="1" applyFill="1" applyBorder="1"/>
    <xf numFmtId="3" fontId="11" fillId="19" borderId="24" xfId="0" applyNumberFormat="1" applyFont="1" applyFill="1" applyBorder="1" applyAlignment="1">
      <alignment vertical="center"/>
    </xf>
    <xf numFmtId="0" fontId="11" fillId="0" borderId="0" xfId="0" applyFont="1" applyFill="1" applyBorder="1"/>
    <xf numFmtId="3" fontId="11" fillId="0" borderId="0" xfId="0" applyNumberFormat="1" applyFont="1" applyFill="1" applyBorder="1" applyAlignment="1" applyProtection="1">
      <alignment vertical="center"/>
      <protection locked="0"/>
    </xf>
    <xf numFmtId="3" fontId="11" fillId="0" borderId="0" xfId="0" applyNumberFormat="1" applyFont="1" applyFill="1" applyBorder="1" applyAlignment="1">
      <alignment vertical="center"/>
    </xf>
    <xf numFmtId="0" fontId="0" fillId="0" borderId="0" xfId="0" applyFill="1"/>
    <xf numFmtId="0" fontId="5" fillId="20" borderId="47" xfId="0" applyFont="1" applyFill="1" applyBorder="1" applyAlignment="1"/>
    <xf numFmtId="0" fontId="5" fillId="20" borderId="48" xfId="0" applyFont="1" applyFill="1" applyBorder="1" applyAlignment="1"/>
    <xf numFmtId="0" fontId="37" fillId="20" borderId="48" xfId="0" applyFont="1" applyFill="1" applyBorder="1" applyAlignment="1"/>
    <xf numFmtId="0" fontId="5" fillId="20" borderId="48" xfId="0" applyFont="1" applyFill="1" applyBorder="1" applyAlignment="1">
      <alignment horizontal="center"/>
    </xf>
    <xf numFmtId="0" fontId="5" fillId="20" borderId="49" xfId="0" applyFont="1" applyFill="1" applyBorder="1" applyAlignment="1">
      <alignment horizontal="center"/>
    </xf>
    <xf numFmtId="0" fontId="0" fillId="19" borderId="47" xfId="0" applyFill="1" applyBorder="1"/>
    <xf numFmtId="0" fontId="0" fillId="19" borderId="48" xfId="0" applyFill="1" applyBorder="1"/>
    <xf numFmtId="0" fontId="0" fillId="19" borderId="49" xfId="0" applyFill="1" applyBorder="1"/>
    <xf numFmtId="0" fontId="5" fillId="19" borderId="50" xfId="0" applyFont="1" applyFill="1" applyBorder="1" applyAlignment="1"/>
    <xf numFmtId="0" fontId="5" fillId="19" borderId="50" xfId="0" applyFont="1" applyFill="1" applyBorder="1" applyAlignment="1">
      <alignment vertical="top" wrapText="1"/>
    </xf>
    <xf numFmtId="3" fontId="7" fillId="19" borderId="50" xfId="0" applyNumberFormat="1" applyFont="1" applyFill="1" applyBorder="1" applyAlignment="1">
      <alignment horizontal="right" vertical="center" indent="1"/>
    </xf>
    <xf numFmtId="3" fontId="5" fillId="19" borderId="50" xfId="0" applyNumberFormat="1" applyFont="1" applyFill="1" applyBorder="1" applyAlignment="1">
      <alignment horizontal="right" vertical="center" indent="1"/>
    </xf>
    <xf numFmtId="0" fontId="5" fillId="19" borderId="50" xfId="0" applyFont="1" applyFill="1" applyBorder="1" applyAlignment="1">
      <alignment horizontal="center"/>
    </xf>
    <xf numFmtId="0" fontId="5" fillId="19" borderId="21" xfId="0" applyFont="1" applyFill="1" applyBorder="1"/>
    <xf numFmtId="0" fontId="5" fillId="17" borderId="50" xfId="0" applyFont="1" applyFill="1" applyBorder="1"/>
    <xf numFmtId="0" fontId="5" fillId="17" borderId="50" xfId="0" applyFont="1" applyFill="1" applyBorder="1" applyAlignment="1">
      <alignment vertical="top"/>
    </xf>
    <xf numFmtId="3" fontId="5" fillId="17" borderId="50" xfId="0" applyNumberFormat="1" applyFont="1" applyFill="1" applyBorder="1" applyAlignment="1">
      <alignment horizontal="right" vertical="center" indent="1"/>
    </xf>
    <xf numFmtId="0" fontId="5" fillId="0" borderId="50" xfId="0" applyFont="1" applyFill="1" applyBorder="1"/>
    <xf numFmtId="0" fontId="5" fillId="0" borderId="21" xfId="0" applyFont="1" applyFill="1" applyBorder="1"/>
    <xf numFmtId="0" fontId="0" fillId="19" borderId="16" xfId="0" applyFill="1" applyBorder="1" applyAlignment="1">
      <alignment vertical="top"/>
    </xf>
    <xf numFmtId="0" fontId="0" fillId="19" borderId="0" xfId="0" applyFill="1" applyBorder="1" applyAlignment="1">
      <alignment vertical="top"/>
    </xf>
    <xf numFmtId="3" fontId="5" fillId="19" borderId="16" xfId="0" applyNumberFormat="1" applyFont="1" applyFill="1" applyBorder="1" applyAlignment="1">
      <alignment horizontal="right" vertical="top"/>
    </xf>
    <xf numFmtId="3" fontId="5" fillId="19" borderId="0" xfId="0" applyNumberFormat="1" applyFont="1" applyFill="1" applyBorder="1" applyAlignment="1">
      <alignment horizontal="right" vertical="top"/>
    </xf>
    <xf numFmtId="0" fontId="0" fillId="19" borderId="22" xfId="0" applyFill="1" applyBorder="1" applyAlignment="1">
      <alignment vertical="top"/>
    </xf>
    <xf numFmtId="0" fontId="0" fillId="19" borderId="23" xfId="0" applyFill="1" applyBorder="1" applyAlignment="1">
      <alignment vertical="top"/>
    </xf>
    <xf numFmtId="0" fontId="0" fillId="23" borderId="23" xfId="0" applyFill="1" applyBorder="1" applyAlignment="1">
      <alignment vertical="top" wrapText="1"/>
    </xf>
    <xf numFmtId="3" fontId="7" fillId="23" borderId="23" xfId="0" applyNumberFormat="1" applyFont="1" applyFill="1" applyBorder="1" applyAlignment="1">
      <alignment horizontal="right" vertical="center" indent="1"/>
    </xf>
    <xf numFmtId="3" fontId="5" fillId="23" borderId="23" xfId="0" applyNumberFormat="1" applyFont="1" applyFill="1" applyBorder="1" applyAlignment="1">
      <alignment horizontal="right" vertical="center" indent="1"/>
    </xf>
    <xf numFmtId="0" fontId="0" fillId="23" borderId="23" xfId="0" applyFill="1" applyBorder="1"/>
    <xf numFmtId="0" fontId="0" fillId="23" borderId="24" xfId="0" applyFill="1" applyBorder="1"/>
    <xf numFmtId="0" fontId="0" fillId="0" borderId="0" xfId="0" applyFill="1" applyBorder="1" applyAlignment="1">
      <alignment vertical="top"/>
    </xf>
    <xf numFmtId="0" fontId="0" fillId="23" borderId="0" xfId="0" applyFill="1" applyBorder="1" applyAlignment="1">
      <alignment vertical="top" wrapText="1"/>
    </xf>
    <xf numFmtId="3" fontId="7" fillId="23" borderId="0" xfId="0" applyNumberFormat="1" applyFont="1" applyFill="1" applyBorder="1" applyAlignment="1">
      <alignment horizontal="right" vertical="center" indent="1"/>
    </xf>
    <xf numFmtId="3" fontId="5" fillId="23" borderId="0" xfId="0" applyNumberFormat="1" applyFont="1" applyFill="1" applyBorder="1" applyAlignment="1">
      <alignment horizontal="right" vertical="center" indent="1"/>
    </xf>
    <xf numFmtId="0" fontId="0" fillId="23" borderId="0" xfId="0" applyFill="1" applyBorder="1"/>
    <xf numFmtId="0" fontId="0" fillId="0" borderId="23" xfId="0" applyFill="1" applyBorder="1" applyAlignment="1">
      <alignment vertical="top"/>
    </xf>
    <xf numFmtId="0" fontId="5" fillId="23" borderId="0" xfId="0" applyFont="1" applyFill="1" applyBorder="1" applyAlignment="1">
      <alignment vertical="top"/>
    </xf>
    <xf numFmtId="0" fontId="0" fillId="23" borderId="17" xfId="0" applyFill="1" applyBorder="1"/>
    <xf numFmtId="3" fontId="5" fillId="19" borderId="0" xfId="0" applyNumberFormat="1" applyFont="1" applyFill="1" applyBorder="1" applyAlignment="1" applyProtection="1">
      <alignment horizontal="right" vertical="center" indent="1"/>
      <protection locked="0"/>
    </xf>
    <xf numFmtId="0" fontId="0" fillId="19" borderId="51" xfId="0" applyFill="1" applyBorder="1" applyAlignment="1">
      <alignment vertical="top"/>
    </xf>
    <xf numFmtId="0" fontId="5" fillId="19" borderId="52" xfId="0" applyFont="1" applyFill="1" applyBorder="1" applyAlignment="1">
      <alignment vertical="top"/>
    </xf>
    <xf numFmtId="0" fontId="5" fillId="19" borderId="52" xfId="0" applyFont="1" applyFill="1" applyBorder="1"/>
    <xf numFmtId="3" fontId="5" fillId="19" borderId="52" xfId="0" applyNumberFormat="1" applyFont="1" applyFill="1" applyBorder="1" applyAlignment="1">
      <alignment horizontal="right" vertical="center" indent="1"/>
    </xf>
    <xf numFmtId="0" fontId="0" fillId="19" borderId="53" xfId="0" applyFill="1" applyBorder="1"/>
    <xf numFmtId="0" fontId="0" fillId="19" borderId="12" xfId="0" applyFill="1" applyBorder="1" applyAlignment="1">
      <alignment vertical="top"/>
    </xf>
    <xf numFmtId="0" fontId="5" fillId="19" borderId="0" xfId="0" applyFont="1" applyFill="1" applyBorder="1" applyAlignment="1">
      <alignment horizontal="left" vertical="top"/>
    </xf>
    <xf numFmtId="0" fontId="0" fillId="19" borderId="15" xfId="0" applyFill="1" applyBorder="1" applyAlignment="1">
      <alignment vertical="top"/>
    </xf>
    <xf numFmtId="0" fontId="5" fillId="19" borderId="25" xfId="0" applyFont="1" applyFill="1" applyBorder="1" applyAlignment="1">
      <alignment vertical="top"/>
    </xf>
    <xf numFmtId="0" fontId="5" fillId="19" borderId="25" xfId="0" applyFont="1" applyFill="1" applyBorder="1"/>
    <xf numFmtId="3" fontId="5" fillId="19" borderId="25" xfId="0" applyNumberFormat="1" applyFont="1" applyFill="1" applyBorder="1" applyAlignment="1">
      <alignment horizontal="right" vertical="center" indent="1"/>
    </xf>
    <xf numFmtId="0" fontId="0" fillId="19" borderId="54" xfId="0" applyFill="1" applyBorder="1" applyAlignment="1">
      <alignment vertical="top"/>
    </xf>
    <xf numFmtId="0" fontId="5" fillId="19" borderId="55" xfId="0" applyFont="1" applyFill="1" applyBorder="1" applyAlignment="1">
      <alignment vertical="top"/>
    </xf>
    <xf numFmtId="0" fontId="5" fillId="19" borderId="55" xfId="0" applyFont="1" applyFill="1" applyBorder="1"/>
    <xf numFmtId="3" fontId="5" fillId="19" borderId="55" xfId="0" applyNumberFormat="1" applyFont="1" applyFill="1" applyBorder="1" applyAlignment="1">
      <alignment horizontal="right" vertical="center" indent="1"/>
    </xf>
    <xf numFmtId="0" fontId="0" fillId="19" borderId="56" xfId="0" applyFill="1" applyBorder="1"/>
    <xf numFmtId="0" fontId="0" fillId="19" borderId="57" xfId="0" applyFill="1" applyBorder="1" applyAlignment="1">
      <alignment vertical="top"/>
    </xf>
    <xf numFmtId="0" fontId="0" fillId="19" borderId="58" xfId="0" applyFill="1" applyBorder="1"/>
    <xf numFmtId="0" fontId="0" fillId="19" borderId="59" xfId="0" applyFill="1" applyBorder="1" applyAlignment="1">
      <alignment vertical="top"/>
    </xf>
    <xf numFmtId="0" fontId="5" fillId="19" borderId="60" xfId="0" applyFont="1" applyFill="1" applyBorder="1" applyAlignment="1">
      <alignment vertical="top"/>
    </xf>
    <xf numFmtId="0" fontId="5" fillId="19" borderId="60" xfId="0" applyFont="1" applyFill="1" applyBorder="1"/>
    <xf numFmtId="0" fontId="0" fillId="19" borderId="61" xfId="0" applyFill="1" applyBorder="1"/>
    <xf numFmtId="0" fontId="0" fillId="0" borderId="0" xfId="0" applyBorder="1"/>
    <xf numFmtId="0" fontId="45" fillId="0" borderId="0" xfId="0" applyFont="1" applyBorder="1"/>
    <xf numFmtId="0" fontId="0" fillId="22" borderId="0" xfId="0" applyFill="1" applyBorder="1"/>
    <xf numFmtId="3" fontId="0" fillId="22" borderId="0" xfId="0" applyNumberFormat="1" applyFill="1" applyBorder="1"/>
    <xf numFmtId="0" fontId="1" fillId="0" borderId="0" xfId="0" applyFont="1" applyBorder="1" applyAlignment="1">
      <alignment horizontal="right"/>
    </xf>
    <xf numFmtId="0" fontId="44" fillId="0" borderId="0" xfId="0" applyFont="1" applyBorder="1"/>
    <xf numFmtId="0" fontId="11" fillId="0" borderId="0" xfId="0" applyFont="1" applyBorder="1"/>
    <xf numFmtId="0" fontId="0" fillId="0" borderId="16" xfId="0" applyFill="1" applyBorder="1" applyAlignment="1">
      <alignment vertical="top"/>
    </xf>
    <xf numFmtId="0" fontId="0" fillId="0" borderId="22" xfId="0" applyFill="1" applyBorder="1" applyAlignment="1">
      <alignment vertical="top"/>
    </xf>
    <xf numFmtId="3" fontId="7" fillId="19" borderId="23" xfId="0" applyNumberFormat="1" applyFont="1" applyFill="1" applyBorder="1" applyAlignment="1">
      <alignment horizontal="right" vertical="center" indent="1"/>
    </xf>
    <xf numFmtId="164" fontId="0" fillId="19" borderId="22" xfId="32" applyFont="1" applyFill="1" applyBorder="1"/>
    <xf numFmtId="164" fontId="0" fillId="19" borderId="23" xfId="32" applyFont="1" applyFill="1" applyBorder="1"/>
    <xf numFmtId="164" fontId="0" fillId="19" borderId="24" xfId="32" applyFont="1" applyFill="1" applyBorder="1"/>
    <xf numFmtId="164" fontId="0" fillId="19" borderId="0" xfId="32" applyFont="1" applyFill="1" applyBorder="1"/>
    <xf numFmtId="164" fontId="0" fillId="0" borderId="0" xfId="32" applyFont="1"/>
    <xf numFmtId="0" fontId="0" fillId="19" borderId="0" xfId="0" applyFill="1" applyBorder="1" applyAlignment="1"/>
    <xf numFmtId="2" fontId="0" fillId="19" borderId="0" xfId="0" applyNumberFormat="1" applyFill="1" applyBorder="1"/>
    <xf numFmtId="0" fontId="0" fillId="19" borderId="23" xfId="0" applyFill="1" applyBorder="1" applyAlignment="1"/>
    <xf numFmtId="0" fontId="5" fillId="19" borderId="23" xfId="0" applyFont="1" applyFill="1" applyBorder="1" applyAlignment="1">
      <alignment vertical="top"/>
    </xf>
    <xf numFmtId="0" fontId="5" fillId="19" borderId="23" xfId="0" applyFont="1" applyFill="1" applyBorder="1" applyAlignment="1"/>
    <xf numFmtId="0" fontId="0" fillId="0" borderId="0" xfId="0" applyFill="1" applyBorder="1" applyAlignment="1"/>
    <xf numFmtId="0" fontId="5" fillId="0" borderId="0" xfId="0" applyFont="1" applyFill="1" applyBorder="1" applyAlignment="1">
      <alignment vertical="top"/>
    </xf>
    <xf numFmtId="3" fontId="5" fillId="0" borderId="0" xfId="0" applyNumberFormat="1" applyFont="1" applyFill="1" applyBorder="1" applyAlignment="1">
      <alignment horizontal="right" vertical="center" indent="1"/>
    </xf>
    <xf numFmtId="3" fontId="7" fillId="0" borderId="0" xfId="0" applyNumberFormat="1" applyFont="1" applyFill="1" applyBorder="1" applyAlignment="1">
      <alignment horizontal="right" vertical="center" indent="1"/>
    </xf>
    <xf numFmtId="0" fontId="5" fillId="0" borderId="0" xfId="0" applyFont="1" applyFill="1" applyBorder="1" applyAlignment="1"/>
    <xf numFmtId="0" fontId="5" fillId="0" borderId="23" xfId="0" applyFont="1" applyFill="1" applyBorder="1" applyAlignment="1">
      <alignment vertical="top"/>
    </xf>
    <xf numFmtId="0" fontId="0" fillId="0" borderId="23" xfId="0" applyFill="1" applyBorder="1"/>
    <xf numFmtId="3" fontId="5" fillId="0" borderId="23" xfId="0" applyNumberFormat="1" applyFont="1" applyFill="1" applyBorder="1" applyAlignment="1">
      <alignment horizontal="right" vertical="center" indent="1"/>
    </xf>
    <xf numFmtId="3" fontId="7" fillId="0" borderId="23" xfId="0" applyNumberFormat="1" applyFont="1" applyFill="1" applyBorder="1" applyAlignment="1">
      <alignment horizontal="right" vertical="center" indent="1"/>
    </xf>
    <xf numFmtId="3" fontId="5" fillId="19" borderId="0" xfId="0" applyNumberFormat="1" applyFont="1" applyFill="1" applyBorder="1"/>
    <xf numFmtId="2" fontId="0" fillId="0" borderId="0" xfId="0" applyNumberFormat="1" applyFill="1" applyBorder="1"/>
    <xf numFmtId="0" fontId="7" fillId="0" borderId="0" xfId="0" applyFont="1" applyFill="1" applyBorder="1" applyAlignment="1">
      <alignment vertical="top"/>
    </xf>
    <xf numFmtId="164" fontId="0" fillId="0" borderId="0" xfId="32" applyFont="1" applyFill="1" applyBorder="1"/>
    <xf numFmtId="0" fontId="38" fillId="20" borderId="48" xfId="0" applyFont="1" applyFill="1" applyBorder="1" applyAlignment="1"/>
    <xf numFmtId="0" fontId="5" fillId="20" borderId="49" xfId="0" applyFont="1" applyFill="1" applyBorder="1" applyAlignment="1"/>
    <xf numFmtId="0" fontId="44" fillId="0" borderId="0" xfId="0" applyFont="1" applyFill="1" applyBorder="1" applyAlignment="1">
      <alignment horizontal="center"/>
    </xf>
    <xf numFmtId="0" fontId="0" fillId="0" borderId="0" xfId="0" applyFill="1" applyBorder="1" applyAlignment="1">
      <alignment horizontal="center"/>
    </xf>
    <xf numFmtId="0" fontId="47" fillId="19" borderId="26" xfId="0" applyFont="1" applyFill="1" applyBorder="1"/>
    <xf numFmtId="0" fontId="47" fillId="19" borderId="27" xfId="0" applyFont="1" applyFill="1" applyBorder="1"/>
    <xf numFmtId="0" fontId="47" fillId="23" borderId="27" xfId="0" applyFont="1" applyFill="1" applyBorder="1"/>
    <xf numFmtId="3" fontId="47" fillId="19" borderId="27" xfId="0" applyNumberFormat="1" applyFont="1" applyFill="1" applyBorder="1" applyAlignment="1">
      <alignment horizontal="right" vertical="center" indent="1"/>
    </xf>
    <xf numFmtId="3" fontId="47" fillId="19" borderId="27" xfId="0" applyNumberFormat="1" applyFont="1" applyFill="1" applyBorder="1" applyAlignment="1">
      <alignment horizontal="left" vertical="center" indent="1"/>
    </xf>
    <xf numFmtId="0" fontId="47" fillId="19" borderId="29" xfId="0" applyFont="1" applyFill="1" applyBorder="1"/>
    <xf numFmtId="0" fontId="47" fillId="0" borderId="0" xfId="0" applyFont="1" applyFill="1" applyBorder="1"/>
    <xf numFmtId="0" fontId="47" fillId="0" borderId="0" xfId="0" applyFont="1"/>
    <xf numFmtId="0" fontId="2" fillId="0" borderId="62" xfId="0" applyFont="1" applyBorder="1"/>
    <xf numFmtId="3" fontId="34" fillId="21" borderId="26" xfId="0" applyNumberFormat="1" applyFont="1" applyFill="1" applyBorder="1" applyAlignment="1">
      <alignment horizontal="right"/>
    </xf>
    <xf numFmtId="0" fontId="0" fillId="0" borderId="0" xfId="0" applyFill="1" applyBorder="1" applyAlignment="1">
      <alignment horizontal="center" wrapText="1"/>
    </xf>
    <xf numFmtId="0" fontId="0" fillId="0" borderId="0" xfId="0" applyFill="1" applyBorder="1" applyAlignment="1">
      <alignment wrapText="1"/>
    </xf>
    <xf numFmtId="1" fontId="1" fillId="0" borderId="0" xfId="0" applyNumberFormat="1" applyFont="1" applyFill="1" applyBorder="1" applyAlignment="1">
      <alignment horizontal="center"/>
    </xf>
    <xf numFmtId="0" fontId="2" fillId="0" borderId="0" xfId="0" applyFont="1" applyFill="1" applyBorder="1"/>
    <xf numFmtId="168" fontId="0" fillId="0" borderId="0" xfId="31" applyNumberFormat="1" applyFont="1" applyFill="1" applyBorder="1"/>
    <xf numFmtId="3" fontId="0" fillId="0" borderId="0" xfId="31" applyNumberFormat="1" applyFont="1" applyFill="1" applyBorder="1"/>
    <xf numFmtId="3" fontId="0" fillId="0" borderId="0" xfId="0" applyNumberFormat="1" applyFill="1" applyBorder="1"/>
    <xf numFmtId="3" fontId="34" fillId="0" borderId="0" xfId="0" applyNumberFormat="1" applyFont="1" applyFill="1" applyBorder="1" applyAlignment="1">
      <alignment horizontal="right"/>
    </xf>
    <xf numFmtId="0" fontId="0" fillId="0" borderId="44" xfId="0" applyBorder="1" applyAlignment="1">
      <alignment vertical="top" wrapText="1"/>
    </xf>
    <xf numFmtId="0" fontId="0" fillId="0" borderId="67" xfId="0" applyBorder="1" applyAlignment="1"/>
    <xf numFmtId="0" fontId="0" fillId="0" borderId="30" xfId="0" applyBorder="1" applyAlignment="1"/>
    <xf numFmtId="0" fontId="4" fillId="0" borderId="68" xfId="0" applyFont="1" applyBorder="1" applyAlignment="1"/>
    <xf numFmtId="0" fontId="4" fillId="0" borderId="69" xfId="0" applyFont="1" applyBorder="1" applyAlignment="1"/>
    <xf numFmtId="0" fontId="0" fillId="0" borderId="28" xfId="0" applyBorder="1" applyAlignment="1">
      <alignment horizontal="center" wrapText="1"/>
    </xf>
    <xf numFmtId="0" fontId="0" fillId="0" borderId="70" xfId="0" applyBorder="1" applyAlignment="1">
      <alignment horizontal="center" wrapText="1"/>
    </xf>
    <xf numFmtId="0" fontId="4" fillId="0" borderId="74" xfId="0" applyFont="1" applyBorder="1" applyAlignment="1"/>
    <xf numFmtId="0" fontId="5" fillId="19" borderId="72" xfId="0" applyFont="1" applyFill="1" applyBorder="1"/>
    <xf numFmtId="172" fontId="1" fillId="17" borderId="23" xfId="47" applyNumberFormat="1" applyFont="1" applyFill="1" applyBorder="1" applyAlignment="1">
      <alignment horizontal="left"/>
    </xf>
    <xf numFmtId="172" fontId="1" fillId="0" borderId="0" xfId="48" applyNumberFormat="1" applyFont="1" applyFill="1" applyBorder="1"/>
    <xf numFmtId="172" fontId="49" fillId="0" borderId="0" xfId="47" applyNumberFormat="1" applyFont="1" applyFill="1" applyBorder="1" applyAlignment="1">
      <alignment horizontal="left"/>
    </xf>
    <xf numFmtId="172" fontId="48" fillId="0" borderId="0" xfId="47" applyNumberFormat="1" applyBorder="1"/>
    <xf numFmtId="172" fontId="2" fillId="0" borderId="0" xfId="31" applyNumberFormat="1" applyFont="1" applyBorder="1" applyAlignment="1" applyProtection="1">
      <alignment horizontal="left"/>
    </xf>
    <xf numFmtId="172" fontId="2" fillId="17" borderId="0" xfId="31" applyNumberFormat="1" applyFont="1" applyFill="1" applyBorder="1" applyAlignment="1">
      <alignment horizontal="right"/>
    </xf>
    <xf numFmtId="0" fontId="36" fillId="21" borderId="24" xfId="0" applyFont="1" applyFill="1" applyBorder="1" applyAlignment="1">
      <alignment horizontal="center"/>
    </xf>
    <xf numFmtId="173" fontId="2" fillId="0" borderId="75" xfId="31" applyNumberFormat="1" applyFont="1" applyBorder="1" applyAlignment="1" applyProtection="1">
      <alignment horizontal="left"/>
    </xf>
    <xf numFmtId="171" fontId="1" fillId="0" borderId="0" xfId="47" applyFont="1" applyAlignment="1" applyProtection="1">
      <alignment horizontal="left"/>
    </xf>
    <xf numFmtId="3" fontId="2" fillId="17" borderId="0" xfId="47" applyNumberFormat="1" applyFont="1" applyFill="1" applyBorder="1" applyAlignment="1">
      <alignment horizontal="left"/>
    </xf>
    <xf numFmtId="1" fontId="1" fillId="20" borderId="48" xfId="0" applyNumberFormat="1" applyFont="1" applyFill="1" applyBorder="1"/>
    <xf numFmtId="1" fontId="1" fillId="20" borderId="0" xfId="0" applyNumberFormat="1" applyFont="1" applyFill="1" applyBorder="1"/>
    <xf numFmtId="1" fontId="36" fillId="20" borderId="23" xfId="0" applyNumberFormat="1" applyFont="1" applyFill="1" applyBorder="1" applyAlignment="1">
      <alignment horizontal="center"/>
    </xf>
    <xf numFmtId="1" fontId="1" fillId="20" borderId="31" xfId="0" applyNumberFormat="1" applyFont="1" applyFill="1" applyBorder="1"/>
    <xf numFmtId="1" fontId="1" fillId="20" borderId="32" xfId="0" applyNumberFormat="1" applyFont="1" applyFill="1" applyBorder="1" applyAlignment="1"/>
    <xf numFmtId="1" fontId="1" fillId="20" borderId="32" xfId="0" applyNumberFormat="1" applyFont="1" applyFill="1" applyBorder="1"/>
    <xf numFmtId="1" fontId="1" fillId="20" borderId="33" xfId="0" applyNumberFormat="1" applyFont="1" applyFill="1" applyBorder="1"/>
    <xf numFmtId="0" fontId="1" fillId="20" borderId="49" xfId="0" applyFont="1" applyFill="1" applyBorder="1" applyAlignment="1">
      <alignment horizontal="center"/>
    </xf>
    <xf numFmtId="172" fontId="1" fillId="17" borderId="24" xfId="47" applyNumberFormat="1" applyFont="1" applyFill="1" applyBorder="1" applyAlignment="1">
      <alignment horizontal="left"/>
    </xf>
    <xf numFmtId="1" fontId="1" fillId="20" borderId="17" xfId="0" applyNumberFormat="1" applyFont="1" applyFill="1" applyBorder="1"/>
    <xf numFmtId="1" fontId="1" fillId="20" borderId="17" xfId="0" applyNumberFormat="1" applyFont="1" applyFill="1" applyBorder="1" applyAlignment="1"/>
    <xf numFmtId="172" fontId="0" fillId="0" borderId="0" xfId="0" applyNumberFormat="1"/>
    <xf numFmtId="1" fontId="11" fillId="0" borderId="0" xfId="0" applyNumberFormat="1" applyFont="1"/>
    <xf numFmtId="3" fontId="11" fillId="0" borderId="0" xfId="0" applyNumberFormat="1" applyFont="1"/>
    <xf numFmtId="0" fontId="5" fillId="19" borderId="0" xfId="0" applyFont="1" applyFill="1" applyBorder="1" applyAlignment="1">
      <alignment horizontal="right"/>
    </xf>
    <xf numFmtId="169" fontId="8" fillId="19" borderId="0" xfId="0" applyNumberFormat="1" applyFont="1" applyFill="1" applyBorder="1" applyAlignment="1">
      <alignment horizontal="center" vertical="center"/>
    </xf>
    <xf numFmtId="0" fontId="5" fillId="20" borderId="19" xfId="0" applyFont="1" applyFill="1" applyBorder="1" applyAlignment="1">
      <alignment horizontal="center"/>
    </xf>
    <xf numFmtId="3" fontId="7" fillId="17" borderId="71" xfId="0" applyNumberFormat="1" applyFont="1" applyFill="1" applyBorder="1" applyAlignment="1">
      <alignment vertical="center"/>
    </xf>
    <xf numFmtId="3" fontId="7" fillId="17" borderId="73" xfId="0" applyNumberFormat="1" applyFont="1" applyFill="1" applyBorder="1" applyAlignment="1">
      <alignment vertical="center"/>
    </xf>
    <xf numFmtId="0" fontId="7" fillId="19" borderId="23" xfId="0" applyFont="1" applyFill="1" applyBorder="1" applyAlignment="1">
      <alignment horizontal="center"/>
    </xf>
    <xf numFmtId="0" fontId="42" fillId="20" borderId="16" xfId="0" applyFont="1" applyFill="1" applyBorder="1" applyAlignment="1">
      <alignment horizontal="center"/>
    </xf>
    <xf numFmtId="0" fontId="42" fillId="20" borderId="0" xfId="0" applyFont="1" applyFill="1" applyBorder="1" applyAlignment="1">
      <alignment horizontal="center"/>
    </xf>
    <xf numFmtId="0" fontId="42" fillId="20" borderId="17" xfId="0" applyFont="1" applyFill="1" applyBorder="1" applyAlignment="1">
      <alignment horizontal="center"/>
    </xf>
    <xf numFmtId="0" fontId="7" fillId="19" borderId="0" xfId="0" applyFont="1" applyFill="1" applyBorder="1" applyAlignment="1">
      <alignment horizontal="left" vertical="top"/>
    </xf>
    <xf numFmtId="0" fontId="11" fillId="20" borderId="16" xfId="0" applyFont="1" applyFill="1" applyBorder="1" applyAlignment="1">
      <alignment horizontal="center"/>
    </xf>
    <xf numFmtId="0" fontId="5" fillId="20" borderId="0" xfId="0" applyFont="1" applyFill="1" applyBorder="1" applyAlignment="1">
      <alignment horizontal="center"/>
    </xf>
    <xf numFmtId="0" fontId="5" fillId="20" borderId="17" xfId="0" applyFont="1" applyFill="1" applyBorder="1" applyAlignment="1">
      <alignment horizontal="center"/>
    </xf>
    <xf numFmtId="0" fontId="5" fillId="19" borderId="0" xfId="0" applyFont="1" applyFill="1" applyBorder="1" applyAlignment="1">
      <alignment vertical="top" wrapText="1"/>
    </xf>
    <xf numFmtId="0" fontId="5" fillId="0" borderId="0" xfId="0" applyFont="1" applyAlignment="1">
      <alignment vertical="top" wrapText="1"/>
    </xf>
    <xf numFmtId="0" fontId="5" fillId="20" borderId="0" xfId="0" applyFont="1" applyFill="1" applyBorder="1" applyAlignment="1" applyProtection="1">
      <alignment horizontal="center" vertical="top"/>
      <protection locked="0"/>
    </xf>
    <xf numFmtId="0" fontId="5" fillId="20" borderId="22" xfId="0" applyFont="1" applyFill="1" applyBorder="1" applyAlignment="1">
      <alignment horizontal="center"/>
    </xf>
    <xf numFmtId="0" fontId="5" fillId="20" borderId="23" xfId="0" applyFont="1" applyFill="1" applyBorder="1" applyAlignment="1">
      <alignment horizontal="center"/>
    </xf>
    <xf numFmtId="0" fontId="5" fillId="20" borderId="24" xfId="0" applyFont="1" applyFill="1" applyBorder="1" applyAlignment="1">
      <alignment horizontal="center"/>
    </xf>
    <xf numFmtId="0" fontId="7" fillId="19" borderId="0" xfId="0" applyFont="1" applyFill="1" applyBorder="1" applyAlignment="1">
      <alignment vertical="top"/>
    </xf>
    <xf numFmtId="167" fontId="32" fillId="19" borderId="0" xfId="0" applyNumberFormat="1" applyFont="1" applyFill="1" applyBorder="1" applyAlignment="1">
      <alignment horizontal="right" vertical="center"/>
    </xf>
    <xf numFmtId="3" fontId="7" fillId="17" borderId="26" xfId="0" applyNumberFormat="1" applyFont="1" applyFill="1" applyBorder="1" applyAlignment="1">
      <alignment vertical="center"/>
    </xf>
    <xf numFmtId="3" fontId="5" fillId="17" borderId="29" xfId="0" applyNumberFormat="1" applyFont="1" applyFill="1" applyBorder="1" applyAlignment="1">
      <alignment vertical="center"/>
    </xf>
    <xf numFmtId="3" fontId="33" fillId="19" borderId="0" xfId="0" applyNumberFormat="1" applyFont="1" applyFill="1" applyBorder="1" applyAlignment="1">
      <alignment horizontal="left" vertical="center"/>
    </xf>
    <xf numFmtId="0" fontId="33" fillId="0" borderId="0" xfId="0" applyFont="1" applyAlignment="1">
      <alignment horizontal="left" vertical="center"/>
    </xf>
    <xf numFmtId="3" fontId="8" fillId="19" borderId="0" xfId="0" applyNumberFormat="1" applyFont="1" applyFill="1" applyBorder="1" applyAlignment="1">
      <alignment horizontal="right" vertical="center"/>
    </xf>
    <xf numFmtId="0" fontId="0" fillId="0" borderId="0" xfId="0" applyBorder="1" applyAlignment="1">
      <alignment vertical="top" wrapText="1"/>
    </xf>
    <xf numFmtId="3" fontId="7" fillId="17" borderId="71" xfId="0" applyNumberFormat="1" applyFont="1" applyFill="1" applyBorder="1" applyAlignment="1">
      <alignment horizontal="center" vertical="center"/>
    </xf>
    <xf numFmtId="3" fontId="5" fillId="17" borderId="73" xfId="0" applyNumberFormat="1" applyFont="1" applyFill="1" applyBorder="1" applyAlignment="1">
      <alignment horizontal="center" vertical="center"/>
    </xf>
    <xf numFmtId="0" fontId="2" fillId="19" borderId="48" xfId="0" applyFont="1" applyFill="1" applyBorder="1" applyAlignment="1">
      <alignment horizontal="left"/>
    </xf>
    <xf numFmtId="3" fontId="10" fillId="0" borderId="0" xfId="0" applyNumberFormat="1" applyFont="1" applyFill="1" applyBorder="1" applyAlignment="1" applyProtection="1">
      <alignment vertical="center"/>
      <protection locked="0"/>
    </xf>
    <xf numFmtId="0" fontId="7" fillId="19" borderId="0" xfId="0" applyFont="1" applyFill="1" applyBorder="1" applyAlignment="1">
      <alignment horizontal="center"/>
    </xf>
    <xf numFmtId="3" fontId="7" fillId="17" borderId="0" xfId="0" applyNumberFormat="1" applyFont="1" applyFill="1" applyBorder="1" applyAlignment="1">
      <alignment horizontal="center" vertical="center"/>
    </xf>
    <xf numFmtId="0" fontId="6" fillId="20" borderId="16" xfId="0" applyFont="1" applyFill="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5" fillId="19" borderId="0" xfId="0" applyFont="1" applyFill="1" applyBorder="1" applyAlignment="1">
      <alignment horizontal="center"/>
    </xf>
    <xf numFmtId="0" fontId="43" fillId="20" borderId="16" xfId="0" applyFont="1" applyFill="1" applyBorder="1" applyAlignment="1">
      <alignment horizontal="center"/>
    </xf>
    <xf numFmtId="0" fontId="43" fillId="20" borderId="0" xfId="0" applyFont="1" applyFill="1" applyBorder="1" applyAlignment="1">
      <alignment horizontal="center"/>
    </xf>
    <xf numFmtId="0" fontId="43" fillId="20" borderId="17" xfId="0" applyFont="1" applyFill="1" applyBorder="1" applyAlignment="1">
      <alignment horizontal="center"/>
    </xf>
    <xf numFmtId="0" fontId="44" fillId="0" borderId="0" xfId="0" applyFont="1" applyBorder="1" applyAlignment="1">
      <alignment horizontal="center"/>
    </xf>
    <xf numFmtId="0" fontId="44" fillId="0" borderId="17" xfId="0" applyFont="1" applyBorder="1" applyAlignment="1">
      <alignment horizontal="center"/>
    </xf>
    <xf numFmtId="0" fontId="7" fillId="19" borderId="0" xfId="0" applyFont="1" applyFill="1" applyBorder="1" applyAlignment="1">
      <alignment horizontal="center" wrapText="1"/>
    </xf>
    <xf numFmtId="0" fontId="5" fillId="0" borderId="0" xfId="0" applyFont="1" applyBorder="1" applyAlignment="1">
      <alignment wrapText="1"/>
    </xf>
    <xf numFmtId="3" fontId="5" fillId="19" borderId="0" xfId="0" applyNumberFormat="1" applyFont="1" applyFill="1" applyBorder="1" applyAlignment="1">
      <alignment horizontal="right" vertical="center" wrapText="1" indent="1"/>
    </xf>
    <xf numFmtId="0" fontId="0" fillId="0" borderId="0" xfId="0" applyBorder="1" applyAlignment="1">
      <alignment horizontal="right" vertical="center" wrapText="1" indent="1"/>
    </xf>
    <xf numFmtId="0" fontId="7" fillId="19" borderId="0" xfId="0" applyFont="1" applyFill="1" applyBorder="1" applyAlignment="1">
      <alignment horizontal="left"/>
    </xf>
    <xf numFmtId="0" fontId="0" fillId="0" borderId="0" xfId="0" applyBorder="1" applyAlignment="1">
      <alignment wrapText="1"/>
    </xf>
    <xf numFmtId="3" fontId="7" fillId="17" borderId="71" xfId="0" applyNumberFormat="1" applyFont="1" applyFill="1" applyBorder="1" applyAlignment="1">
      <alignment horizontal="right" vertical="center"/>
    </xf>
    <xf numFmtId="3" fontId="5" fillId="17" borderId="73" xfId="0" applyNumberFormat="1" applyFont="1" applyFill="1" applyBorder="1" applyAlignment="1">
      <alignment horizontal="right" vertical="center"/>
    </xf>
    <xf numFmtId="3" fontId="7" fillId="19" borderId="23" xfId="0" applyNumberFormat="1" applyFont="1" applyFill="1" applyBorder="1" applyAlignment="1">
      <alignment horizontal="center" vertical="center"/>
    </xf>
    <xf numFmtId="0" fontId="0" fillId="0" borderId="23" xfId="0" applyBorder="1" applyAlignment="1">
      <alignment horizontal="center" vertical="center"/>
    </xf>
    <xf numFmtId="3" fontId="7" fillId="19" borderId="0" xfId="0" applyNumberFormat="1" applyFont="1" applyFill="1" applyBorder="1" applyAlignment="1">
      <alignment horizontal="center" vertical="center"/>
    </xf>
    <xf numFmtId="0" fontId="0" fillId="0" borderId="0" xfId="0" applyBorder="1" applyAlignment="1">
      <alignment horizontal="center" vertical="center"/>
    </xf>
    <xf numFmtId="3" fontId="7" fillId="17" borderId="0" xfId="0" applyNumberFormat="1" applyFont="1" applyFill="1" applyBorder="1" applyAlignment="1" applyProtection="1">
      <alignment horizontal="right" vertical="center" indent="1"/>
      <protection locked="0"/>
    </xf>
    <xf numFmtId="3" fontId="7" fillId="17" borderId="0" xfId="0" applyNumberFormat="1" applyFont="1" applyFill="1" applyBorder="1" applyAlignment="1">
      <alignment horizontal="right" vertical="center" indent="1"/>
    </xf>
    <xf numFmtId="3" fontId="5" fillId="17" borderId="0" xfId="0" applyNumberFormat="1" applyFont="1" applyFill="1" applyBorder="1" applyAlignment="1">
      <alignment horizontal="right" vertical="center" indent="1"/>
    </xf>
    <xf numFmtId="3" fontId="5" fillId="17" borderId="0" xfId="0" applyNumberFormat="1" applyFont="1" applyFill="1" applyBorder="1" applyAlignment="1" applyProtection="1">
      <alignment horizontal="right" vertical="center" indent="1"/>
      <protection locked="0"/>
    </xf>
    <xf numFmtId="0" fontId="2" fillId="19" borderId="0" xfId="0" applyFont="1" applyFill="1" applyBorder="1" applyAlignment="1">
      <alignment horizontal="left"/>
    </xf>
    <xf numFmtId="0" fontId="0" fillId="0" borderId="0" xfId="0" applyAlignment="1"/>
    <xf numFmtId="0" fontId="0" fillId="0" borderId="0" xfId="0" applyAlignment="1">
      <alignment wrapText="1"/>
    </xf>
    <xf numFmtId="0" fontId="0" fillId="0" borderId="0" xfId="0" applyAlignment="1">
      <alignment vertical="top" wrapText="1"/>
    </xf>
    <xf numFmtId="3" fontId="7" fillId="0" borderId="0" xfId="0"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0" fontId="5" fillId="19" borderId="0" xfId="0" applyFont="1" applyFill="1" applyBorder="1" applyAlignment="1">
      <alignment wrapText="1"/>
    </xf>
    <xf numFmtId="3" fontId="5" fillId="19" borderId="0" xfId="0" applyNumberFormat="1" applyFont="1" applyFill="1" applyBorder="1" applyAlignment="1">
      <alignment horizontal="center" vertical="center"/>
    </xf>
    <xf numFmtId="3" fontId="7" fillId="19" borderId="0" xfId="0" applyNumberFormat="1" applyFont="1" applyFill="1" applyBorder="1" applyAlignment="1">
      <alignment horizontal="center" vertical="center" wrapText="1"/>
    </xf>
    <xf numFmtId="3" fontId="7" fillId="19" borderId="0" xfId="0" applyNumberFormat="1" applyFont="1" applyFill="1" applyBorder="1" applyAlignment="1">
      <alignment horizontal="center" vertical="top" wrapText="1"/>
    </xf>
    <xf numFmtId="0" fontId="5" fillId="0" borderId="0" xfId="0" applyFont="1" applyBorder="1" applyAlignment="1">
      <alignment vertical="top" wrapText="1"/>
    </xf>
    <xf numFmtId="0" fontId="46" fillId="19" borderId="23" xfId="0" applyFont="1" applyFill="1" applyBorder="1" applyAlignment="1">
      <alignment horizontal="center" vertical="center"/>
    </xf>
    <xf numFmtId="0" fontId="0" fillId="0" borderId="0" xfId="0" applyFill="1" applyBorder="1" applyAlignment="1">
      <alignment horizontal="center" wrapText="1"/>
    </xf>
    <xf numFmtId="0" fontId="1" fillId="0" borderId="0" xfId="0" applyFont="1" applyFill="1" applyBorder="1" applyAlignment="1">
      <alignment horizontal="center" wrapText="1"/>
    </xf>
    <xf numFmtId="0" fontId="0" fillId="0" borderId="65" xfId="0" applyBorder="1" applyAlignment="1">
      <alignment horizontal="center" wrapText="1"/>
    </xf>
    <xf numFmtId="0" fontId="0" fillId="0" borderId="66" xfId="0" applyBorder="1" applyAlignment="1">
      <alignment horizontal="center" wrapText="1"/>
    </xf>
    <xf numFmtId="0" fontId="0" fillId="0" borderId="63" xfId="0" applyBorder="1" applyAlignment="1">
      <alignment horizontal="center" wrapText="1"/>
    </xf>
    <xf numFmtId="0" fontId="0" fillId="0" borderId="41" xfId="0"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4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64" xfId="0" applyBorder="1" applyAlignment="1" applyProtection="1">
      <alignment horizontal="center" wrapText="1"/>
      <protection locked="0"/>
    </xf>
    <xf numFmtId="0" fontId="0" fillId="0" borderId="26" xfId="0" applyBorder="1" applyAlignment="1">
      <alignment horizontal="center" wrapText="1"/>
    </xf>
    <xf numFmtId="0" fontId="0" fillId="0" borderId="27" xfId="0" applyBorder="1" applyAlignment="1">
      <alignment horizontal="center" wrapText="1"/>
    </xf>
    <xf numFmtId="0" fontId="0" fillId="0" borderId="29" xfId="0" applyBorder="1" applyAlignment="1">
      <alignment horizontal="center" wrapText="1"/>
    </xf>
    <xf numFmtId="0" fontId="1" fillId="0" borderId="65" xfId="0" applyFont="1" applyBorder="1" applyAlignment="1">
      <alignment horizontal="center" wrapText="1"/>
    </xf>
    <xf numFmtId="0" fontId="0" fillId="0" borderId="26" xfId="0" applyBorder="1" applyAlignment="1">
      <alignment wrapText="1"/>
    </xf>
    <xf numFmtId="0" fontId="0" fillId="0" borderId="27" xfId="0" applyBorder="1" applyAlignment="1">
      <alignment wrapText="1"/>
    </xf>
    <xf numFmtId="0" fontId="0" fillId="0" borderId="29" xfId="0" applyBorder="1" applyAlignment="1">
      <alignment wrapText="1"/>
    </xf>
    <xf numFmtId="0" fontId="0" fillId="0" borderId="71" xfId="0" applyBorder="1" applyAlignment="1">
      <alignment horizontal="center" wrapText="1"/>
    </xf>
    <xf numFmtId="0" fontId="0" fillId="0" borderId="72" xfId="0" applyBorder="1" applyAlignment="1">
      <alignment horizontal="center" wrapText="1"/>
    </xf>
    <xf numFmtId="0" fontId="0" fillId="0" borderId="73" xfId="0" applyBorder="1" applyAlignment="1">
      <alignment horizontal="center" wrapText="1"/>
    </xf>
    <xf numFmtId="0" fontId="0" fillId="0" borderId="71" xfId="0" applyBorder="1" applyAlignment="1">
      <alignment horizontal="right" wrapText="1"/>
    </xf>
    <xf numFmtId="0" fontId="0" fillId="0" borderId="72" xfId="0" applyBorder="1" applyAlignment="1">
      <alignment horizontal="right" wrapText="1"/>
    </xf>
    <xf numFmtId="0" fontId="0" fillId="0" borderId="73" xfId="0" applyBorder="1" applyAlignment="1">
      <alignment horizontal="right" wrapText="1"/>
    </xf>
    <xf numFmtId="0" fontId="0" fillId="0" borderId="0" xfId="0" applyBorder="1" applyAlignment="1">
      <alignment horizontal="center" wrapText="1"/>
    </xf>
    <xf numFmtId="0" fontId="0" fillId="20" borderId="0" xfId="0" applyFill="1" applyBorder="1" applyAlignment="1">
      <alignment vertical="top" wrapText="1"/>
    </xf>
    <xf numFmtId="0" fontId="2" fillId="0" borderId="0" xfId="0" applyFont="1" applyBorder="1" applyAlignment="1">
      <alignment horizontal="center"/>
    </xf>
    <xf numFmtId="0" fontId="0" fillId="21" borderId="0" xfId="0" applyFill="1" applyBorder="1"/>
    <xf numFmtId="3" fontId="34" fillId="21" borderId="0" xfId="0" applyNumberFormat="1" applyFont="1" applyFill="1" applyBorder="1" applyAlignment="1">
      <alignment horizontal="right"/>
    </xf>
    <xf numFmtId="0" fontId="0" fillId="24" borderId="0" xfId="0" applyFill="1"/>
    <xf numFmtId="172" fontId="1" fillId="24" borderId="0" xfId="47" applyNumberFormat="1" applyFont="1" applyFill="1" applyBorder="1"/>
    <xf numFmtId="172" fontId="1" fillId="24" borderId="0" xfId="48" applyNumberFormat="1" applyFont="1" applyFill="1" applyBorder="1"/>
    <xf numFmtId="172" fontId="49" fillId="24" borderId="0" xfId="47" applyNumberFormat="1" applyFont="1" applyFill="1" applyBorder="1" applyAlignment="1">
      <alignment horizontal="left"/>
    </xf>
    <xf numFmtId="172" fontId="1" fillId="24" borderId="0" xfId="47" applyNumberFormat="1" applyFont="1" applyFill="1" applyAlignment="1" applyProtection="1">
      <alignment horizontal="left"/>
    </xf>
    <xf numFmtId="3" fontId="0" fillId="24" borderId="0" xfId="0" applyNumberFormat="1" applyFill="1"/>
    <xf numFmtId="0" fontId="1" fillId="24" borderId="0" xfId="0" applyFont="1" applyFill="1" applyBorder="1" applyAlignment="1" applyProtection="1">
      <alignment horizontal="left"/>
    </xf>
    <xf numFmtId="0" fontId="1" fillId="24" borderId="0" xfId="0" applyFont="1" applyFill="1" applyBorder="1"/>
    <xf numFmtId="0" fontId="1" fillId="24" borderId="0" xfId="0" applyFont="1" applyFill="1" applyBorder="1" applyAlignment="1">
      <alignment horizontal="left"/>
    </xf>
    <xf numFmtId="0" fontId="1" fillId="24" borderId="0" xfId="0" quotePrefix="1" applyFont="1" applyFill="1" applyBorder="1" applyAlignment="1" applyProtection="1">
      <alignment horizontal="left"/>
    </xf>
    <xf numFmtId="0" fontId="1" fillId="24" borderId="0" xfId="0" quotePrefix="1" applyFont="1" applyFill="1" applyBorder="1" applyAlignment="1">
      <alignment horizontal="left"/>
    </xf>
    <xf numFmtId="3" fontId="0" fillId="24" borderId="0" xfId="0" applyNumberFormat="1" applyFill="1" applyAlignment="1">
      <alignment vertical="top"/>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cellStyle name="CellNationValue" xfId="28"/>
    <cellStyle name="CellUAValue" xfId="29"/>
    <cellStyle name="Check Cell" xfId="30" builtinId="23" customBuiltin="1"/>
    <cellStyle name="Comma" xfId="31" builtinId="3"/>
    <cellStyle name="Currency" xfId="32" builtinId="4"/>
    <cellStyle name="Explanatory Text" xfId="33" builtinId="53" customBuilti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Input" xfId="39" builtinId="20" customBuiltin="1"/>
    <cellStyle name="Linked Cell" xfId="40" builtinId="24" customBuiltin="1"/>
    <cellStyle name="Neutral" xfId="41" builtinId="28" customBuiltin="1"/>
    <cellStyle name="Normal" xfId="0" builtinId="0"/>
    <cellStyle name="Normal_10-11 Data (2009)" xfId="48"/>
    <cellStyle name="Normal_CTB Data down load" xfId="47"/>
    <cellStyle name="Note" xfId="42" builtinId="10" customBuiltin="1"/>
    <cellStyle name="Output" xfId="43" builtinId="21" customBuiltin="1"/>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66CCFF"/>
      <color rgb="FF1DC4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List" dx="16" fmlaLink="F1" fmlaRange="Sheet1!$A$1:$A$332" noThreeD="1" sel="327" val="325"/>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0</xdr:row>
      <xdr:rowOff>144780</xdr:rowOff>
    </xdr:from>
    <xdr:to>
      <xdr:col>4</xdr:col>
      <xdr:colOff>342900</xdr:colOff>
      <xdr:row>5</xdr:row>
      <xdr:rowOff>38100</xdr:rowOff>
    </xdr:to>
    <xdr:pic>
      <xdr:nvPicPr>
        <xdr:cNvPr id="2097" name="Picture 1"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144780"/>
          <a:ext cx="1950720" cy="1074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457200</xdr:colOff>
          <xdr:row>7</xdr:row>
          <xdr:rowOff>85725</xdr:rowOff>
        </xdr:from>
        <xdr:to>
          <xdr:col>13</xdr:col>
          <xdr:colOff>552450</xdr:colOff>
          <xdr:row>10</xdr:row>
          <xdr:rowOff>47625</xdr:rowOff>
        </xdr:to>
        <xdr:sp macro="" textlink="">
          <xdr:nvSpPr>
            <xdr:cNvPr id="2052" name="List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0</xdr:row>
      <xdr:rowOff>167640</xdr:rowOff>
    </xdr:from>
    <xdr:to>
      <xdr:col>3</xdr:col>
      <xdr:colOff>320040</xdr:colOff>
      <xdr:row>5</xdr:row>
      <xdr:rowOff>68580</xdr:rowOff>
    </xdr:to>
    <xdr:pic>
      <xdr:nvPicPr>
        <xdr:cNvPr id="5122" name="Picture 1"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67640"/>
          <a:ext cx="189738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xdr:colOff>
      <xdr:row>0</xdr:row>
      <xdr:rowOff>167640</xdr:rowOff>
    </xdr:from>
    <xdr:to>
      <xdr:col>3</xdr:col>
      <xdr:colOff>617220</xdr:colOff>
      <xdr:row>5</xdr:row>
      <xdr:rowOff>68580</xdr:rowOff>
    </xdr:to>
    <xdr:pic>
      <xdr:nvPicPr>
        <xdr:cNvPr id="2" name="Picture 1"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67640"/>
          <a:ext cx="189738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xdr:colOff>
      <xdr:row>0</xdr:row>
      <xdr:rowOff>129540</xdr:rowOff>
    </xdr:from>
    <xdr:to>
      <xdr:col>3</xdr:col>
      <xdr:colOff>868680</xdr:colOff>
      <xdr:row>5</xdr:row>
      <xdr:rowOff>30480</xdr:rowOff>
    </xdr:to>
    <xdr:pic>
      <xdr:nvPicPr>
        <xdr:cNvPr id="2" name="Picture 1"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29540"/>
          <a:ext cx="195834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xdr:colOff>
      <xdr:row>0</xdr:row>
      <xdr:rowOff>129540</xdr:rowOff>
    </xdr:from>
    <xdr:to>
      <xdr:col>3</xdr:col>
      <xdr:colOff>868680</xdr:colOff>
      <xdr:row>5</xdr:row>
      <xdr:rowOff>30480</xdr:rowOff>
    </xdr:to>
    <xdr:pic>
      <xdr:nvPicPr>
        <xdr:cNvPr id="10241" name="Picture 1"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129540"/>
          <a:ext cx="1958340" cy="108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refreshError="1"/>
      <sheetData sheetId="1">
        <row r="43">
          <cell r="K43">
            <v>0</v>
          </cell>
        </row>
      </sheetData>
      <sheetData sheetId="2">
        <row r="24">
          <cell r="P24">
            <v>0</v>
          </cell>
        </row>
      </sheetData>
      <sheetData sheetId="3"/>
      <sheetData sheetId="4"/>
      <sheetData sheetId="5" refreshError="1"/>
      <sheetData sheetId="6" refreshError="1"/>
      <sheetData sheetId="7" refreshError="1"/>
      <sheetData sheetId="8">
        <row r="1">
          <cell r="C1" t="str">
            <v>Linking billing authorities with their precepting authorities</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232"/>
  <sheetViews>
    <sheetView showGridLines="0" tabSelected="1" zoomScaleNormal="100" zoomScaleSheetLayoutView="100" workbookViewId="0">
      <selection activeCell="A4" sqref="A4:Z4"/>
    </sheetView>
  </sheetViews>
  <sheetFormatPr defaultColWidth="9.140625" defaultRowHeight="15" x14ac:dyDescent="0.2"/>
  <cols>
    <col min="1" max="2" width="1.7109375" style="7" customWidth="1"/>
    <col min="3" max="3" width="13.28515625" style="7" bestFit="1" customWidth="1"/>
    <col min="4" max="8" width="9.140625" style="7"/>
    <col min="9" max="9" width="13" style="7" bestFit="1" customWidth="1"/>
    <col min="10" max="10" width="3.7109375" style="7" customWidth="1"/>
    <col min="11" max="12" width="11.7109375" style="7" customWidth="1"/>
    <col min="13" max="13" width="3.7109375" style="7" customWidth="1"/>
    <col min="14" max="15" width="9.140625" style="7"/>
    <col min="16" max="16" width="3.7109375" style="7" customWidth="1"/>
    <col min="17" max="18" width="9.140625" style="7"/>
    <col min="19" max="19" width="3.7109375" style="7" customWidth="1"/>
    <col min="20" max="21" width="9.140625" style="7"/>
    <col min="22" max="22" width="3.7109375" style="7" customWidth="1"/>
    <col min="23" max="24" width="9.140625" style="7"/>
    <col min="25" max="25" width="1.5703125" style="7" customWidth="1"/>
    <col min="26" max="26" width="1.7109375" style="7" customWidth="1"/>
    <col min="27" max="27" width="16.28515625" style="7" bestFit="1" customWidth="1"/>
    <col min="28" max="16384" width="9.140625" style="7"/>
  </cols>
  <sheetData>
    <row r="1" spans="1:27" ht="18.75" customHeight="1" x14ac:dyDescent="0.2">
      <c r="A1" s="17"/>
      <c r="B1" s="18"/>
      <c r="C1" s="18"/>
      <c r="D1" s="18"/>
      <c r="E1" s="18"/>
      <c r="F1" s="69">
        <v>327</v>
      </c>
      <c r="G1" s="18"/>
      <c r="H1" s="18"/>
      <c r="I1" s="18"/>
      <c r="J1" s="18"/>
      <c r="K1" s="18"/>
      <c r="L1" s="18"/>
      <c r="M1" s="18"/>
      <c r="N1" s="18"/>
      <c r="O1" s="18"/>
      <c r="P1" s="18"/>
      <c r="Q1" s="18"/>
      <c r="R1" s="349"/>
      <c r="S1" s="349"/>
      <c r="T1" s="18"/>
      <c r="U1" s="18"/>
      <c r="V1" s="18"/>
      <c r="W1" s="18"/>
      <c r="X1" s="18"/>
      <c r="Y1" s="18"/>
      <c r="Z1" s="19"/>
    </row>
    <row r="2" spans="1:27" ht="18.75" customHeight="1" x14ac:dyDescent="0.2">
      <c r="A2" s="44"/>
      <c r="B2" s="42"/>
      <c r="C2" s="42"/>
      <c r="D2" s="42"/>
      <c r="E2" s="42"/>
      <c r="F2" s="109"/>
      <c r="G2" s="42"/>
      <c r="H2" s="42"/>
      <c r="I2" s="42"/>
      <c r="J2" s="42"/>
      <c r="K2" s="42"/>
      <c r="L2" s="42"/>
      <c r="M2" s="42"/>
      <c r="N2" s="42"/>
      <c r="O2" s="42"/>
      <c r="P2" s="42"/>
      <c r="Q2" s="42"/>
      <c r="R2" s="105"/>
      <c r="S2" s="105"/>
      <c r="T2" s="42"/>
      <c r="U2" s="42"/>
      <c r="V2" s="42"/>
      <c r="W2" s="42"/>
      <c r="X2" s="42"/>
      <c r="Y2" s="42"/>
      <c r="Z2" s="43"/>
    </row>
    <row r="3" spans="1:27" ht="18.75" customHeight="1" x14ac:dyDescent="0.3">
      <c r="A3" s="353" t="s">
        <v>1119</v>
      </c>
      <c r="B3" s="354"/>
      <c r="C3" s="354"/>
      <c r="D3" s="354"/>
      <c r="E3" s="354"/>
      <c r="F3" s="354"/>
      <c r="G3" s="354"/>
      <c r="H3" s="354"/>
      <c r="I3" s="354"/>
      <c r="J3" s="354"/>
      <c r="K3" s="354"/>
      <c r="L3" s="354"/>
      <c r="M3" s="354"/>
      <c r="N3" s="354"/>
      <c r="O3" s="354"/>
      <c r="P3" s="354"/>
      <c r="Q3" s="354"/>
      <c r="R3" s="354"/>
      <c r="S3" s="354"/>
      <c r="T3" s="354"/>
      <c r="U3" s="354"/>
      <c r="V3" s="354"/>
      <c r="W3" s="354"/>
      <c r="X3" s="354"/>
      <c r="Y3" s="354"/>
      <c r="Z3" s="355"/>
    </row>
    <row r="4" spans="1:27" ht="18.75" customHeight="1" x14ac:dyDescent="0.3">
      <c r="A4" s="353" t="s">
        <v>853</v>
      </c>
      <c r="B4" s="354"/>
      <c r="C4" s="354"/>
      <c r="D4" s="354"/>
      <c r="E4" s="354"/>
      <c r="F4" s="354"/>
      <c r="G4" s="354"/>
      <c r="H4" s="354"/>
      <c r="I4" s="354"/>
      <c r="J4" s="354"/>
      <c r="K4" s="354"/>
      <c r="L4" s="354"/>
      <c r="M4" s="354"/>
      <c r="N4" s="354"/>
      <c r="O4" s="354"/>
      <c r="P4" s="354"/>
      <c r="Q4" s="354"/>
      <c r="R4" s="354"/>
      <c r="S4" s="354"/>
      <c r="T4" s="354"/>
      <c r="U4" s="354"/>
      <c r="V4" s="354"/>
      <c r="W4" s="354"/>
      <c r="X4" s="354"/>
      <c r="Y4" s="354"/>
      <c r="Z4" s="355"/>
    </row>
    <row r="5" spans="1:27" ht="18.75" customHeight="1" x14ac:dyDescent="0.2">
      <c r="A5" s="357"/>
      <c r="B5" s="358"/>
      <c r="C5" s="358"/>
      <c r="D5" s="358"/>
      <c r="E5" s="358"/>
      <c r="F5" s="358"/>
      <c r="G5" s="358"/>
      <c r="H5" s="358"/>
      <c r="I5" s="358"/>
      <c r="J5" s="358"/>
      <c r="K5" s="358"/>
      <c r="L5" s="358"/>
      <c r="M5" s="358"/>
      <c r="N5" s="358"/>
      <c r="O5" s="358"/>
      <c r="P5" s="358"/>
      <c r="Q5" s="358"/>
      <c r="R5" s="358"/>
      <c r="S5" s="358"/>
      <c r="T5" s="358"/>
      <c r="U5" s="358"/>
      <c r="V5" s="358"/>
      <c r="W5" s="358"/>
      <c r="X5" s="358"/>
      <c r="Y5" s="358"/>
      <c r="Z5" s="359"/>
    </row>
    <row r="6" spans="1:27" ht="18.75" customHeight="1" thickBot="1" x14ac:dyDescent="0.25">
      <c r="A6" s="363"/>
      <c r="B6" s="364"/>
      <c r="C6" s="364"/>
      <c r="D6" s="364"/>
      <c r="E6" s="364"/>
      <c r="F6" s="364"/>
      <c r="G6" s="364"/>
      <c r="H6" s="364"/>
      <c r="I6" s="364"/>
      <c r="J6" s="364"/>
      <c r="K6" s="364"/>
      <c r="L6" s="364"/>
      <c r="M6" s="364"/>
      <c r="N6" s="364"/>
      <c r="O6" s="364"/>
      <c r="P6" s="364"/>
      <c r="Q6" s="364"/>
      <c r="R6" s="364"/>
      <c r="S6" s="364"/>
      <c r="T6" s="364"/>
      <c r="U6" s="364"/>
      <c r="V6" s="364"/>
      <c r="W6" s="364"/>
      <c r="X6" s="364"/>
      <c r="Y6" s="364"/>
      <c r="Z6" s="365"/>
    </row>
    <row r="7" spans="1:27" x14ac:dyDescent="0.2">
      <c r="A7" s="17"/>
      <c r="B7" s="18"/>
      <c r="C7" s="18"/>
      <c r="D7" s="18"/>
      <c r="E7" s="18"/>
      <c r="F7" s="18"/>
      <c r="G7" s="18"/>
      <c r="H7" s="18"/>
      <c r="I7" s="18"/>
      <c r="J7" s="18"/>
      <c r="K7" s="18"/>
      <c r="L7" s="18"/>
      <c r="M7" s="18"/>
      <c r="N7" s="18"/>
      <c r="O7" s="18"/>
      <c r="P7" s="18"/>
      <c r="Q7" s="18"/>
      <c r="R7" s="18"/>
      <c r="S7" s="18"/>
      <c r="T7" s="18"/>
      <c r="U7" s="18"/>
      <c r="V7" s="18"/>
      <c r="W7" s="18"/>
      <c r="X7" s="18"/>
      <c r="Y7" s="18"/>
      <c r="Z7" s="19"/>
      <c r="AA7" s="68"/>
    </row>
    <row r="8" spans="1:27" x14ac:dyDescent="0.2">
      <c r="A8" s="44"/>
      <c r="B8" s="42"/>
      <c r="C8" s="42"/>
      <c r="D8" s="42"/>
      <c r="E8" s="362" t="s">
        <v>537</v>
      </c>
      <c r="F8" s="362"/>
      <c r="G8" s="362"/>
      <c r="H8" s="362"/>
      <c r="I8" s="362"/>
      <c r="J8" s="362"/>
      <c r="K8" s="42"/>
      <c r="L8" s="38"/>
      <c r="M8" s="38"/>
      <c r="N8" s="38"/>
      <c r="O8" s="39"/>
      <c r="P8" s="42"/>
      <c r="Q8" s="42"/>
      <c r="R8" s="42"/>
      <c r="S8" s="42"/>
      <c r="T8" s="42"/>
      <c r="U8" s="42"/>
      <c r="V8" s="42"/>
      <c r="W8" s="42"/>
      <c r="X8" s="42"/>
      <c r="Y8" s="42"/>
      <c r="Z8" s="43"/>
      <c r="AA8" s="68"/>
    </row>
    <row r="9" spans="1:27" x14ac:dyDescent="0.2">
      <c r="A9" s="44"/>
      <c r="B9" s="42"/>
      <c r="C9" s="42"/>
      <c r="D9" s="42"/>
      <c r="E9" s="42"/>
      <c r="F9" s="39"/>
      <c r="G9" s="39"/>
      <c r="H9" s="39"/>
      <c r="I9" s="39"/>
      <c r="J9" s="39"/>
      <c r="K9" s="39"/>
      <c r="L9" s="38"/>
      <c r="M9" s="38"/>
      <c r="N9" s="38"/>
      <c r="O9" s="39"/>
      <c r="P9" s="42"/>
      <c r="Q9" s="42"/>
      <c r="R9" s="42"/>
      <c r="S9" s="42"/>
      <c r="T9" s="42"/>
      <c r="U9" s="42"/>
      <c r="V9" s="42"/>
      <c r="W9" s="42"/>
      <c r="X9" s="42"/>
      <c r="Y9" s="42"/>
      <c r="Z9" s="43"/>
      <c r="AA9" s="68"/>
    </row>
    <row r="10" spans="1:27" x14ac:dyDescent="0.2">
      <c r="A10" s="44"/>
      <c r="B10" s="42"/>
      <c r="C10" s="42"/>
      <c r="D10" s="42"/>
      <c r="E10" s="42"/>
      <c r="F10" s="40"/>
      <c r="G10" s="40"/>
      <c r="H10" s="40"/>
      <c r="I10" s="40"/>
      <c r="J10" s="40"/>
      <c r="K10" s="40"/>
      <c r="L10" s="41"/>
      <c r="M10" s="41"/>
      <c r="N10" s="41"/>
      <c r="O10" s="40"/>
      <c r="P10" s="42"/>
      <c r="Q10" s="42"/>
      <c r="R10" s="42"/>
      <c r="S10" s="42"/>
      <c r="T10" s="42"/>
      <c r="U10" s="42"/>
      <c r="V10" s="42"/>
      <c r="W10" s="42"/>
      <c r="X10" s="42"/>
      <c r="Y10" s="42"/>
      <c r="Z10" s="43"/>
      <c r="AA10" s="106"/>
    </row>
    <row r="11" spans="1:27" ht="15.75" thickBot="1" x14ac:dyDescent="0.25">
      <c r="A11" s="45"/>
      <c r="B11" s="46"/>
      <c r="C11" s="46"/>
      <c r="D11" s="46"/>
      <c r="E11" s="46"/>
      <c r="F11" s="46"/>
      <c r="G11" s="46"/>
      <c r="H11" s="46"/>
      <c r="I11" s="46"/>
      <c r="J11" s="46"/>
      <c r="K11" s="46"/>
      <c r="L11" s="46"/>
      <c r="M11" s="46"/>
      <c r="N11" s="46"/>
      <c r="O11" s="46"/>
      <c r="P11" s="46"/>
      <c r="Q11" s="46"/>
      <c r="R11" s="46"/>
      <c r="S11" s="46"/>
      <c r="T11" s="46"/>
      <c r="U11" s="46"/>
      <c r="V11" s="46"/>
      <c r="W11" s="66"/>
      <c r="X11" s="108"/>
      <c r="Y11" s="46"/>
      <c r="Z11" s="47"/>
      <c r="AA11" s="106"/>
    </row>
    <row r="12" spans="1:27" x14ac:dyDescent="0.2">
      <c r="A12" s="9"/>
      <c r="B12" s="8"/>
      <c r="C12" s="8"/>
      <c r="D12" s="8"/>
      <c r="E12" s="8"/>
      <c r="F12" s="8"/>
      <c r="G12" s="8"/>
      <c r="H12" s="8"/>
      <c r="I12" s="8"/>
      <c r="J12" s="8"/>
      <c r="K12" s="8"/>
      <c r="L12" s="8"/>
      <c r="M12" s="8"/>
      <c r="N12" s="8"/>
      <c r="O12" s="8"/>
      <c r="P12" s="8"/>
      <c r="Q12" s="8"/>
      <c r="R12" s="8"/>
      <c r="S12" s="8"/>
      <c r="T12" s="8"/>
      <c r="U12" s="8"/>
      <c r="V12" s="8"/>
      <c r="W12" s="8"/>
      <c r="X12" s="8"/>
      <c r="Y12" s="8"/>
      <c r="Z12" s="10"/>
      <c r="AA12" s="106"/>
    </row>
    <row r="13" spans="1:27" ht="15.75" x14ac:dyDescent="0.2">
      <c r="A13" s="9"/>
      <c r="B13" s="8"/>
      <c r="C13" s="356" t="s">
        <v>848</v>
      </c>
      <c r="D13" s="356"/>
      <c r="E13" s="356"/>
      <c r="F13" s="356"/>
      <c r="G13" s="356"/>
      <c r="H13" s="71"/>
      <c r="I13" s="71"/>
      <c r="J13" s="8"/>
      <c r="K13" s="8"/>
      <c r="L13" s="8"/>
      <c r="M13" s="8"/>
      <c r="N13" s="8"/>
      <c r="O13" s="8"/>
      <c r="P13" s="8"/>
      <c r="Q13" s="8"/>
      <c r="R13" s="8"/>
      <c r="S13" s="8"/>
      <c r="T13" s="8"/>
      <c r="U13" s="8"/>
      <c r="V13" s="8"/>
      <c r="W13" s="8"/>
      <c r="X13" s="8"/>
      <c r="Y13" s="8"/>
      <c r="Z13" s="10"/>
      <c r="AA13" s="106"/>
    </row>
    <row r="14" spans="1:27" ht="16.5" thickBot="1" x14ac:dyDescent="0.3">
      <c r="A14" s="9"/>
      <c r="B14" s="8"/>
      <c r="C14" s="163"/>
      <c r="D14" s="163"/>
      <c r="E14" s="163"/>
      <c r="F14" s="163"/>
      <c r="G14" s="163"/>
      <c r="H14" s="71"/>
      <c r="I14" s="71"/>
      <c r="J14" s="8"/>
      <c r="K14" s="352" t="s">
        <v>542</v>
      </c>
      <c r="L14" s="352"/>
      <c r="M14" s="8"/>
      <c r="N14" s="8"/>
      <c r="O14" s="8"/>
      <c r="P14" s="8"/>
      <c r="Q14" s="8"/>
      <c r="R14" s="13"/>
      <c r="S14" s="8"/>
      <c r="T14" s="8"/>
      <c r="U14" s="8"/>
      <c r="V14" s="8"/>
      <c r="W14" s="8"/>
      <c r="X14" s="8"/>
      <c r="Y14" s="8"/>
      <c r="Z14" s="10"/>
      <c r="AA14" s="68"/>
    </row>
    <row r="15" spans="1:27" ht="16.149999999999999" customHeight="1" thickBot="1" x14ac:dyDescent="0.25">
      <c r="A15" s="9"/>
      <c r="B15" s="8"/>
      <c r="C15" s="70" t="s">
        <v>849</v>
      </c>
      <c r="D15" s="71"/>
      <c r="E15" s="71"/>
      <c r="F15" s="71"/>
      <c r="G15" s="71"/>
      <c r="H15" s="71"/>
      <c r="I15" s="71"/>
      <c r="J15" s="8"/>
      <c r="K15" s="350">
        <f>VLOOKUP($F$1,Part1,6,FALSE)</f>
        <v>20688167716</v>
      </c>
      <c r="L15" s="351"/>
      <c r="M15" s="59"/>
      <c r="N15" s="59"/>
      <c r="O15" s="62"/>
      <c r="P15" s="60"/>
      <c r="Q15" s="60"/>
      <c r="R15" s="61"/>
      <c r="S15" s="59"/>
      <c r="T15" s="59"/>
      <c r="U15" s="59"/>
      <c r="V15" s="59"/>
      <c r="W15" s="59"/>
      <c r="X15" s="59"/>
      <c r="Y15" s="8"/>
      <c r="Z15" s="10"/>
      <c r="AA15" s="68"/>
    </row>
    <row r="16" spans="1:27" ht="15.6" customHeight="1" x14ac:dyDescent="0.2">
      <c r="A16" s="9"/>
      <c r="B16" s="8"/>
      <c r="C16" s="360" t="s">
        <v>576</v>
      </c>
      <c r="D16" s="361"/>
      <c r="E16" s="361"/>
      <c r="F16" s="361"/>
      <c r="G16" s="361"/>
      <c r="H16" s="361"/>
      <c r="I16" s="361"/>
      <c r="J16" s="59"/>
      <c r="K16" s="59"/>
      <c r="L16" s="59"/>
      <c r="M16" s="59"/>
      <c r="N16" s="59"/>
      <c r="O16" s="62"/>
      <c r="P16" s="60"/>
      <c r="Q16" s="60"/>
      <c r="R16" s="61"/>
      <c r="S16" s="59"/>
      <c r="T16" s="59"/>
      <c r="U16" s="59"/>
      <c r="V16" s="59"/>
      <c r="W16" s="59"/>
      <c r="X16" s="59"/>
      <c r="Y16" s="8"/>
      <c r="Z16" s="10"/>
    </row>
    <row r="17" spans="1:26" x14ac:dyDescent="0.2">
      <c r="A17" s="9"/>
      <c r="B17" s="8"/>
      <c r="C17" s="360"/>
      <c r="D17" s="361"/>
      <c r="E17" s="361"/>
      <c r="F17" s="361"/>
      <c r="G17" s="361"/>
      <c r="H17" s="361"/>
      <c r="I17" s="361"/>
      <c r="J17" s="8"/>
      <c r="K17" s="59"/>
      <c r="L17" s="59"/>
      <c r="M17" s="59"/>
      <c r="N17" s="59"/>
      <c r="O17" s="62"/>
      <c r="P17" s="60"/>
      <c r="Q17" s="60"/>
      <c r="R17" s="60"/>
      <c r="S17" s="59"/>
      <c r="T17" s="59"/>
      <c r="U17" s="59"/>
      <c r="V17" s="59"/>
      <c r="W17" s="59"/>
      <c r="X17" s="59"/>
      <c r="Y17" s="8"/>
      <c r="Z17" s="10"/>
    </row>
    <row r="18" spans="1:26" x14ac:dyDescent="0.2">
      <c r="A18" s="9"/>
      <c r="B18" s="8"/>
      <c r="C18" s="361"/>
      <c r="D18" s="361"/>
      <c r="E18" s="361"/>
      <c r="F18" s="361"/>
      <c r="G18" s="361"/>
      <c r="H18" s="361"/>
      <c r="I18" s="361"/>
      <c r="J18" s="8"/>
      <c r="K18" s="59"/>
      <c r="L18" s="59"/>
      <c r="M18" s="59"/>
      <c r="N18" s="59"/>
      <c r="O18" s="62"/>
      <c r="P18" s="60"/>
      <c r="Q18" s="60"/>
      <c r="R18" s="60"/>
      <c r="S18" s="59"/>
      <c r="T18" s="59"/>
      <c r="U18" s="59"/>
      <c r="V18" s="59"/>
      <c r="W18" s="59"/>
      <c r="X18" s="59"/>
      <c r="Y18" s="8"/>
      <c r="Z18" s="10"/>
    </row>
    <row r="19" spans="1:26" x14ac:dyDescent="0.2">
      <c r="A19" s="9"/>
      <c r="B19" s="8"/>
      <c r="C19" s="71"/>
      <c r="D19" s="71"/>
      <c r="E19" s="71"/>
      <c r="F19" s="71"/>
      <c r="G19" s="71"/>
      <c r="H19" s="71"/>
      <c r="I19" s="71"/>
      <c r="J19" s="14"/>
      <c r="K19" s="59"/>
      <c r="L19" s="59"/>
      <c r="M19" s="59"/>
      <c r="N19" s="59"/>
      <c r="O19" s="62"/>
      <c r="P19" s="60"/>
      <c r="Q19" s="60"/>
      <c r="R19" s="60"/>
      <c r="S19" s="59"/>
      <c r="T19" s="59"/>
      <c r="U19" s="59"/>
      <c r="V19" s="59"/>
      <c r="W19" s="59"/>
      <c r="X19" s="59"/>
      <c r="Y19" s="8"/>
      <c r="Z19" s="10"/>
    </row>
    <row r="20" spans="1:26" ht="16.5" thickBot="1" x14ac:dyDescent="0.25">
      <c r="A20" s="9"/>
      <c r="B20" s="8"/>
      <c r="C20" s="366" t="s">
        <v>703</v>
      </c>
      <c r="D20" s="366"/>
      <c r="E20" s="366"/>
      <c r="F20" s="366"/>
      <c r="G20" s="366"/>
      <c r="H20" s="366"/>
      <c r="I20" s="366"/>
      <c r="J20" s="8"/>
      <c r="K20" s="59"/>
      <c r="L20" s="59"/>
      <c r="M20" s="59"/>
      <c r="N20" s="59"/>
      <c r="O20" s="62"/>
      <c r="P20" s="60"/>
      <c r="Q20" s="60"/>
      <c r="R20" s="60"/>
      <c r="S20" s="59"/>
      <c r="T20" s="59"/>
      <c r="U20" s="59"/>
      <c r="V20" s="59"/>
      <c r="W20" s="59"/>
      <c r="X20" s="59"/>
      <c r="Y20" s="8"/>
      <c r="Z20" s="10"/>
    </row>
    <row r="21" spans="1:26" ht="16.5" thickBot="1" x14ac:dyDescent="0.25">
      <c r="A21" s="9"/>
      <c r="B21" s="8"/>
      <c r="C21" s="71" t="s">
        <v>543</v>
      </c>
      <c r="D21" s="71"/>
      <c r="E21" s="71"/>
      <c r="F21" s="71"/>
      <c r="G21" s="71"/>
      <c r="H21" s="71"/>
      <c r="I21" s="71"/>
      <c r="J21" s="8"/>
      <c r="K21" s="350">
        <f>VLOOKUP($F$1,Part1,7,FALSE)</f>
        <v>91708612</v>
      </c>
      <c r="L21" s="351"/>
      <c r="M21" s="59"/>
      <c r="N21" s="59"/>
      <c r="O21" s="62"/>
      <c r="P21" s="60"/>
      <c r="Q21" s="60"/>
      <c r="R21" s="60"/>
      <c r="S21" s="59"/>
      <c r="T21" s="59"/>
      <c r="U21" s="59"/>
      <c r="V21" s="59"/>
      <c r="W21" s="59"/>
      <c r="X21" s="59"/>
      <c r="Y21" s="8"/>
      <c r="Z21" s="10"/>
    </row>
    <row r="22" spans="1:26" ht="15.75" thickBot="1" x14ac:dyDescent="0.25">
      <c r="A22" s="9"/>
      <c r="B22" s="8"/>
      <c r="C22" s="71"/>
      <c r="D22" s="71"/>
      <c r="E22" s="71"/>
      <c r="F22" s="71"/>
      <c r="G22" s="71"/>
      <c r="H22" s="71"/>
      <c r="I22" s="71"/>
      <c r="J22" s="8"/>
      <c r="K22" s="59"/>
      <c r="L22" s="59"/>
      <c r="M22" s="59"/>
      <c r="N22" s="59"/>
      <c r="O22" s="62"/>
      <c r="P22" s="60"/>
      <c r="Q22" s="60"/>
      <c r="R22" s="60"/>
      <c r="S22" s="59"/>
      <c r="T22" s="59"/>
      <c r="U22" s="59"/>
      <c r="V22" s="59"/>
      <c r="W22" s="59"/>
      <c r="X22" s="59"/>
      <c r="Y22" s="8"/>
      <c r="Z22" s="10"/>
    </row>
    <row r="23" spans="1:26" ht="16.5" thickBot="1" x14ac:dyDescent="0.25">
      <c r="A23" s="9"/>
      <c r="B23" s="8"/>
      <c r="C23" s="71" t="s">
        <v>544</v>
      </c>
      <c r="D23" s="71"/>
      <c r="E23" s="71"/>
      <c r="F23" s="71"/>
      <c r="G23" s="71"/>
      <c r="H23" s="71"/>
      <c r="I23" s="71"/>
      <c r="J23" s="8"/>
      <c r="K23" s="350">
        <f>VLOOKUP($F$1,Part1,8,FALSE)</f>
        <v>125141507</v>
      </c>
      <c r="L23" s="351"/>
      <c r="M23" s="59"/>
      <c r="N23" s="59"/>
      <c r="O23" s="62"/>
      <c r="P23" s="60"/>
      <c r="Q23" s="60"/>
      <c r="R23" s="60"/>
      <c r="S23" s="59"/>
      <c r="T23" s="59"/>
      <c r="U23" s="59"/>
      <c r="V23" s="59"/>
      <c r="W23" s="59"/>
      <c r="X23" s="59"/>
      <c r="Y23" s="8"/>
      <c r="Z23" s="10"/>
    </row>
    <row r="24" spans="1:26" x14ac:dyDescent="0.2">
      <c r="A24" s="9"/>
      <c r="B24" s="8"/>
      <c r="C24" s="71"/>
      <c r="D24" s="71"/>
      <c r="E24" s="71"/>
      <c r="F24" s="71"/>
      <c r="G24" s="71"/>
      <c r="H24" s="71"/>
      <c r="I24" s="71"/>
      <c r="J24" s="8"/>
      <c r="K24" s="59"/>
      <c r="L24" s="59"/>
      <c r="M24" s="59"/>
      <c r="N24" s="59"/>
      <c r="O24" s="62"/>
      <c r="P24" s="60"/>
      <c r="Q24" s="60"/>
      <c r="R24" s="60"/>
      <c r="S24" s="59"/>
      <c r="T24" s="59"/>
      <c r="U24" s="59"/>
      <c r="V24" s="59"/>
      <c r="W24" s="59"/>
      <c r="X24" s="59"/>
      <c r="Y24" s="8"/>
      <c r="Z24" s="10"/>
    </row>
    <row r="25" spans="1:26" ht="16.5" thickBot="1" x14ac:dyDescent="0.25">
      <c r="A25" s="9"/>
      <c r="B25" s="8"/>
      <c r="C25" s="70" t="s">
        <v>850</v>
      </c>
      <c r="D25" s="70"/>
      <c r="E25" s="70"/>
      <c r="F25" s="70"/>
      <c r="G25" s="71"/>
      <c r="H25" s="71"/>
      <c r="I25" s="71"/>
      <c r="J25" s="8"/>
      <c r="K25" s="59"/>
      <c r="L25" s="59"/>
      <c r="M25" s="59"/>
      <c r="N25" s="59"/>
      <c r="O25" s="62"/>
      <c r="P25" s="60"/>
      <c r="Q25" s="60"/>
      <c r="R25" s="60"/>
      <c r="S25" s="59"/>
      <c r="T25" s="59"/>
      <c r="U25" s="59"/>
      <c r="V25" s="59"/>
      <c r="W25" s="59"/>
      <c r="X25" s="59"/>
      <c r="Y25" s="8"/>
      <c r="Z25" s="10"/>
    </row>
    <row r="26" spans="1:26" ht="16.5" thickBot="1" x14ac:dyDescent="0.25">
      <c r="A26" s="9"/>
      <c r="B26" s="8"/>
      <c r="C26" s="71" t="s">
        <v>561</v>
      </c>
      <c r="D26" s="71"/>
      <c r="E26" s="71"/>
      <c r="F26" s="71"/>
      <c r="G26" s="71"/>
      <c r="H26" s="71"/>
      <c r="I26" s="71"/>
      <c r="J26" s="8"/>
      <c r="K26" s="350">
        <f>VLOOKUP($F$1,Part1,9,FALSE)</f>
        <v>84001481</v>
      </c>
      <c r="L26" s="351"/>
      <c r="M26" s="59"/>
      <c r="N26" s="59"/>
      <c r="O26" s="72"/>
      <c r="P26" s="60"/>
      <c r="Q26" s="60"/>
      <c r="R26" s="60"/>
      <c r="S26" s="59"/>
      <c r="T26" s="59"/>
      <c r="U26" s="59"/>
      <c r="V26" s="59"/>
      <c r="W26" s="59"/>
      <c r="X26" s="59"/>
      <c r="Y26" s="8"/>
      <c r="Z26" s="10"/>
    </row>
    <row r="27" spans="1:26" ht="16.5" thickBot="1" x14ac:dyDescent="0.25">
      <c r="A27" s="9"/>
      <c r="B27" s="8"/>
      <c r="C27" s="71"/>
      <c r="D27" s="71"/>
      <c r="E27" s="71"/>
      <c r="F27" s="71"/>
      <c r="G27" s="71"/>
      <c r="H27" s="71"/>
      <c r="I27" s="71"/>
      <c r="J27" s="8"/>
      <c r="K27" s="73"/>
      <c r="L27" s="59"/>
      <c r="M27" s="59"/>
      <c r="N27" s="59"/>
      <c r="O27" s="62"/>
      <c r="P27" s="60"/>
      <c r="Q27" s="60"/>
      <c r="R27" s="60"/>
      <c r="S27" s="59"/>
      <c r="T27" s="59"/>
      <c r="U27" s="59"/>
      <c r="V27" s="59"/>
      <c r="W27" s="59"/>
      <c r="X27" s="59"/>
      <c r="Y27" s="8"/>
      <c r="Z27" s="10"/>
    </row>
    <row r="28" spans="1:26" ht="16.5" thickBot="1" x14ac:dyDescent="0.25">
      <c r="A28" s="9"/>
      <c r="B28" s="8"/>
      <c r="C28" s="71" t="s">
        <v>559</v>
      </c>
      <c r="D28" s="71"/>
      <c r="E28" s="71"/>
      <c r="F28" s="71"/>
      <c r="G28" s="71"/>
      <c r="H28" s="71"/>
      <c r="I28" s="71"/>
      <c r="J28" s="8"/>
      <c r="K28" s="350">
        <f>VLOOKUP($F$1,Part1,10,FALSE)</f>
        <v>125199</v>
      </c>
      <c r="L28" s="351"/>
      <c r="M28" s="59"/>
      <c r="N28" s="59"/>
      <c r="O28" s="62"/>
      <c r="P28" s="60"/>
      <c r="Q28" s="60"/>
      <c r="R28" s="60"/>
      <c r="S28" s="59"/>
      <c r="T28" s="59"/>
      <c r="U28" s="59"/>
      <c r="V28" s="59"/>
      <c r="W28" s="59"/>
      <c r="X28" s="59"/>
      <c r="Y28" s="8"/>
      <c r="Z28" s="10"/>
    </row>
    <row r="29" spans="1:26" ht="16.5" thickBot="1" x14ac:dyDescent="0.25">
      <c r="A29" s="9"/>
      <c r="B29" s="8"/>
      <c r="C29" s="71"/>
      <c r="D29" s="71"/>
      <c r="E29" s="71"/>
      <c r="F29" s="71"/>
      <c r="G29" s="71"/>
      <c r="H29" s="71"/>
      <c r="I29" s="71"/>
      <c r="J29" s="8"/>
      <c r="K29" s="73"/>
      <c r="L29" s="59"/>
      <c r="M29" s="59"/>
      <c r="N29" s="59"/>
      <c r="O29" s="62"/>
      <c r="P29" s="60"/>
      <c r="Q29" s="60"/>
      <c r="R29" s="60"/>
      <c r="S29" s="59"/>
      <c r="T29" s="59"/>
      <c r="U29" s="59"/>
      <c r="V29" s="59"/>
      <c r="W29" s="59"/>
      <c r="X29" s="59"/>
      <c r="Y29" s="8"/>
      <c r="Z29" s="10"/>
    </row>
    <row r="30" spans="1:26" ht="16.5" thickBot="1" x14ac:dyDescent="0.25">
      <c r="A30" s="9"/>
      <c r="B30" s="8"/>
      <c r="C30" s="71" t="s">
        <v>560</v>
      </c>
      <c r="D30" s="71"/>
      <c r="E30" s="71"/>
      <c r="F30" s="71"/>
      <c r="G30" s="71"/>
      <c r="H30" s="71"/>
      <c r="I30" s="71"/>
      <c r="J30" s="8"/>
      <c r="K30" s="350">
        <f>VLOOKUP($F$1,Part1,11,FALSE)</f>
        <v>84126680</v>
      </c>
      <c r="L30" s="351"/>
      <c r="M30" s="59"/>
      <c r="N30" s="59"/>
      <c r="O30" s="62"/>
      <c r="P30" s="60"/>
      <c r="Q30" s="60"/>
      <c r="R30" s="60"/>
      <c r="S30" s="59"/>
      <c r="T30" s="59"/>
      <c r="U30" s="59"/>
      <c r="V30" s="59"/>
      <c r="W30" s="59"/>
      <c r="X30" s="59"/>
      <c r="Y30" s="8"/>
      <c r="Z30" s="10"/>
    </row>
    <row r="31" spans="1:26" ht="15.75" x14ac:dyDescent="0.2">
      <c r="A31" s="9"/>
      <c r="B31" s="8"/>
      <c r="C31" s="71"/>
      <c r="D31" s="71"/>
      <c r="E31" s="71"/>
      <c r="F31" s="71"/>
      <c r="G31" s="71"/>
      <c r="H31" s="71"/>
      <c r="I31" s="71"/>
      <c r="J31" s="8"/>
      <c r="K31" s="73"/>
      <c r="L31" s="59"/>
      <c r="M31" s="59"/>
      <c r="N31" s="59"/>
      <c r="O31" s="62"/>
      <c r="P31" s="60"/>
      <c r="Q31" s="60"/>
      <c r="R31" s="60"/>
      <c r="S31" s="59"/>
      <c r="T31" s="59"/>
      <c r="U31" s="59"/>
      <c r="V31" s="59"/>
      <c r="W31" s="59"/>
      <c r="X31" s="59"/>
      <c r="Y31" s="8"/>
      <c r="Z31" s="10"/>
    </row>
    <row r="32" spans="1:26" ht="16.5" thickBot="1" x14ac:dyDescent="0.25">
      <c r="A32" s="9"/>
      <c r="B32" s="8"/>
      <c r="C32" s="70" t="s">
        <v>562</v>
      </c>
      <c r="D32" s="71"/>
      <c r="E32" s="71"/>
      <c r="F32" s="71"/>
      <c r="G32" s="71"/>
      <c r="H32" s="71"/>
      <c r="I32" s="71"/>
      <c r="J32" s="8"/>
      <c r="K32" s="73"/>
      <c r="L32" s="59"/>
      <c r="M32" s="59"/>
      <c r="N32" s="59"/>
      <c r="O32" s="62"/>
      <c r="P32" s="60"/>
      <c r="Q32" s="60"/>
      <c r="R32" s="60"/>
      <c r="S32" s="59"/>
      <c r="T32" s="59"/>
      <c r="U32" s="59"/>
      <c r="V32" s="59"/>
      <c r="W32" s="59"/>
      <c r="X32" s="59"/>
      <c r="Y32" s="8"/>
      <c r="Z32" s="10"/>
    </row>
    <row r="33" spans="1:26" ht="16.5" thickBot="1" x14ac:dyDescent="0.25">
      <c r="A33" s="9"/>
      <c r="B33" s="8"/>
      <c r="C33" s="71" t="s">
        <v>564</v>
      </c>
      <c r="D33" s="71"/>
      <c r="E33" s="71"/>
      <c r="F33" s="71"/>
      <c r="G33" s="71"/>
      <c r="H33" s="71"/>
      <c r="I33" s="71"/>
      <c r="J33" s="8"/>
      <c r="K33" s="350">
        <f>VLOOKUP($F$1,Part1,12,FALSE)</f>
        <v>10538000</v>
      </c>
      <c r="L33" s="351"/>
      <c r="M33" s="59"/>
      <c r="N33" s="59"/>
      <c r="O33" s="62"/>
      <c r="P33" s="60"/>
      <c r="Q33" s="60"/>
      <c r="R33" s="60"/>
      <c r="S33" s="59"/>
      <c r="T33" s="59"/>
      <c r="U33" s="59"/>
      <c r="V33" s="59"/>
      <c r="W33" s="59"/>
      <c r="X33" s="59"/>
      <c r="Y33" s="8"/>
      <c r="Z33" s="10"/>
    </row>
    <row r="34" spans="1:26" ht="15.75" x14ac:dyDescent="0.2">
      <c r="A34" s="9"/>
      <c r="B34" s="8"/>
      <c r="C34" s="71"/>
      <c r="D34" s="71"/>
      <c r="E34" s="71"/>
      <c r="F34" s="71"/>
      <c r="G34" s="71"/>
      <c r="H34" s="71"/>
      <c r="I34" s="71"/>
      <c r="J34" s="8"/>
      <c r="K34" s="73"/>
      <c r="L34" s="59"/>
      <c r="M34" s="59"/>
      <c r="N34" s="59"/>
      <c r="O34" s="62"/>
      <c r="P34" s="60"/>
      <c r="Q34" s="60"/>
      <c r="R34" s="60"/>
      <c r="S34" s="59"/>
      <c r="T34" s="59"/>
      <c r="U34" s="59"/>
      <c r="V34" s="59"/>
      <c r="W34" s="59"/>
      <c r="X34" s="59"/>
      <c r="Y34" s="8"/>
      <c r="Z34" s="10"/>
    </row>
    <row r="35" spans="1:26" ht="16.5" thickBot="1" x14ac:dyDescent="0.25">
      <c r="A35" s="9"/>
      <c r="B35" s="8"/>
      <c r="C35" s="70" t="s">
        <v>575</v>
      </c>
      <c r="D35" s="71"/>
      <c r="E35" s="71"/>
      <c r="F35" s="71"/>
      <c r="G35" s="71"/>
      <c r="H35" s="71"/>
      <c r="I35" s="71"/>
      <c r="J35" s="8"/>
      <c r="K35" s="59"/>
      <c r="L35" s="59"/>
      <c r="M35" s="59"/>
      <c r="N35" s="59"/>
      <c r="O35" s="62"/>
      <c r="P35" s="60"/>
      <c r="Q35" s="60"/>
      <c r="R35" s="60"/>
      <c r="S35" s="59"/>
      <c r="T35" s="59"/>
      <c r="U35" s="59"/>
      <c r="V35" s="59"/>
      <c r="W35" s="59"/>
      <c r="X35" s="59"/>
      <c r="Y35" s="8"/>
      <c r="Z35" s="10"/>
    </row>
    <row r="36" spans="1:26" ht="16.5" thickBot="1" x14ac:dyDescent="0.25">
      <c r="A36" s="9"/>
      <c r="B36" s="8"/>
      <c r="C36" s="71" t="s">
        <v>36</v>
      </c>
      <c r="D36" s="71"/>
      <c r="E36" s="71"/>
      <c r="F36" s="71"/>
      <c r="G36" s="71"/>
      <c r="H36" s="71"/>
      <c r="I36" s="71"/>
      <c r="J36" s="8"/>
      <c r="K36" s="350">
        <f>VLOOKUP($F$1,Part1,13,FALSE)</f>
        <v>2727861</v>
      </c>
      <c r="L36" s="351"/>
      <c r="M36" s="59"/>
      <c r="N36" s="59"/>
      <c r="O36" s="62"/>
      <c r="P36" s="60"/>
      <c r="Q36" s="60"/>
      <c r="R36" s="60"/>
      <c r="S36" s="59"/>
      <c r="T36" s="59"/>
      <c r="U36" s="59"/>
      <c r="V36" s="59"/>
      <c r="W36" s="59"/>
      <c r="X36" s="59"/>
      <c r="Y36" s="8"/>
      <c r="Z36" s="10"/>
    </row>
    <row r="37" spans="1:26" ht="15.75" thickBot="1" x14ac:dyDescent="0.25">
      <c r="A37" s="9"/>
      <c r="B37" s="8"/>
      <c r="C37" s="71"/>
      <c r="D37" s="71"/>
      <c r="E37" s="71"/>
      <c r="F37" s="71"/>
      <c r="G37" s="71"/>
      <c r="H37" s="71"/>
      <c r="I37" s="71"/>
      <c r="J37" s="8"/>
      <c r="K37" s="59"/>
      <c r="L37" s="59"/>
      <c r="M37" s="59"/>
      <c r="N37" s="59"/>
      <c r="O37" s="62"/>
      <c r="P37" s="60"/>
      <c r="Q37" s="348"/>
      <c r="R37" s="348"/>
      <c r="S37" s="348"/>
      <c r="T37" s="348"/>
      <c r="U37" s="348"/>
      <c r="V37" s="348"/>
      <c r="W37" s="348"/>
      <c r="X37" s="59"/>
      <c r="Y37" s="8"/>
      <c r="Z37" s="10"/>
    </row>
    <row r="38" spans="1:26" ht="16.5" thickBot="1" x14ac:dyDescent="0.25">
      <c r="A38" s="9"/>
      <c r="B38" s="8"/>
      <c r="C38" s="71" t="s">
        <v>563</v>
      </c>
      <c r="D38" s="71"/>
      <c r="E38" s="71"/>
      <c r="F38" s="71"/>
      <c r="G38" s="71"/>
      <c r="H38" s="71"/>
      <c r="I38" s="71"/>
      <c r="J38" s="8"/>
      <c r="K38" s="350">
        <f>VLOOKUP($F$1,Part1,14,FALSE)</f>
        <v>1132971</v>
      </c>
      <c r="L38" s="351"/>
      <c r="M38" s="59"/>
      <c r="N38" s="59"/>
      <c r="O38" s="62"/>
      <c r="P38" s="60"/>
      <c r="Q38" s="60"/>
      <c r="R38" s="60"/>
      <c r="S38" s="59"/>
      <c r="T38" s="59"/>
      <c r="U38" s="59"/>
      <c r="V38" s="59"/>
      <c r="W38" s="59"/>
      <c r="X38" s="59"/>
      <c r="Y38" s="8"/>
      <c r="Z38" s="10"/>
    </row>
    <row r="39" spans="1:26" ht="15.75" thickBot="1" x14ac:dyDescent="0.25">
      <c r="A39" s="9"/>
      <c r="B39" s="8"/>
      <c r="C39" s="71"/>
      <c r="D39" s="71"/>
      <c r="E39" s="71"/>
      <c r="F39" s="71"/>
      <c r="G39" s="71"/>
      <c r="H39" s="71"/>
      <c r="I39" s="71"/>
      <c r="J39" s="8"/>
      <c r="K39" s="59"/>
      <c r="L39" s="59"/>
      <c r="M39" s="59"/>
      <c r="N39" s="59"/>
      <c r="O39" s="62"/>
      <c r="P39" s="60"/>
      <c r="Q39" s="60"/>
      <c r="R39" s="60"/>
      <c r="S39" s="59"/>
      <c r="T39" s="59"/>
      <c r="U39" s="59"/>
      <c r="V39" s="59"/>
      <c r="W39" s="59"/>
      <c r="X39" s="59"/>
      <c r="Y39" s="8"/>
      <c r="Z39" s="10"/>
    </row>
    <row r="40" spans="1:26" ht="16.149999999999999" customHeight="1" thickBot="1" x14ac:dyDescent="0.25">
      <c r="A40" s="9"/>
      <c r="B40" s="8"/>
      <c r="C40" s="360" t="s">
        <v>851</v>
      </c>
      <c r="D40" s="360"/>
      <c r="E40" s="360"/>
      <c r="F40" s="360"/>
      <c r="G40" s="360"/>
      <c r="H40" s="360"/>
      <c r="I40" s="360"/>
      <c r="J40" s="8"/>
      <c r="K40" s="368">
        <f>VLOOKUP($F$1,Part1,15,FALSE)</f>
        <v>3595456</v>
      </c>
      <c r="L40" s="369"/>
      <c r="M40" s="59"/>
      <c r="N40" s="59"/>
      <c r="O40" s="62"/>
      <c r="P40" s="60"/>
      <c r="Q40" s="60"/>
      <c r="R40" s="60"/>
      <c r="S40" s="59"/>
      <c r="T40" s="59"/>
      <c r="U40" s="59"/>
      <c r="V40" s="59"/>
      <c r="W40" s="59"/>
      <c r="X40" s="59"/>
      <c r="Y40" s="8"/>
      <c r="Z40" s="10"/>
    </row>
    <row r="41" spans="1:26" x14ac:dyDescent="0.2">
      <c r="A41" s="9"/>
      <c r="B41" s="8"/>
      <c r="C41" s="360"/>
      <c r="D41" s="360"/>
      <c r="E41" s="360"/>
      <c r="F41" s="360"/>
      <c r="G41" s="360"/>
      <c r="H41" s="360"/>
      <c r="I41" s="360"/>
      <c r="J41" s="8"/>
      <c r="K41" s="59"/>
      <c r="L41" s="59"/>
      <c r="M41" s="59"/>
      <c r="N41" s="59"/>
      <c r="O41" s="62"/>
      <c r="P41" s="60"/>
      <c r="Q41" s="60"/>
      <c r="R41" s="60"/>
      <c r="S41" s="59"/>
      <c r="T41" s="59"/>
      <c r="U41" s="59"/>
      <c r="V41" s="59"/>
      <c r="W41" s="59"/>
      <c r="X41" s="59"/>
      <c r="Y41" s="8"/>
      <c r="Z41" s="10"/>
    </row>
    <row r="42" spans="1:26" ht="15.75" thickBot="1" x14ac:dyDescent="0.25">
      <c r="A42" s="9"/>
      <c r="B42" s="8"/>
      <c r="C42" s="71" t="s">
        <v>37</v>
      </c>
      <c r="D42" s="71"/>
      <c r="E42" s="71"/>
      <c r="F42" s="71"/>
      <c r="G42" s="71"/>
      <c r="H42" s="71"/>
      <c r="I42" s="71"/>
      <c r="J42" s="8"/>
      <c r="K42" s="59"/>
      <c r="L42" s="59"/>
      <c r="M42" s="59"/>
      <c r="N42" s="59"/>
      <c r="O42" s="62"/>
      <c r="P42" s="60"/>
      <c r="Q42" s="60"/>
      <c r="R42" s="60"/>
      <c r="S42" s="59"/>
      <c r="T42" s="59"/>
      <c r="U42" s="59"/>
      <c r="V42" s="59"/>
      <c r="W42" s="59"/>
      <c r="X42" s="59"/>
      <c r="Y42" s="8"/>
      <c r="Z42" s="10"/>
    </row>
    <row r="43" spans="1:26" ht="16.5" thickBot="1" x14ac:dyDescent="0.25">
      <c r="A43" s="9"/>
      <c r="B43" s="8"/>
      <c r="C43" s="71" t="s">
        <v>571</v>
      </c>
      <c r="D43" s="71"/>
      <c r="E43" s="71"/>
      <c r="F43" s="71"/>
      <c r="G43" s="71"/>
      <c r="H43" s="71"/>
      <c r="I43" s="71"/>
      <c r="J43" s="8"/>
      <c r="K43" s="368">
        <f>VLOOKUP($F$1,Part1,16,FALSE)</f>
        <v>3595456</v>
      </c>
      <c r="L43" s="369"/>
      <c r="M43" s="59"/>
      <c r="N43" s="59"/>
      <c r="O43" s="62"/>
      <c r="P43" s="60"/>
      <c r="Q43" s="60"/>
      <c r="R43" s="60"/>
      <c r="S43" s="59"/>
      <c r="T43" s="59"/>
      <c r="U43" s="59"/>
      <c r="V43" s="59"/>
      <c r="W43" s="59"/>
      <c r="X43" s="59"/>
      <c r="Y43" s="8"/>
      <c r="Z43" s="10"/>
    </row>
    <row r="44" spans="1:26" ht="15.75" thickBot="1" x14ac:dyDescent="0.25">
      <c r="A44" s="9"/>
      <c r="B44" s="8"/>
      <c r="C44" s="71"/>
      <c r="D44" s="71"/>
      <c r="E44" s="71"/>
      <c r="F44" s="71"/>
      <c r="G44" s="71"/>
      <c r="H44" s="71"/>
      <c r="I44" s="71"/>
      <c r="J44" s="8"/>
      <c r="K44" s="59"/>
      <c r="L44" s="59"/>
      <c r="M44" s="59"/>
      <c r="N44" s="59"/>
      <c r="O44" s="62"/>
      <c r="P44" s="60"/>
      <c r="Q44" s="60"/>
      <c r="R44" s="60"/>
      <c r="S44" s="59"/>
      <c r="T44" s="59"/>
      <c r="U44" s="59"/>
      <c r="V44" s="59"/>
      <c r="W44" s="59"/>
      <c r="X44" s="59"/>
      <c r="Y44" s="8"/>
      <c r="Z44" s="10"/>
    </row>
    <row r="45" spans="1:26" ht="16.5" thickBot="1" x14ac:dyDescent="0.25">
      <c r="A45" s="9"/>
      <c r="B45" s="8"/>
      <c r="C45" s="71" t="s">
        <v>572</v>
      </c>
      <c r="D45" s="71"/>
      <c r="E45" s="71"/>
      <c r="F45" s="71"/>
      <c r="G45" s="71"/>
      <c r="H45" s="71"/>
      <c r="I45" s="71"/>
      <c r="J45" s="8"/>
      <c r="K45" s="368">
        <f>VLOOKUP($F$1,Part1,17,FALSE)</f>
        <v>0</v>
      </c>
      <c r="L45" s="369"/>
      <c r="M45" s="59"/>
      <c r="N45" s="59"/>
      <c r="O45" s="62"/>
      <c r="P45" s="60"/>
      <c r="Q45" s="60"/>
      <c r="R45" s="60"/>
      <c r="S45" s="59"/>
      <c r="T45" s="59"/>
      <c r="U45" s="59"/>
      <c r="V45" s="59"/>
      <c r="W45" s="59"/>
      <c r="X45" s="59"/>
      <c r="Y45" s="8"/>
      <c r="Z45" s="10"/>
    </row>
    <row r="46" spans="1:26" ht="15.75" x14ac:dyDescent="0.2">
      <c r="A46" s="9"/>
      <c r="B46" s="8"/>
      <c r="C46" s="71"/>
      <c r="D46" s="71"/>
      <c r="E46" s="71"/>
      <c r="F46" s="71"/>
      <c r="G46" s="71"/>
      <c r="H46" s="71"/>
      <c r="I46" s="71"/>
      <c r="J46" s="8"/>
      <c r="K46" s="370"/>
      <c r="L46" s="371"/>
      <c r="M46" s="371"/>
      <c r="N46" s="371"/>
      <c r="O46" s="371"/>
      <c r="P46" s="371"/>
      <c r="Q46" s="371"/>
      <c r="R46" s="371"/>
      <c r="S46" s="371"/>
      <c r="T46" s="371"/>
      <c r="U46" s="371"/>
      <c r="V46" s="371"/>
      <c r="W46" s="371"/>
      <c r="X46" s="59"/>
      <c r="Y46" s="8"/>
      <c r="Z46" s="10"/>
    </row>
    <row r="47" spans="1:26" ht="16.5" thickBot="1" x14ac:dyDescent="0.25">
      <c r="A47" s="9"/>
      <c r="B47" s="8"/>
      <c r="C47" s="70" t="s">
        <v>574</v>
      </c>
      <c r="D47" s="70"/>
      <c r="E47" s="70"/>
      <c r="F47" s="70"/>
      <c r="G47" s="70"/>
      <c r="H47" s="71"/>
      <c r="I47" s="71"/>
      <c r="J47" s="8"/>
      <c r="K47" s="59"/>
      <c r="L47" s="59"/>
      <c r="M47" s="59"/>
      <c r="N47" s="59"/>
      <c r="O47" s="62"/>
      <c r="P47" s="60"/>
      <c r="Q47" s="60"/>
      <c r="R47" s="60"/>
      <c r="S47" s="59"/>
      <c r="T47" s="59"/>
      <c r="U47" s="59"/>
      <c r="V47" s="59"/>
      <c r="W47" s="59"/>
      <c r="X47" s="59"/>
      <c r="Y47" s="8"/>
      <c r="Z47" s="10"/>
    </row>
    <row r="48" spans="1:26" ht="16.5" thickBot="1" x14ac:dyDescent="0.25">
      <c r="A48" s="9"/>
      <c r="B48" s="8"/>
      <c r="C48" s="71" t="s">
        <v>573</v>
      </c>
      <c r="D48" s="71"/>
      <c r="E48" s="71"/>
      <c r="F48" s="71"/>
      <c r="G48" s="71"/>
      <c r="H48" s="71"/>
      <c r="I48" s="71"/>
      <c r="J48" s="8"/>
      <c r="K48" s="368">
        <f>VLOOKUP($F$1,Part1,18,FALSE)</f>
        <v>20552613853</v>
      </c>
      <c r="L48" s="369"/>
      <c r="M48" s="59"/>
      <c r="N48" s="367"/>
      <c r="O48" s="367"/>
      <c r="P48" s="372"/>
      <c r="Q48" s="372"/>
      <c r="R48" s="372"/>
      <c r="S48" s="72"/>
      <c r="T48" s="63"/>
      <c r="U48" s="63"/>
      <c r="V48" s="63"/>
      <c r="W48" s="63"/>
      <c r="X48" s="59"/>
      <c r="Y48" s="8"/>
      <c r="Z48" s="10"/>
    </row>
    <row r="49" spans="1:28" ht="50.25" customHeight="1" x14ac:dyDescent="0.2">
      <c r="A49" s="9"/>
      <c r="B49" s="8"/>
      <c r="C49" s="172"/>
      <c r="D49" s="172"/>
      <c r="E49" s="172"/>
      <c r="F49" s="172"/>
      <c r="G49" s="172"/>
      <c r="H49" s="172"/>
      <c r="I49" s="172"/>
      <c r="J49" s="8"/>
      <c r="K49" s="59"/>
      <c r="L49" s="59"/>
      <c r="M49" s="59"/>
      <c r="N49" s="59"/>
      <c r="O49" s="63"/>
      <c r="P49" s="59"/>
      <c r="Q49" s="59"/>
      <c r="R49" s="59"/>
      <c r="S49" s="72"/>
      <c r="T49" s="59"/>
      <c r="U49" s="59"/>
      <c r="V49" s="59"/>
      <c r="W49" s="59"/>
      <c r="X49" s="59"/>
      <c r="Y49" s="8"/>
      <c r="Z49" s="10"/>
    </row>
    <row r="50" spans="1:28" x14ac:dyDescent="0.2">
      <c r="A50" s="9"/>
      <c r="B50" s="8"/>
      <c r="C50" s="172"/>
      <c r="D50" s="172"/>
      <c r="E50" s="172"/>
      <c r="F50" s="172"/>
      <c r="G50" s="172"/>
      <c r="H50" s="172"/>
      <c r="I50" s="172"/>
      <c r="J50" s="8"/>
      <c r="K50" s="59"/>
      <c r="L50" s="59"/>
      <c r="M50" s="59"/>
      <c r="N50" s="59"/>
      <c r="O50" s="63"/>
      <c r="P50" s="59"/>
      <c r="Q50" s="59"/>
      <c r="R50" s="59"/>
      <c r="S50" s="72"/>
      <c r="T50" s="59"/>
      <c r="U50" s="59"/>
      <c r="V50" s="59"/>
      <c r="W50" s="59"/>
      <c r="X50" s="59"/>
      <c r="Y50" s="8"/>
      <c r="Z50" s="10"/>
      <c r="AA50" s="68"/>
    </row>
    <row r="51" spans="1:28" ht="15.75" thickBot="1" x14ac:dyDescent="0.25">
      <c r="A51" s="9"/>
      <c r="B51" s="8"/>
      <c r="C51" s="172"/>
      <c r="D51" s="172"/>
      <c r="E51" s="172"/>
      <c r="F51" s="172"/>
      <c r="G51" s="172"/>
      <c r="H51" s="172"/>
      <c r="I51" s="172"/>
      <c r="J51" s="8"/>
      <c r="K51" s="59"/>
      <c r="L51" s="59"/>
      <c r="M51" s="59"/>
      <c r="N51" s="59"/>
      <c r="O51" s="63"/>
      <c r="P51" s="59"/>
      <c r="Q51" s="59"/>
      <c r="R51" s="59"/>
      <c r="S51" s="72"/>
      <c r="T51" s="59"/>
      <c r="U51" s="59"/>
      <c r="V51" s="59"/>
      <c r="W51" s="59"/>
      <c r="X51" s="59"/>
      <c r="Y51" s="8"/>
      <c r="Z51" s="10"/>
      <c r="AA51" s="68"/>
    </row>
    <row r="52" spans="1:28" s="303" customFormat="1" ht="15.75" thickBot="1" x14ac:dyDescent="0.25">
      <c r="A52" s="296"/>
      <c r="B52" s="297"/>
      <c r="C52" s="297"/>
      <c r="D52" s="298"/>
      <c r="E52" s="298"/>
      <c r="F52" s="298"/>
      <c r="G52" s="298"/>
      <c r="H52" s="298"/>
      <c r="I52" s="298"/>
      <c r="J52" s="298"/>
      <c r="K52" s="297"/>
      <c r="L52" s="299"/>
      <c r="M52" s="299"/>
      <c r="N52" s="299">
        <f>VLOOKUP($F$1,Part1,17,FALSE)</f>
        <v>0</v>
      </c>
      <c r="O52" s="299"/>
      <c r="P52" s="300"/>
      <c r="Q52" s="299">
        <f>VLOOKUP($F$1,Part1,18,FALSE)</f>
        <v>20552613853</v>
      </c>
      <c r="R52" s="299"/>
      <c r="S52" s="299"/>
      <c r="T52" s="300" t="e">
        <f>VLOOKUP($F$1,Part1,79,FALSE)</f>
        <v>#REF!</v>
      </c>
      <c r="U52" s="299"/>
      <c r="V52" s="299"/>
      <c r="W52" s="299"/>
      <c r="X52" s="299"/>
      <c r="Y52" s="299"/>
      <c r="Z52" s="301"/>
      <c r="AA52" s="302"/>
      <c r="AB52" s="302"/>
    </row>
    <row r="53" spans="1:28" x14ac:dyDescent="0.2">
      <c r="A53" s="106"/>
      <c r="B53" s="106"/>
      <c r="C53" s="106"/>
      <c r="D53" s="106"/>
      <c r="E53" s="106"/>
      <c r="F53" s="106"/>
      <c r="G53" s="106"/>
      <c r="H53" s="106"/>
      <c r="I53" s="106"/>
      <c r="J53" s="106"/>
      <c r="K53" s="106"/>
      <c r="L53" s="167"/>
      <c r="M53" s="166"/>
      <c r="N53" s="166"/>
      <c r="O53" s="166"/>
      <c r="P53" s="166"/>
      <c r="Q53" s="166"/>
      <c r="R53" s="166"/>
      <c r="S53" s="166"/>
      <c r="T53" s="166"/>
      <c r="U53" s="166"/>
      <c r="V53" s="166"/>
      <c r="W53" s="167"/>
      <c r="X53" s="106"/>
      <c r="Y53" s="106"/>
      <c r="Z53" s="106"/>
      <c r="AA53" s="68"/>
    </row>
    <row r="54" spans="1:28" x14ac:dyDescent="0.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68"/>
    </row>
    <row r="55" spans="1:28" x14ac:dyDescent="0.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68"/>
    </row>
    <row r="56" spans="1:28" x14ac:dyDescent="0.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68"/>
    </row>
    <row r="57" spans="1:28" x14ac:dyDescent="0.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68"/>
    </row>
    <row r="58" spans="1:28" ht="15.6" customHeight="1" x14ac:dyDescent="0.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68"/>
    </row>
    <row r="59" spans="1:28" ht="15.75" customHeight="1" x14ac:dyDescent="0.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68"/>
    </row>
    <row r="60" spans="1:28" ht="15" customHeight="1" x14ac:dyDescent="0.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68"/>
    </row>
    <row r="61" spans="1:28" x14ac:dyDescent="0.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68"/>
    </row>
    <row r="62" spans="1:28" x14ac:dyDescent="0.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68"/>
    </row>
    <row r="63" spans="1:28" ht="16.149999999999999" customHeight="1" x14ac:dyDescent="0.2">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73"/>
    </row>
    <row r="64" spans="1:28" x14ac:dyDescent="0.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73"/>
    </row>
    <row r="65" spans="1:27" x14ac:dyDescent="0.2">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73"/>
    </row>
    <row r="66" spans="1:27" x14ac:dyDescent="0.2">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73"/>
    </row>
    <row r="67" spans="1:27" x14ac:dyDescent="0.2">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73"/>
    </row>
    <row r="68" spans="1:27" x14ac:dyDescent="0.2">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73"/>
    </row>
    <row r="69" spans="1:27" x14ac:dyDescent="0.2">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73"/>
    </row>
    <row r="70" spans="1:27" x14ac:dyDescent="0.2">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73"/>
    </row>
    <row r="71" spans="1:27" x14ac:dyDescent="0.2">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73"/>
    </row>
    <row r="72" spans="1:27" x14ac:dyDescent="0.2">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73"/>
    </row>
    <row r="73" spans="1:27" x14ac:dyDescent="0.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73"/>
    </row>
    <row r="74" spans="1:27" x14ac:dyDescent="0.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73"/>
    </row>
    <row r="75" spans="1:27" x14ac:dyDescent="0.2">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73"/>
    </row>
    <row r="76" spans="1:27" x14ac:dyDescent="0.2">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73"/>
    </row>
    <row r="77" spans="1:27" x14ac:dyDescent="0.2">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73"/>
    </row>
    <row r="78" spans="1:27" x14ac:dyDescent="0.2">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73"/>
    </row>
    <row r="79" spans="1:27" x14ac:dyDescent="0.2">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73"/>
    </row>
    <row r="80" spans="1:27" x14ac:dyDescent="0.2">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73"/>
    </row>
    <row r="81" spans="1:27" x14ac:dyDescent="0.2">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73"/>
    </row>
    <row r="82" spans="1:27" x14ac:dyDescent="0.2">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73"/>
    </row>
    <row r="83" spans="1:27" x14ac:dyDescent="0.2">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73"/>
    </row>
    <row r="84" spans="1:27" x14ac:dyDescent="0.2">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73"/>
    </row>
    <row r="85" spans="1:27" x14ac:dyDescent="0.2">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73"/>
    </row>
    <row r="86" spans="1:27" x14ac:dyDescent="0.2">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73"/>
    </row>
    <row r="87" spans="1:27" x14ac:dyDescent="0.2">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73"/>
    </row>
    <row r="88" spans="1:27" x14ac:dyDescent="0.2">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73"/>
    </row>
    <row r="89" spans="1:27" x14ac:dyDescent="0.2">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74"/>
    </row>
    <row r="90" spans="1:27" x14ac:dyDescent="0.2">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74"/>
    </row>
    <row r="91" spans="1:27" x14ac:dyDescent="0.2">
      <c r="A91" s="171"/>
      <c r="B91" s="171"/>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71"/>
      <c r="AA91" s="174"/>
    </row>
    <row r="92" spans="1:27" x14ac:dyDescent="0.2">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71"/>
      <c r="AA92" s="174"/>
    </row>
    <row r="93" spans="1:27" x14ac:dyDescent="0.2">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74"/>
    </row>
    <row r="94" spans="1:27" x14ac:dyDescent="0.2">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74"/>
    </row>
    <row r="95" spans="1:27" x14ac:dyDescent="0.2">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68"/>
    </row>
    <row r="96" spans="1:27" ht="15" customHeight="1" x14ac:dyDescent="0.2">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68"/>
    </row>
    <row r="97" spans="1:27" x14ac:dyDescent="0.2">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68"/>
    </row>
    <row r="98" spans="1:27" x14ac:dyDescent="0.2">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68"/>
    </row>
    <row r="99" spans="1:27" ht="15.75" customHeight="1" x14ac:dyDescent="0.2">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68"/>
    </row>
    <row r="100" spans="1:27" ht="15.75" customHeight="1" x14ac:dyDescent="0.2">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68"/>
    </row>
    <row r="101" spans="1:27" ht="15" customHeight="1" x14ac:dyDescent="0.2">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68"/>
    </row>
    <row r="102" spans="1:27" x14ac:dyDescent="0.2">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68"/>
    </row>
    <row r="103" spans="1:27" x14ac:dyDescent="0.2">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68"/>
    </row>
    <row r="104" spans="1:27" x14ac:dyDescent="0.2">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68"/>
    </row>
    <row r="105" spans="1:27" x14ac:dyDescent="0.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68"/>
    </row>
    <row r="106" spans="1:27" x14ac:dyDescent="0.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68"/>
    </row>
    <row r="107" spans="1:27" x14ac:dyDescent="0.2">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68"/>
    </row>
    <row r="108" spans="1:27" x14ac:dyDescent="0.2">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68"/>
    </row>
    <row r="109" spans="1:27" x14ac:dyDescent="0.2">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68"/>
    </row>
    <row r="110" spans="1:27" x14ac:dyDescent="0.2">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68"/>
    </row>
    <row r="111" spans="1:27" x14ac:dyDescent="0.2">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68"/>
    </row>
    <row r="112" spans="1:27" x14ac:dyDescent="0.2">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68"/>
    </row>
    <row r="113" spans="1:27" x14ac:dyDescent="0.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68"/>
    </row>
    <row r="114" spans="1:27" x14ac:dyDescent="0.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68"/>
    </row>
    <row r="115" spans="1:27" x14ac:dyDescent="0.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68"/>
    </row>
    <row r="116" spans="1:27" x14ac:dyDescent="0.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68"/>
    </row>
    <row r="117" spans="1:27" x14ac:dyDescent="0.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68"/>
    </row>
    <row r="118" spans="1:27" x14ac:dyDescent="0.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68"/>
    </row>
    <row r="119" spans="1:27" x14ac:dyDescent="0.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68"/>
    </row>
    <row r="120" spans="1:27" x14ac:dyDescent="0.2">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68"/>
    </row>
    <row r="121" spans="1:27" x14ac:dyDescent="0.2">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68"/>
    </row>
    <row r="122" spans="1:27" x14ac:dyDescent="0.2">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68"/>
    </row>
    <row r="123" spans="1:27" x14ac:dyDescent="0.2">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68"/>
    </row>
    <row r="124" spans="1:27" ht="29.25" customHeight="1" x14ac:dyDescent="0.2">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68"/>
    </row>
    <row r="125" spans="1:27" x14ac:dyDescent="0.2">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68"/>
    </row>
    <row r="126" spans="1:27" x14ac:dyDescent="0.2">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68"/>
    </row>
    <row r="127" spans="1:27" x14ac:dyDescent="0.2">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68"/>
    </row>
    <row r="128" spans="1:27" x14ac:dyDescent="0.2">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68"/>
    </row>
    <row r="129" spans="1:27" x14ac:dyDescent="0.2">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68"/>
    </row>
    <row r="130" spans="1:27" x14ac:dyDescent="0.2">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68"/>
    </row>
    <row r="131" spans="1:27" x14ac:dyDescent="0.2">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68"/>
    </row>
    <row r="132" spans="1:27" x14ac:dyDescent="0.2">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68"/>
    </row>
    <row r="133" spans="1:27" x14ac:dyDescent="0.2">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68"/>
    </row>
    <row r="134" spans="1:27" x14ac:dyDescent="0.2">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68"/>
    </row>
    <row r="135" spans="1:27" x14ac:dyDescent="0.2">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68"/>
    </row>
    <row r="136" spans="1:27" x14ac:dyDescent="0.2">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68"/>
    </row>
    <row r="137" spans="1:27" x14ac:dyDescent="0.2">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68"/>
    </row>
    <row r="138" spans="1:27" x14ac:dyDescent="0.2">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68"/>
    </row>
    <row r="139" spans="1:27" x14ac:dyDescent="0.2">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68"/>
    </row>
    <row r="140" spans="1:27" x14ac:dyDescent="0.2">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68"/>
    </row>
    <row r="141" spans="1:27" x14ac:dyDescent="0.2">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68"/>
    </row>
    <row r="142" spans="1:27" x14ac:dyDescent="0.2">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68"/>
    </row>
    <row r="143" spans="1:27" x14ac:dyDescent="0.2">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68"/>
    </row>
    <row r="144" spans="1:27" x14ac:dyDescent="0.2">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68"/>
    </row>
    <row r="145" spans="1:27" x14ac:dyDescent="0.2">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68"/>
    </row>
    <row r="146" spans="1:27" x14ac:dyDescent="0.2">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68"/>
    </row>
    <row r="147" spans="1:27" x14ac:dyDescent="0.2">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68"/>
    </row>
    <row r="148" spans="1:27" x14ac:dyDescent="0.2">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68"/>
    </row>
    <row r="149" spans="1:27" x14ac:dyDescent="0.2">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68"/>
    </row>
    <row r="150" spans="1:27" x14ac:dyDescent="0.2">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68"/>
    </row>
    <row r="151" spans="1:27" x14ac:dyDescent="0.2">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68"/>
    </row>
    <row r="152" spans="1:27" x14ac:dyDescent="0.2">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68"/>
    </row>
    <row r="153" spans="1:27" x14ac:dyDescent="0.2">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68"/>
    </row>
    <row r="154" spans="1:27" x14ac:dyDescent="0.2">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68"/>
    </row>
    <row r="155" spans="1:27" x14ac:dyDescent="0.2">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68"/>
    </row>
    <row r="156" spans="1:27" x14ac:dyDescent="0.2">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68"/>
    </row>
    <row r="157" spans="1:27" x14ac:dyDescent="0.2">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68"/>
    </row>
    <row r="158" spans="1:27" x14ac:dyDescent="0.2">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68"/>
    </row>
    <row r="159" spans="1:27" x14ac:dyDescent="0.2">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68"/>
    </row>
    <row r="160" spans="1:27" x14ac:dyDescent="0.2">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68"/>
    </row>
    <row r="161" spans="1:27" x14ac:dyDescent="0.2">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68"/>
    </row>
    <row r="162" spans="1:27" x14ac:dyDescent="0.2">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68"/>
    </row>
    <row r="163" spans="1:27" x14ac:dyDescent="0.2">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68"/>
    </row>
    <row r="164" spans="1:27" x14ac:dyDescent="0.2">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68"/>
    </row>
    <row r="165" spans="1:27" x14ac:dyDescent="0.2">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68"/>
    </row>
    <row r="166" spans="1:27" x14ac:dyDescent="0.2">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68"/>
    </row>
    <row r="167" spans="1:27" x14ac:dyDescent="0.2">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68"/>
    </row>
    <row r="168" spans="1:27" x14ac:dyDescent="0.2">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68"/>
    </row>
    <row r="169" spans="1:27" x14ac:dyDescent="0.2">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68"/>
    </row>
    <row r="170" spans="1:27" x14ac:dyDescent="0.2">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68"/>
    </row>
    <row r="171" spans="1:27" x14ac:dyDescent="0.2">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68"/>
    </row>
    <row r="172" spans="1:27" x14ac:dyDescent="0.2">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68"/>
    </row>
    <row r="173" spans="1:27" x14ac:dyDescent="0.2">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68"/>
    </row>
    <row r="174" spans="1:27" x14ac:dyDescent="0.2">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68"/>
    </row>
    <row r="175" spans="1:27" x14ac:dyDescent="0.2">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68"/>
    </row>
    <row r="176" spans="1:27" x14ac:dyDescent="0.2">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68"/>
    </row>
    <row r="177" spans="1:27" x14ac:dyDescent="0.2">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68"/>
    </row>
    <row r="178" spans="1:27" x14ac:dyDescent="0.2">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68"/>
    </row>
    <row r="179" spans="1:27" x14ac:dyDescent="0.2">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68"/>
    </row>
    <row r="180" spans="1:27" x14ac:dyDescent="0.2">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68"/>
    </row>
    <row r="181" spans="1:27" x14ac:dyDescent="0.2">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68"/>
    </row>
    <row r="182" spans="1:27" x14ac:dyDescent="0.2">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68"/>
    </row>
    <row r="183" spans="1:27" x14ac:dyDescent="0.2">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68"/>
    </row>
    <row r="184" spans="1:27" x14ac:dyDescent="0.2">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68"/>
    </row>
    <row r="185" spans="1:27" x14ac:dyDescent="0.2">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68"/>
    </row>
    <row r="186" spans="1:27" x14ac:dyDescent="0.2">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68"/>
    </row>
    <row r="187" spans="1:27" x14ac:dyDescent="0.2">
      <c r="A187" s="106"/>
      <c r="B187" s="106"/>
      <c r="C187" s="106"/>
      <c r="D187" s="106"/>
      <c r="E187" s="106"/>
      <c r="F187" s="106"/>
      <c r="G187" s="106"/>
      <c r="H187" s="106"/>
      <c r="I187" s="68"/>
      <c r="J187" s="68"/>
      <c r="K187" s="68"/>
      <c r="L187" s="68"/>
      <c r="M187" s="68"/>
      <c r="N187" s="68"/>
      <c r="O187" s="68"/>
      <c r="P187" s="68"/>
      <c r="Q187" s="68"/>
      <c r="R187" s="106"/>
      <c r="S187" s="106"/>
      <c r="T187" s="106"/>
      <c r="U187" s="106"/>
      <c r="V187" s="106"/>
      <c r="W187" s="106"/>
      <c r="X187" s="106"/>
      <c r="Y187" s="106"/>
      <c r="Z187" s="106"/>
      <c r="AA187" s="68"/>
    </row>
    <row r="188" spans="1:27" x14ac:dyDescent="0.2">
      <c r="A188" s="106"/>
      <c r="B188" s="106"/>
      <c r="C188" s="106"/>
      <c r="D188" s="106"/>
      <c r="E188" s="106"/>
      <c r="F188" s="106"/>
      <c r="G188" s="106"/>
      <c r="H188" s="106"/>
      <c r="I188" s="68"/>
      <c r="J188" s="68"/>
      <c r="K188" s="68"/>
      <c r="L188" s="68"/>
      <c r="M188" s="68"/>
      <c r="N188" s="68"/>
      <c r="O188" s="68"/>
      <c r="P188" s="68"/>
      <c r="Q188" s="68"/>
      <c r="R188" s="106"/>
      <c r="S188" s="106"/>
      <c r="T188" s="106"/>
      <c r="U188" s="106"/>
      <c r="V188" s="106"/>
      <c r="W188" s="106"/>
      <c r="X188" s="106"/>
      <c r="Y188" s="106"/>
      <c r="Z188" s="106"/>
      <c r="AA188" s="68"/>
    </row>
    <row r="189" spans="1:27" x14ac:dyDescent="0.2">
      <c r="A189" s="106"/>
      <c r="B189" s="106"/>
      <c r="C189" s="106"/>
      <c r="D189" s="106"/>
      <c r="E189" s="106"/>
      <c r="F189" s="106"/>
      <c r="G189" s="106"/>
      <c r="H189" s="106"/>
      <c r="I189" s="68"/>
      <c r="J189" s="68"/>
      <c r="K189" s="68"/>
      <c r="L189" s="68"/>
      <c r="M189" s="68"/>
      <c r="N189" s="68"/>
      <c r="O189" s="68"/>
      <c r="P189" s="68"/>
      <c r="Q189" s="68"/>
      <c r="R189" s="106"/>
      <c r="S189" s="106"/>
      <c r="T189" s="106"/>
      <c r="U189" s="106"/>
      <c r="V189" s="106"/>
      <c r="W189" s="106"/>
      <c r="X189" s="106"/>
      <c r="Y189" s="106"/>
      <c r="Z189" s="106"/>
      <c r="AA189" s="68"/>
    </row>
    <row r="190" spans="1:27" x14ac:dyDescent="0.2">
      <c r="A190" s="106"/>
      <c r="B190" s="106"/>
      <c r="C190" s="106"/>
      <c r="D190" s="106"/>
      <c r="E190" s="106"/>
      <c r="F190" s="106"/>
      <c r="G190" s="106"/>
      <c r="H190" s="106"/>
      <c r="I190" s="68"/>
      <c r="J190" s="68"/>
      <c r="K190" s="68"/>
      <c r="L190" s="68"/>
      <c r="M190" s="68"/>
      <c r="N190" s="68"/>
      <c r="O190" s="68"/>
      <c r="P190" s="68"/>
      <c r="Q190" s="68"/>
      <c r="R190" s="106"/>
      <c r="S190" s="106"/>
      <c r="T190" s="106"/>
      <c r="U190" s="106"/>
      <c r="V190" s="106"/>
      <c r="W190" s="106"/>
      <c r="X190" s="106"/>
      <c r="Y190" s="106"/>
      <c r="Z190" s="106"/>
      <c r="AA190" s="68"/>
    </row>
    <row r="191" spans="1:27" x14ac:dyDescent="0.2">
      <c r="A191" s="106"/>
      <c r="B191" s="106"/>
      <c r="C191" s="106"/>
      <c r="D191" s="106"/>
      <c r="E191" s="106"/>
      <c r="F191" s="106"/>
      <c r="G191" s="106"/>
      <c r="H191" s="106"/>
      <c r="I191" s="68"/>
      <c r="J191" s="68"/>
      <c r="K191" s="68"/>
      <c r="L191" s="68"/>
      <c r="M191" s="68"/>
      <c r="N191" s="68"/>
      <c r="O191" s="68"/>
      <c r="P191" s="68"/>
      <c r="Q191" s="68"/>
      <c r="R191" s="106"/>
      <c r="S191" s="106"/>
      <c r="T191" s="106"/>
      <c r="U191" s="106"/>
      <c r="V191" s="106"/>
      <c r="W191" s="106"/>
      <c r="X191" s="106"/>
      <c r="Y191" s="106"/>
      <c r="Z191" s="106"/>
      <c r="AA191" s="68"/>
    </row>
    <row r="192" spans="1:27" x14ac:dyDescent="0.2">
      <c r="A192" s="106"/>
      <c r="B192" s="106"/>
      <c r="C192" s="106"/>
      <c r="D192" s="106"/>
      <c r="E192" s="106"/>
      <c r="F192" s="106"/>
      <c r="G192" s="106"/>
      <c r="H192" s="106"/>
      <c r="I192" s="68"/>
      <c r="J192" s="68"/>
      <c r="K192" s="68"/>
      <c r="L192" s="68"/>
      <c r="M192" s="68"/>
      <c r="N192" s="68"/>
      <c r="O192" s="68"/>
      <c r="P192" s="68"/>
      <c r="Q192" s="68"/>
      <c r="R192" s="106"/>
      <c r="S192" s="106"/>
      <c r="T192" s="106"/>
      <c r="U192" s="106"/>
      <c r="V192" s="106"/>
      <c r="W192" s="106"/>
      <c r="X192" s="106"/>
      <c r="Y192" s="106"/>
      <c r="Z192" s="106"/>
      <c r="AA192" s="68"/>
    </row>
    <row r="193" spans="1:27" x14ac:dyDescent="0.2">
      <c r="A193" s="106"/>
      <c r="B193" s="106"/>
      <c r="C193" s="106"/>
      <c r="D193" s="106"/>
      <c r="E193" s="106"/>
      <c r="F193" s="106"/>
      <c r="G193" s="106"/>
      <c r="H193" s="106"/>
      <c r="I193" s="68"/>
      <c r="J193" s="68"/>
      <c r="K193" s="68"/>
      <c r="L193" s="68"/>
      <c r="M193" s="68"/>
      <c r="N193" s="68"/>
      <c r="O193" s="68"/>
      <c r="P193" s="68"/>
      <c r="Q193" s="68"/>
      <c r="R193" s="106"/>
      <c r="S193" s="106"/>
      <c r="T193" s="106"/>
      <c r="U193" s="106"/>
      <c r="V193" s="106"/>
      <c r="W193" s="106"/>
      <c r="X193" s="106"/>
      <c r="Y193" s="106"/>
      <c r="Z193" s="106"/>
      <c r="AA193" s="68"/>
    </row>
    <row r="194" spans="1:27" x14ac:dyDescent="0.2">
      <c r="A194" s="106"/>
      <c r="B194" s="106"/>
      <c r="C194" s="106"/>
      <c r="D194" s="106"/>
      <c r="E194" s="106"/>
      <c r="F194" s="106"/>
      <c r="G194" s="106"/>
      <c r="H194" s="106"/>
      <c r="I194" s="68"/>
      <c r="J194" s="68"/>
      <c r="K194" s="68"/>
      <c r="L194" s="68"/>
      <c r="M194" s="68"/>
      <c r="N194" s="68"/>
      <c r="O194" s="68"/>
      <c r="P194" s="68"/>
      <c r="Q194" s="68"/>
      <c r="R194" s="106"/>
      <c r="S194" s="106"/>
      <c r="T194" s="106"/>
      <c r="U194" s="106"/>
      <c r="V194" s="106"/>
      <c r="W194" s="106"/>
      <c r="X194" s="106"/>
      <c r="Y194" s="106"/>
      <c r="Z194" s="106"/>
      <c r="AA194" s="68"/>
    </row>
    <row r="195" spans="1:27" x14ac:dyDescent="0.2">
      <c r="A195" s="106"/>
      <c r="B195" s="106"/>
      <c r="C195" s="106"/>
      <c r="D195" s="106"/>
      <c r="E195" s="106"/>
      <c r="F195" s="106"/>
      <c r="G195" s="106"/>
      <c r="H195" s="106"/>
      <c r="I195" s="68"/>
      <c r="J195" s="68"/>
      <c r="K195" s="68"/>
      <c r="L195" s="68"/>
      <c r="M195" s="68"/>
      <c r="N195" s="68"/>
      <c r="O195" s="68"/>
      <c r="P195" s="68"/>
      <c r="Q195" s="68"/>
      <c r="R195" s="106"/>
      <c r="S195" s="106"/>
      <c r="T195" s="106"/>
      <c r="U195" s="106"/>
      <c r="V195" s="106"/>
      <c r="W195" s="106"/>
      <c r="X195" s="106"/>
      <c r="Y195" s="106"/>
      <c r="Z195" s="106"/>
      <c r="AA195" s="68"/>
    </row>
    <row r="196" spans="1:27" x14ac:dyDescent="0.2">
      <c r="A196" s="106"/>
      <c r="B196" s="106"/>
      <c r="C196" s="106"/>
      <c r="D196" s="106"/>
      <c r="E196" s="106"/>
      <c r="F196" s="106"/>
      <c r="G196" s="106"/>
      <c r="H196" s="106"/>
      <c r="I196" s="68"/>
      <c r="J196" s="68"/>
      <c r="K196" s="68"/>
      <c r="L196" s="68"/>
      <c r="M196" s="68"/>
      <c r="N196" s="68"/>
      <c r="O196" s="68"/>
      <c r="P196" s="68"/>
      <c r="Q196" s="68"/>
      <c r="R196" s="106"/>
      <c r="S196" s="106"/>
      <c r="T196" s="106"/>
      <c r="U196" s="106"/>
      <c r="V196" s="106"/>
      <c r="W196" s="106"/>
      <c r="X196" s="106"/>
      <c r="Y196" s="106"/>
      <c r="Z196" s="106"/>
      <c r="AA196" s="68"/>
    </row>
    <row r="197" spans="1:27" x14ac:dyDescent="0.2">
      <c r="A197" s="106"/>
      <c r="B197" s="106"/>
      <c r="C197" s="106"/>
      <c r="D197" s="106"/>
      <c r="E197" s="106"/>
      <c r="F197" s="106"/>
      <c r="G197" s="106"/>
      <c r="H197" s="106"/>
      <c r="I197" s="68"/>
      <c r="J197" s="68"/>
      <c r="K197" s="68"/>
      <c r="L197" s="68"/>
      <c r="M197" s="68"/>
      <c r="N197" s="68"/>
      <c r="O197" s="68"/>
      <c r="P197" s="68"/>
      <c r="Q197" s="68"/>
      <c r="R197" s="106"/>
      <c r="S197" s="106"/>
      <c r="T197" s="106"/>
      <c r="U197" s="106"/>
      <c r="V197" s="106"/>
      <c r="W197" s="106"/>
      <c r="X197" s="106"/>
      <c r="Y197" s="106"/>
      <c r="Z197" s="106"/>
      <c r="AA197" s="68"/>
    </row>
    <row r="198" spans="1:27" x14ac:dyDescent="0.2">
      <c r="A198" s="106"/>
      <c r="B198" s="106"/>
      <c r="C198" s="106"/>
      <c r="D198" s="106"/>
      <c r="E198" s="106"/>
      <c r="F198" s="106"/>
      <c r="G198" s="106"/>
      <c r="H198" s="106"/>
      <c r="I198" s="68"/>
      <c r="J198" s="68"/>
      <c r="K198" s="68"/>
      <c r="L198" s="68"/>
      <c r="M198" s="68"/>
      <c r="N198" s="68"/>
      <c r="O198" s="68"/>
      <c r="P198" s="68"/>
      <c r="Q198" s="68"/>
      <c r="R198" s="106"/>
      <c r="S198" s="106"/>
      <c r="T198" s="106"/>
      <c r="U198" s="106"/>
      <c r="V198" s="106"/>
      <c r="W198" s="106"/>
      <c r="X198" s="106"/>
      <c r="Y198" s="106"/>
      <c r="Z198" s="106"/>
      <c r="AA198" s="68"/>
    </row>
    <row r="199" spans="1:27" x14ac:dyDescent="0.2">
      <c r="A199" s="106"/>
      <c r="B199" s="106"/>
      <c r="C199" s="106"/>
      <c r="D199" s="106"/>
      <c r="E199" s="106"/>
      <c r="F199" s="106"/>
      <c r="G199" s="106"/>
      <c r="H199" s="106"/>
      <c r="I199" s="68"/>
      <c r="J199" s="68"/>
      <c r="K199" s="68"/>
      <c r="L199" s="68"/>
      <c r="M199" s="68"/>
      <c r="N199" s="68"/>
      <c r="O199" s="68"/>
      <c r="P199" s="68"/>
      <c r="Q199" s="68"/>
      <c r="R199" s="106"/>
      <c r="S199" s="106"/>
      <c r="T199" s="106"/>
      <c r="U199" s="106"/>
      <c r="V199" s="106"/>
      <c r="W199" s="106"/>
      <c r="X199" s="106"/>
      <c r="Y199" s="106"/>
      <c r="Z199" s="106"/>
      <c r="AA199" s="68"/>
    </row>
    <row r="200" spans="1:27" x14ac:dyDescent="0.2">
      <c r="A200" s="106"/>
      <c r="B200" s="106"/>
      <c r="C200" s="106"/>
      <c r="D200" s="106"/>
      <c r="E200" s="106"/>
      <c r="F200" s="106"/>
      <c r="G200" s="106"/>
      <c r="H200" s="106"/>
      <c r="I200" s="68"/>
      <c r="J200" s="68"/>
      <c r="K200" s="68"/>
      <c r="L200" s="68"/>
      <c r="M200" s="68"/>
      <c r="N200" s="68"/>
      <c r="O200" s="68"/>
      <c r="P200" s="68"/>
      <c r="Q200" s="68"/>
      <c r="R200" s="106"/>
      <c r="S200" s="106"/>
      <c r="T200" s="106"/>
      <c r="U200" s="106"/>
      <c r="V200" s="106"/>
      <c r="W200" s="106"/>
      <c r="X200" s="106"/>
      <c r="Y200" s="106"/>
      <c r="Z200" s="106"/>
      <c r="AA200" s="68"/>
    </row>
    <row r="201" spans="1:27" x14ac:dyDescent="0.2">
      <c r="A201" s="106"/>
      <c r="B201" s="106"/>
      <c r="C201" s="106"/>
      <c r="D201" s="106"/>
      <c r="E201" s="106"/>
      <c r="F201" s="106"/>
      <c r="G201" s="106"/>
      <c r="H201" s="106"/>
      <c r="I201" s="68"/>
      <c r="J201" s="68"/>
      <c r="K201" s="68"/>
      <c r="L201" s="68"/>
      <c r="M201" s="68"/>
      <c r="N201" s="68"/>
      <c r="O201" s="68"/>
      <c r="P201" s="68"/>
      <c r="Q201" s="68"/>
      <c r="R201" s="106"/>
      <c r="S201" s="106"/>
      <c r="T201" s="106"/>
      <c r="U201" s="106"/>
      <c r="V201" s="106"/>
      <c r="W201" s="106"/>
      <c r="X201" s="106"/>
      <c r="Y201" s="106"/>
      <c r="Z201" s="106"/>
      <c r="AA201" s="68"/>
    </row>
    <row r="202" spans="1:27" x14ac:dyDescent="0.2">
      <c r="A202" s="106"/>
      <c r="B202" s="106"/>
      <c r="C202" s="106"/>
      <c r="D202" s="106"/>
      <c r="E202" s="106"/>
      <c r="F202" s="106"/>
      <c r="G202" s="106"/>
      <c r="H202" s="106"/>
      <c r="I202" s="68"/>
      <c r="J202" s="68"/>
      <c r="K202" s="68"/>
      <c r="L202" s="68"/>
      <c r="M202" s="68"/>
      <c r="N202" s="68"/>
      <c r="O202" s="68"/>
      <c r="P202" s="68"/>
      <c r="Q202" s="68"/>
      <c r="R202" s="106"/>
      <c r="S202" s="106"/>
      <c r="T202" s="106"/>
      <c r="U202" s="106"/>
      <c r="V202" s="106"/>
      <c r="W202" s="106"/>
      <c r="X202" s="106"/>
      <c r="Y202" s="106"/>
      <c r="Z202" s="106"/>
      <c r="AA202" s="68"/>
    </row>
    <row r="203" spans="1:27" x14ac:dyDescent="0.2">
      <c r="A203" s="106"/>
      <c r="B203" s="106"/>
      <c r="C203" s="106"/>
      <c r="D203" s="106"/>
      <c r="E203" s="106"/>
      <c r="F203" s="106"/>
      <c r="G203" s="106"/>
      <c r="H203" s="106"/>
      <c r="I203" s="68"/>
      <c r="J203" s="68"/>
      <c r="K203" s="68"/>
      <c r="L203" s="68"/>
      <c r="M203" s="68"/>
      <c r="N203" s="68"/>
      <c r="O203" s="68"/>
      <c r="P203" s="68"/>
      <c r="Q203" s="68"/>
      <c r="R203" s="106"/>
      <c r="S203" s="106"/>
      <c r="T203" s="106"/>
      <c r="U203" s="106"/>
      <c r="V203" s="106"/>
      <c r="W203" s="106"/>
      <c r="X203" s="106"/>
      <c r="Y203" s="106"/>
      <c r="Z203" s="106"/>
      <c r="AA203" s="68"/>
    </row>
    <row r="204" spans="1:27" x14ac:dyDescent="0.2">
      <c r="A204" s="106"/>
      <c r="B204" s="106"/>
      <c r="C204" s="106"/>
      <c r="D204" s="106"/>
      <c r="E204" s="106"/>
      <c r="F204" s="106"/>
      <c r="G204" s="106"/>
      <c r="H204" s="106"/>
      <c r="I204" s="68"/>
      <c r="J204" s="68"/>
      <c r="K204" s="68"/>
      <c r="L204" s="68"/>
      <c r="M204" s="68"/>
      <c r="N204" s="68"/>
      <c r="O204" s="68"/>
      <c r="P204" s="68"/>
      <c r="Q204" s="68"/>
      <c r="R204" s="106"/>
      <c r="S204" s="106"/>
      <c r="T204" s="106"/>
      <c r="U204" s="106"/>
      <c r="V204" s="106"/>
      <c r="W204" s="106"/>
      <c r="X204" s="106"/>
      <c r="Y204" s="106"/>
      <c r="Z204" s="106"/>
      <c r="AA204" s="68"/>
    </row>
    <row r="205" spans="1:27" x14ac:dyDescent="0.2">
      <c r="A205" s="106"/>
      <c r="B205" s="106"/>
      <c r="C205" s="106"/>
      <c r="D205" s="106"/>
      <c r="E205" s="106"/>
      <c r="F205" s="106"/>
      <c r="G205" s="106"/>
      <c r="H205" s="106"/>
      <c r="I205" s="68"/>
      <c r="J205" s="68"/>
      <c r="K205" s="68"/>
      <c r="L205" s="68"/>
      <c r="M205" s="68"/>
      <c r="N205" s="68"/>
      <c r="O205" s="68"/>
      <c r="P205" s="68"/>
      <c r="Q205" s="68"/>
      <c r="R205" s="106"/>
      <c r="S205" s="106"/>
      <c r="T205" s="106"/>
      <c r="U205" s="106"/>
      <c r="V205" s="106"/>
      <c r="W205" s="106"/>
      <c r="X205" s="106"/>
      <c r="Y205" s="106"/>
      <c r="Z205" s="106"/>
      <c r="AA205" s="68"/>
    </row>
    <row r="206" spans="1:27" x14ac:dyDescent="0.2">
      <c r="A206" s="68"/>
      <c r="B206" s="68"/>
      <c r="C206" s="68"/>
      <c r="D206" s="68"/>
      <c r="E206" s="68"/>
      <c r="F206" s="68"/>
      <c r="G206" s="68"/>
      <c r="H206" s="68"/>
      <c r="I206" s="68"/>
      <c r="J206" s="68"/>
      <c r="K206" s="68"/>
      <c r="L206" s="68"/>
      <c r="M206" s="68"/>
      <c r="N206" s="68"/>
      <c r="O206" s="68"/>
      <c r="P206" s="68"/>
      <c r="Q206" s="68"/>
      <c r="R206" s="106"/>
      <c r="S206" s="106"/>
      <c r="T206" s="106"/>
      <c r="U206" s="106"/>
      <c r="V206" s="106"/>
      <c r="W206" s="106"/>
      <c r="X206" s="106"/>
      <c r="Y206" s="106"/>
      <c r="Z206" s="106"/>
      <c r="AA206" s="68"/>
    </row>
    <row r="207" spans="1:27" x14ac:dyDescent="0.2">
      <c r="A207" s="68"/>
      <c r="B207" s="68"/>
      <c r="C207" s="68"/>
      <c r="D207" s="68"/>
      <c r="E207" s="68"/>
      <c r="F207" s="68"/>
      <c r="G207" s="68"/>
      <c r="H207" s="68"/>
      <c r="I207" s="68"/>
      <c r="J207" s="68"/>
      <c r="K207" s="68"/>
      <c r="L207" s="68"/>
      <c r="M207" s="68"/>
      <c r="N207" s="68"/>
      <c r="O207" s="68"/>
      <c r="P207" s="68"/>
      <c r="Q207" s="68"/>
      <c r="R207" s="106"/>
      <c r="S207" s="106"/>
      <c r="T207" s="106"/>
      <c r="U207" s="106"/>
      <c r="V207" s="106"/>
      <c r="W207" s="106"/>
      <c r="X207" s="106"/>
      <c r="Y207" s="106"/>
      <c r="Z207" s="106"/>
      <c r="AA207" s="68"/>
    </row>
    <row r="208" spans="1:27" x14ac:dyDescent="0.2">
      <c r="A208" s="68"/>
      <c r="B208" s="68"/>
      <c r="C208" s="68"/>
      <c r="D208" s="68"/>
      <c r="E208" s="68"/>
      <c r="F208" s="68"/>
      <c r="G208" s="68"/>
      <c r="H208" s="68"/>
      <c r="I208" s="68"/>
      <c r="J208" s="68"/>
      <c r="K208" s="68"/>
      <c r="L208" s="68"/>
      <c r="M208" s="68"/>
      <c r="N208" s="68"/>
      <c r="O208" s="68"/>
      <c r="P208" s="68"/>
      <c r="Q208" s="68"/>
      <c r="R208" s="106"/>
      <c r="S208" s="106"/>
      <c r="T208" s="106"/>
      <c r="U208" s="106"/>
      <c r="V208" s="106"/>
      <c r="W208" s="106"/>
      <c r="X208" s="106"/>
      <c r="Y208" s="106"/>
      <c r="Z208" s="106"/>
      <c r="AA208" s="68"/>
    </row>
    <row r="209" spans="1:27" x14ac:dyDescent="0.2">
      <c r="A209" s="68"/>
      <c r="B209" s="68"/>
      <c r="C209" s="68"/>
      <c r="D209" s="68"/>
      <c r="E209" s="68"/>
      <c r="F209" s="68"/>
      <c r="G209" s="68"/>
      <c r="H209" s="68"/>
      <c r="I209" s="68"/>
      <c r="J209" s="68"/>
      <c r="K209" s="68"/>
      <c r="L209" s="68"/>
      <c r="M209" s="68"/>
      <c r="N209" s="68"/>
      <c r="O209" s="68"/>
      <c r="P209" s="68"/>
      <c r="Q209" s="68"/>
      <c r="R209" s="106"/>
      <c r="S209" s="106"/>
      <c r="T209" s="106"/>
      <c r="U209" s="106"/>
      <c r="V209" s="106"/>
      <c r="W209" s="106"/>
      <c r="X209" s="106"/>
      <c r="Y209" s="106"/>
      <c r="Z209" s="106"/>
      <c r="AA209" s="68"/>
    </row>
    <row r="210" spans="1:27" x14ac:dyDescent="0.2">
      <c r="A210" s="68"/>
      <c r="B210" s="68"/>
      <c r="C210" s="68"/>
      <c r="D210" s="68"/>
      <c r="E210" s="68"/>
      <c r="F210" s="68"/>
      <c r="G210" s="68"/>
      <c r="H210" s="68"/>
      <c r="I210" s="68"/>
      <c r="J210" s="68"/>
      <c r="K210" s="68"/>
      <c r="L210" s="68"/>
      <c r="M210" s="68"/>
      <c r="N210" s="68"/>
      <c r="O210" s="68"/>
      <c r="P210" s="68"/>
      <c r="Q210" s="68"/>
      <c r="R210" s="106"/>
      <c r="S210" s="106"/>
      <c r="T210" s="106"/>
      <c r="U210" s="106"/>
      <c r="V210" s="106"/>
      <c r="W210" s="106"/>
      <c r="X210" s="106"/>
      <c r="Y210" s="106"/>
      <c r="Z210" s="106"/>
      <c r="AA210" s="68"/>
    </row>
    <row r="211" spans="1:27" x14ac:dyDescent="0.2">
      <c r="A211" s="68"/>
      <c r="B211" s="68"/>
      <c r="C211" s="68"/>
      <c r="D211" s="68"/>
      <c r="E211" s="68"/>
      <c r="F211" s="68"/>
      <c r="G211" s="68"/>
      <c r="H211" s="68"/>
      <c r="I211" s="68"/>
      <c r="J211" s="68"/>
      <c r="K211" s="68"/>
      <c r="L211" s="68"/>
      <c r="M211" s="68"/>
      <c r="N211" s="68"/>
      <c r="O211" s="68"/>
      <c r="P211" s="68"/>
      <c r="Q211" s="68"/>
      <c r="R211" s="106"/>
      <c r="S211" s="106"/>
      <c r="T211" s="106"/>
      <c r="U211" s="106"/>
      <c r="V211" s="106"/>
      <c r="W211" s="106"/>
      <c r="X211" s="106"/>
      <c r="Y211" s="106"/>
      <c r="Z211" s="106"/>
      <c r="AA211" s="68"/>
    </row>
    <row r="212" spans="1:27" x14ac:dyDescent="0.2">
      <c r="A212" s="68"/>
      <c r="B212" s="68"/>
      <c r="C212" s="68"/>
      <c r="D212" s="68"/>
      <c r="E212" s="68"/>
      <c r="F212" s="68"/>
      <c r="G212" s="68"/>
      <c r="H212" s="68"/>
      <c r="I212" s="68"/>
      <c r="J212" s="68"/>
      <c r="K212" s="68"/>
      <c r="L212" s="68"/>
      <c r="M212" s="68"/>
      <c r="N212" s="68"/>
      <c r="O212" s="68"/>
      <c r="P212" s="68"/>
      <c r="Q212" s="68"/>
      <c r="R212" s="106"/>
      <c r="S212" s="106"/>
      <c r="T212" s="106"/>
      <c r="U212" s="106"/>
      <c r="V212" s="106"/>
      <c r="W212" s="106"/>
      <c r="X212" s="106"/>
      <c r="Y212" s="106"/>
      <c r="Z212" s="106"/>
      <c r="AA212" s="68"/>
    </row>
    <row r="213" spans="1:27" x14ac:dyDescent="0.2">
      <c r="A213" s="68"/>
      <c r="B213" s="68"/>
      <c r="C213" s="68"/>
      <c r="D213" s="68"/>
      <c r="E213" s="68"/>
      <c r="F213" s="68"/>
      <c r="G213" s="68"/>
      <c r="H213" s="68"/>
      <c r="I213" s="68"/>
      <c r="J213" s="68"/>
      <c r="K213" s="68"/>
      <c r="L213" s="68"/>
      <c r="M213" s="68"/>
      <c r="N213" s="68"/>
      <c r="O213" s="68"/>
      <c r="P213" s="68"/>
      <c r="Q213" s="68"/>
      <c r="R213" s="106"/>
      <c r="S213" s="106"/>
      <c r="T213" s="106"/>
      <c r="U213" s="106"/>
      <c r="V213" s="106"/>
      <c r="W213" s="106"/>
      <c r="X213" s="106"/>
      <c r="Y213" s="106"/>
      <c r="Z213" s="106"/>
      <c r="AA213" s="68"/>
    </row>
    <row r="214" spans="1:27" x14ac:dyDescent="0.2">
      <c r="A214" s="68"/>
      <c r="B214" s="68"/>
      <c r="C214" s="68"/>
      <c r="D214" s="68"/>
      <c r="E214" s="68"/>
      <c r="F214" s="68"/>
      <c r="G214" s="68"/>
      <c r="H214" s="68"/>
      <c r="I214" s="68"/>
      <c r="J214" s="68"/>
      <c r="K214" s="68"/>
      <c r="L214" s="68"/>
      <c r="M214" s="68"/>
      <c r="N214" s="68"/>
      <c r="O214" s="68"/>
      <c r="P214" s="68"/>
      <c r="Q214" s="68"/>
      <c r="R214" s="106"/>
      <c r="S214" s="106"/>
      <c r="T214" s="106"/>
      <c r="U214" s="106"/>
      <c r="V214" s="106"/>
      <c r="W214" s="106"/>
      <c r="X214" s="106"/>
      <c r="Y214" s="106"/>
      <c r="Z214" s="106"/>
      <c r="AA214" s="68"/>
    </row>
    <row r="215" spans="1:27" x14ac:dyDescent="0.2">
      <c r="A215" s="68"/>
      <c r="B215" s="68"/>
      <c r="C215" s="68"/>
      <c r="D215" s="68"/>
      <c r="E215" s="68"/>
      <c r="F215" s="68"/>
      <c r="G215" s="68"/>
      <c r="H215" s="68"/>
      <c r="I215" s="68"/>
      <c r="J215" s="68"/>
      <c r="K215" s="68"/>
      <c r="L215" s="68"/>
      <c r="M215" s="68"/>
      <c r="N215" s="68"/>
      <c r="O215" s="68"/>
      <c r="P215" s="68"/>
      <c r="Q215" s="68"/>
      <c r="R215" s="106"/>
      <c r="S215" s="106"/>
      <c r="T215" s="106"/>
      <c r="U215" s="106"/>
      <c r="V215" s="106"/>
      <c r="W215" s="106"/>
      <c r="X215" s="106"/>
      <c r="Y215" s="106"/>
      <c r="Z215" s="106"/>
      <c r="AA215" s="68"/>
    </row>
    <row r="216" spans="1:27" x14ac:dyDescent="0.2">
      <c r="A216" s="68"/>
      <c r="B216" s="68"/>
      <c r="C216" s="68"/>
      <c r="D216" s="68"/>
      <c r="E216" s="68"/>
      <c r="F216" s="68"/>
      <c r="G216" s="68"/>
      <c r="H216" s="68"/>
      <c r="I216" s="68"/>
      <c r="J216" s="68"/>
      <c r="K216" s="68"/>
      <c r="L216" s="68"/>
      <c r="M216" s="68"/>
      <c r="N216" s="68"/>
      <c r="O216" s="68"/>
      <c r="P216" s="68"/>
      <c r="Q216" s="68"/>
      <c r="R216" s="106"/>
      <c r="S216" s="106"/>
      <c r="T216" s="106"/>
      <c r="U216" s="106"/>
      <c r="V216" s="106"/>
      <c r="W216" s="106"/>
      <c r="X216" s="106"/>
      <c r="Y216" s="106"/>
      <c r="Z216" s="106"/>
      <c r="AA216" s="68"/>
    </row>
    <row r="217" spans="1:27" x14ac:dyDescent="0.2">
      <c r="A217" s="68"/>
      <c r="B217" s="68"/>
      <c r="C217" s="68"/>
      <c r="D217" s="68"/>
      <c r="E217" s="68"/>
      <c r="F217" s="68"/>
      <c r="G217" s="68"/>
      <c r="H217" s="68"/>
      <c r="I217" s="68"/>
      <c r="J217" s="68"/>
      <c r="K217" s="68"/>
      <c r="L217" s="68"/>
      <c r="M217" s="68"/>
      <c r="N217" s="68"/>
      <c r="O217" s="68"/>
      <c r="P217" s="68"/>
      <c r="Q217" s="68"/>
      <c r="R217" s="106"/>
      <c r="S217" s="106"/>
      <c r="T217" s="106"/>
      <c r="U217" s="106"/>
      <c r="V217" s="106"/>
      <c r="W217" s="106"/>
      <c r="X217" s="106"/>
      <c r="Y217" s="106"/>
      <c r="Z217" s="106"/>
      <c r="AA217" s="68"/>
    </row>
    <row r="218" spans="1:27" x14ac:dyDescent="0.2">
      <c r="A218" s="68"/>
      <c r="B218" s="68"/>
      <c r="C218" s="68"/>
      <c r="D218" s="68"/>
      <c r="E218" s="68"/>
      <c r="F218" s="68"/>
      <c r="G218" s="68"/>
      <c r="H218" s="68"/>
      <c r="I218" s="68"/>
      <c r="J218" s="68"/>
      <c r="K218" s="68"/>
      <c r="L218" s="68"/>
      <c r="M218" s="68"/>
      <c r="N218" s="68"/>
      <c r="O218" s="68"/>
      <c r="P218" s="68"/>
      <c r="Q218" s="68"/>
      <c r="R218" s="106"/>
      <c r="S218" s="106"/>
      <c r="T218" s="106"/>
      <c r="U218" s="106"/>
      <c r="V218" s="106"/>
      <c r="W218" s="106"/>
      <c r="X218" s="106"/>
      <c r="Y218" s="106"/>
      <c r="Z218" s="106"/>
      <c r="AA218" s="68"/>
    </row>
    <row r="219" spans="1:27" x14ac:dyDescent="0.2">
      <c r="A219" s="68"/>
      <c r="B219" s="68"/>
      <c r="C219" s="68"/>
      <c r="D219" s="68"/>
      <c r="E219" s="68"/>
      <c r="F219" s="68"/>
      <c r="G219" s="68"/>
      <c r="H219" s="68"/>
      <c r="I219" s="68"/>
      <c r="J219" s="68"/>
      <c r="K219" s="68"/>
      <c r="L219" s="68"/>
      <c r="M219" s="68"/>
      <c r="N219" s="68"/>
      <c r="O219" s="68"/>
      <c r="P219" s="68"/>
      <c r="Q219" s="68"/>
      <c r="R219" s="106"/>
      <c r="S219" s="106"/>
      <c r="T219" s="106"/>
      <c r="U219" s="106"/>
      <c r="V219" s="106"/>
      <c r="W219" s="106"/>
      <c r="X219" s="106"/>
      <c r="Y219" s="106"/>
      <c r="Z219" s="106"/>
      <c r="AA219" s="68"/>
    </row>
    <row r="220" spans="1:27" x14ac:dyDescent="0.2">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x14ac:dyDescent="0.2">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row>
    <row r="222" spans="1:27" x14ac:dyDescent="0.2">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row>
    <row r="223" spans="1:27" x14ac:dyDescent="0.2">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row>
    <row r="224" spans="1:27" x14ac:dyDescent="0.2">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row>
    <row r="225" spans="1:27" x14ac:dyDescent="0.2">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row>
    <row r="226" spans="1:27" x14ac:dyDescent="0.2">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row>
    <row r="227" spans="1:27" x14ac:dyDescent="0.2">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row>
    <row r="228" spans="1:27" x14ac:dyDescent="0.2">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row>
    <row r="229" spans="1:27" x14ac:dyDescent="0.2">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row>
    <row r="230" spans="1:27" x14ac:dyDescent="0.2">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row>
    <row r="231" spans="1:27" x14ac:dyDescent="0.2">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row>
    <row r="232" spans="1:27" x14ac:dyDescent="0.2">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row>
  </sheetData>
  <mergeCells count="28">
    <mergeCell ref="C40:I41"/>
    <mergeCell ref="K40:L40"/>
    <mergeCell ref="K43:L43"/>
    <mergeCell ref="K45:L45"/>
    <mergeCell ref="K48:L48"/>
    <mergeCell ref="K46:W46"/>
    <mergeCell ref="P48:R48"/>
    <mergeCell ref="K30:L30"/>
    <mergeCell ref="N48:O48"/>
    <mergeCell ref="K33:L33"/>
    <mergeCell ref="K38:L38"/>
    <mergeCell ref="K36:L36"/>
    <mergeCell ref="Q37:W37"/>
    <mergeCell ref="R1:S1"/>
    <mergeCell ref="K26:L26"/>
    <mergeCell ref="K23:L23"/>
    <mergeCell ref="K15:L15"/>
    <mergeCell ref="K21:L21"/>
    <mergeCell ref="K14:L14"/>
    <mergeCell ref="A3:Z3"/>
    <mergeCell ref="C13:G13"/>
    <mergeCell ref="A4:Z4"/>
    <mergeCell ref="A5:Z5"/>
    <mergeCell ref="C16:I18"/>
    <mergeCell ref="E8:J8"/>
    <mergeCell ref="A6:Z6"/>
    <mergeCell ref="C20:I20"/>
    <mergeCell ref="K28:L28"/>
  </mergeCells>
  <phoneticPr fontId="4" type="noConversion"/>
  <printOptions horizontalCentered="1"/>
  <pageMargins left="0.39370078740157483" right="0.39370078740157483" top="0.59055118110236227" bottom="0.59055118110236227" header="0.51181102362204722" footer="0.51181102362204722"/>
  <pageSetup paperSize="9" scale="4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List Box 4">
              <controlPr locked="0" defaultSize="0" autoFill="0" autoLine="0" autoPict="0">
                <anchor moveWithCells="1">
                  <from>
                    <xdr:col>10</xdr:col>
                    <xdr:colOff>457200</xdr:colOff>
                    <xdr:row>7</xdr:row>
                    <xdr:rowOff>85725</xdr:rowOff>
                  </from>
                  <to>
                    <xdr:col>13</xdr:col>
                    <xdr:colOff>552450</xdr:colOff>
                    <xdr:row>10</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41"/>
  <sheetViews>
    <sheetView workbookViewId="0"/>
  </sheetViews>
  <sheetFormatPr defaultRowHeight="15" x14ac:dyDescent="0.2"/>
  <cols>
    <col min="2" max="2" width="8.42578125" style="26" customWidth="1"/>
    <col min="3" max="3" width="5.5703125" style="26" customWidth="1"/>
    <col min="4" max="4" width="8.140625" style="26" bestFit="1" customWidth="1"/>
    <col min="5" max="5" width="27" style="26" bestFit="1" customWidth="1"/>
    <col min="6" max="22" width="15.7109375" customWidth="1"/>
    <col min="23" max="61" width="16.7109375" customWidth="1"/>
  </cols>
  <sheetData>
    <row r="1" spans="1:61" ht="40.9" customHeight="1" thickBot="1" x14ac:dyDescent="0.25">
      <c r="A1" s="337"/>
      <c r="B1" s="76"/>
      <c r="C1" s="137"/>
      <c r="D1" s="343"/>
      <c r="E1" s="337"/>
      <c r="F1" s="419" t="s">
        <v>1036</v>
      </c>
      <c r="G1" s="420"/>
      <c r="H1" s="420"/>
      <c r="I1" s="421"/>
      <c r="J1" s="419" t="s">
        <v>1037</v>
      </c>
      <c r="K1" s="420"/>
      <c r="L1" s="420"/>
      <c r="M1" s="421"/>
      <c r="N1" s="419" t="s">
        <v>1038</v>
      </c>
      <c r="O1" s="420"/>
      <c r="P1" s="420"/>
      <c r="Q1" s="421"/>
      <c r="R1" s="419" t="s">
        <v>1039</v>
      </c>
      <c r="S1" s="420"/>
      <c r="T1" s="420"/>
      <c r="U1" s="421"/>
      <c r="V1" s="435" t="s">
        <v>1040</v>
      </c>
      <c r="W1" s="436"/>
      <c r="X1" s="436"/>
      <c r="Y1" s="437"/>
      <c r="Z1" s="319" t="s">
        <v>1041</v>
      </c>
      <c r="AA1" s="319" t="s">
        <v>1042</v>
      </c>
      <c r="AB1" s="319" t="s">
        <v>1043</v>
      </c>
      <c r="AC1" s="319" t="s">
        <v>1044</v>
      </c>
      <c r="AD1" s="319" t="s">
        <v>1045</v>
      </c>
      <c r="AE1" s="319" t="s">
        <v>1046</v>
      </c>
      <c r="AF1" s="319" t="s">
        <v>1047</v>
      </c>
      <c r="AG1" s="319" t="s">
        <v>1048</v>
      </c>
      <c r="AH1" s="319" t="s">
        <v>1049</v>
      </c>
      <c r="AI1" s="319" t="s">
        <v>1050</v>
      </c>
      <c r="AJ1" s="319" t="s">
        <v>1051</v>
      </c>
      <c r="AK1" s="319" t="s">
        <v>1052</v>
      </c>
      <c r="AL1" s="319" t="s">
        <v>1053</v>
      </c>
      <c r="AM1" s="319" t="s">
        <v>1054</v>
      </c>
      <c r="AN1" s="319" t="s">
        <v>1055</v>
      </c>
      <c r="AO1" s="319" t="s">
        <v>1056</v>
      </c>
      <c r="AP1" s="319" t="s">
        <v>1057</v>
      </c>
      <c r="AQ1" s="319" t="s">
        <v>1058</v>
      </c>
      <c r="AR1" s="319" t="s">
        <v>1059</v>
      </c>
      <c r="AS1" s="319" t="s">
        <v>1060</v>
      </c>
      <c r="AT1" s="319" t="s">
        <v>1058</v>
      </c>
      <c r="AU1" s="319" t="s">
        <v>1061</v>
      </c>
      <c r="AV1" s="319" t="s">
        <v>1060</v>
      </c>
      <c r="AW1" s="319" t="s">
        <v>1058</v>
      </c>
      <c r="AX1" s="319" t="s">
        <v>1062</v>
      </c>
      <c r="AY1" s="319" t="s">
        <v>1063</v>
      </c>
      <c r="AZ1" s="319" t="s">
        <v>1058</v>
      </c>
      <c r="BA1" s="319" t="s">
        <v>1064</v>
      </c>
      <c r="BB1" s="319" t="s">
        <v>1065</v>
      </c>
      <c r="BC1" s="319" t="s">
        <v>1066</v>
      </c>
      <c r="BD1" s="319" t="s">
        <v>1067</v>
      </c>
      <c r="BE1" s="319" t="s">
        <v>1065</v>
      </c>
      <c r="BF1" s="319" t="s">
        <v>1068</v>
      </c>
      <c r="BG1" s="319" t="s">
        <v>1069</v>
      </c>
      <c r="BH1" s="319" t="s">
        <v>1070</v>
      </c>
      <c r="BI1" s="319" t="s">
        <v>1066</v>
      </c>
    </row>
    <row r="2" spans="1:61" ht="14.25" thickTop="1" thickBot="1" x14ac:dyDescent="0.25">
      <c r="A2" s="337"/>
      <c r="B2" s="137"/>
      <c r="C2" s="33"/>
      <c r="D2" s="88"/>
      <c r="E2" s="124"/>
      <c r="F2" s="317"/>
      <c r="G2" s="318"/>
      <c r="H2" s="318"/>
      <c r="I2" s="318"/>
      <c r="J2" s="318"/>
      <c r="K2" s="318"/>
      <c r="L2" s="318"/>
      <c r="M2" s="318"/>
      <c r="N2" s="318"/>
      <c r="O2" s="318"/>
      <c r="P2" s="318"/>
      <c r="Q2" s="318"/>
      <c r="R2" s="318"/>
      <c r="S2" s="318"/>
      <c r="T2" s="318"/>
      <c r="U2" s="318"/>
      <c r="V2" s="321"/>
      <c r="W2" s="315"/>
      <c r="X2" s="315"/>
      <c r="Y2" s="315"/>
      <c r="Z2" s="315"/>
      <c r="AA2" s="315"/>
      <c r="AB2" s="315"/>
      <c r="AC2" s="315"/>
      <c r="AD2" s="315"/>
      <c r="AE2" s="315"/>
      <c r="AF2" s="315"/>
      <c r="AG2" s="315"/>
      <c r="AH2" s="316"/>
    </row>
    <row r="3" spans="1:61" ht="13.5" thickTop="1" x14ac:dyDescent="0.2">
      <c r="A3" s="338">
        <v>1</v>
      </c>
      <c r="B3" s="35">
        <v>2</v>
      </c>
      <c r="C3" s="35">
        <v>3</v>
      </c>
      <c r="D3" s="342">
        <v>4</v>
      </c>
      <c r="E3" s="35">
        <v>5</v>
      </c>
      <c r="F3" s="35">
        <v>6</v>
      </c>
      <c r="G3" s="342">
        <v>7</v>
      </c>
      <c r="H3" s="35">
        <v>8</v>
      </c>
      <c r="I3" s="35">
        <v>9</v>
      </c>
      <c r="J3" s="342">
        <v>10</v>
      </c>
      <c r="K3" s="35">
        <v>11</v>
      </c>
      <c r="L3" s="35">
        <v>12</v>
      </c>
      <c r="M3" s="342">
        <v>13</v>
      </c>
      <c r="N3" s="35">
        <v>14</v>
      </c>
      <c r="O3" s="35">
        <v>15</v>
      </c>
      <c r="P3" s="342">
        <v>16</v>
      </c>
      <c r="Q3" s="35">
        <v>17</v>
      </c>
      <c r="R3" s="35">
        <v>18</v>
      </c>
      <c r="S3" s="342">
        <v>19</v>
      </c>
      <c r="T3" s="35">
        <v>20</v>
      </c>
      <c r="U3" s="35">
        <v>21</v>
      </c>
      <c r="V3" s="342">
        <v>22</v>
      </c>
      <c r="W3" s="35">
        <v>23</v>
      </c>
      <c r="X3" s="35">
        <v>24</v>
      </c>
      <c r="Y3" s="342">
        <v>25</v>
      </c>
      <c r="Z3" s="35">
        <v>26</v>
      </c>
      <c r="AA3" s="35">
        <v>27</v>
      </c>
      <c r="AB3" s="342">
        <v>28</v>
      </c>
      <c r="AC3" s="35">
        <v>29</v>
      </c>
      <c r="AD3" s="35">
        <v>30</v>
      </c>
      <c r="AE3" s="342">
        <v>31</v>
      </c>
      <c r="AF3" s="35">
        <v>32</v>
      </c>
      <c r="AG3" s="35">
        <v>33</v>
      </c>
      <c r="AH3" s="342">
        <v>34</v>
      </c>
      <c r="AI3" s="35">
        <v>35</v>
      </c>
      <c r="AJ3" s="35">
        <v>36</v>
      </c>
      <c r="AK3" s="342">
        <v>37</v>
      </c>
      <c r="AL3" s="35">
        <v>38</v>
      </c>
      <c r="AM3" s="35">
        <v>39</v>
      </c>
      <c r="AN3" s="342">
        <v>40</v>
      </c>
      <c r="AO3" s="35">
        <v>41</v>
      </c>
      <c r="AP3" s="35">
        <v>42</v>
      </c>
      <c r="AQ3" s="342">
        <v>43</v>
      </c>
      <c r="AR3" s="35">
        <v>44</v>
      </c>
      <c r="AS3" s="35">
        <v>45</v>
      </c>
      <c r="AT3" s="342">
        <v>46</v>
      </c>
      <c r="AU3" s="35">
        <v>47</v>
      </c>
      <c r="AV3" s="35">
        <v>48</v>
      </c>
      <c r="AW3" s="342">
        <v>49</v>
      </c>
      <c r="AX3" s="35">
        <v>50</v>
      </c>
      <c r="AY3" s="35">
        <v>51</v>
      </c>
      <c r="AZ3" s="342">
        <v>52</v>
      </c>
      <c r="BA3" s="35">
        <v>53</v>
      </c>
      <c r="BB3" s="35">
        <v>54</v>
      </c>
      <c r="BC3" s="342">
        <v>55</v>
      </c>
      <c r="BD3" s="35">
        <v>56</v>
      </c>
      <c r="BE3" s="35">
        <v>57</v>
      </c>
      <c r="BF3" s="342">
        <v>58</v>
      </c>
      <c r="BG3" s="35">
        <v>59</v>
      </c>
      <c r="BH3" s="35">
        <v>60</v>
      </c>
      <c r="BI3" s="342">
        <v>61</v>
      </c>
    </row>
    <row r="4" spans="1:61" ht="13.5" thickBot="1" x14ac:dyDescent="0.25">
      <c r="A4" s="338"/>
      <c r="B4" s="334"/>
      <c r="C4" s="37"/>
      <c r="D4" s="88"/>
      <c r="E4" s="88"/>
      <c r="F4" s="114"/>
      <c r="G4" s="115"/>
      <c r="H4" s="115"/>
      <c r="I4" s="116"/>
      <c r="J4" s="116"/>
      <c r="K4" s="116"/>
      <c r="L4" s="116"/>
      <c r="M4" s="116"/>
      <c r="N4" s="116"/>
      <c r="O4" s="116"/>
      <c r="P4" s="116"/>
      <c r="Q4" s="116"/>
      <c r="R4" s="116"/>
      <c r="S4" s="116"/>
      <c r="T4" s="116"/>
      <c r="U4" s="117"/>
      <c r="V4" s="118"/>
      <c r="W4" s="116"/>
      <c r="X4" s="118"/>
      <c r="Y4" s="116"/>
      <c r="Z4" s="118"/>
      <c r="AA4" s="116"/>
      <c r="AB4" s="118"/>
      <c r="AC4" s="116"/>
      <c r="AD4" s="118"/>
      <c r="AE4" s="116"/>
      <c r="AF4" s="118"/>
      <c r="AG4" s="116"/>
      <c r="AH4" s="118"/>
      <c r="AI4" s="116"/>
      <c r="AJ4" s="118"/>
      <c r="AK4" s="116"/>
      <c r="AL4" s="118"/>
      <c r="AM4" s="116"/>
      <c r="AN4" s="118"/>
      <c r="AO4" s="116"/>
      <c r="AP4" s="118"/>
      <c r="AQ4" s="116"/>
      <c r="AR4" s="118"/>
      <c r="AS4" s="116"/>
      <c r="AT4" s="118"/>
      <c r="AU4" s="116"/>
      <c r="AV4" s="118"/>
      <c r="AW4" s="116"/>
      <c r="AX4" s="118"/>
      <c r="AY4" s="116"/>
      <c r="AZ4" s="118"/>
      <c r="BA4" s="116"/>
      <c r="BB4" s="118"/>
      <c r="BC4" s="116"/>
      <c r="BD4" s="118"/>
      <c r="BE4" s="116"/>
      <c r="BF4" s="118"/>
      <c r="BG4" s="116"/>
      <c r="BH4" s="118"/>
      <c r="BI4" s="116"/>
    </row>
    <row r="5" spans="1:61" s="125" customFormat="1" ht="13.5" thickBot="1" x14ac:dyDescent="0.25">
      <c r="A5" s="338"/>
      <c r="B5" s="112" t="s">
        <v>581</v>
      </c>
      <c r="C5" s="323" t="s">
        <v>1091</v>
      </c>
      <c r="D5" s="341" t="s">
        <v>1092</v>
      </c>
      <c r="E5" s="112" t="s">
        <v>580</v>
      </c>
      <c r="F5" s="129">
        <v>1</v>
      </c>
      <c r="G5" s="130">
        <v>2</v>
      </c>
      <c r="H5" s="130">
        <v>3</v>
      </c>
      <c r="I5" s="130">
        <v>4</v>
      </c>
      <c r="J5" s="130">
        <v>5</v>
      </c>
      <c r="K5" s="130">
        <v>6</v>
      </c>
      <c r="L5" s="130">
        <v>7</v>
      </c>
      <c r="M5" s="130">
        <v>8</v>
      </c>
      <c r="N5" s="130">
        <v>9</v>
      </c>
      <c r="O5" s="130">
        <v>10</v>
      </c>
      <c r="P5" s="130">
        <v>11</v>
      </c>
      <c r="Q5" s="130">
        <v>12</v>
      </c>
      <c r="R5" s="130">
        <v>13</v>
      </c>
      <c r="S5" s="130">
        <v>14</v>
      </c>
      <c r="T5" s="130">
        <v>15</v>
      </c>
      <c r="U5" s="130">
        <v>16</v>
      </c>
      <c r="V5" s="131">
        <v>17</v>
      </c>
      <c r="W5" s="130">
        <v>18</v>
      </c>
      <c r="X5" s="131">
        <v>19</v>
      </c>
      <c r="Y5" s="130">
        <v>20</v>
      </c>
      <c r="Z5" s="131">
        <v>21</v>
      </c>
      <c r="AA5" s="130">
        <v>22</v>
      </c>
      <c r="AB5" s="131">
        <v>23</v>
      </c>
      <c r="AC5" s="130">
        <v>24</v>
      </c>
      <c r="AD5" s="131">
        <v>25</v>
      </c>
      <c r="AE5" s="130">
        <v>26</v>
      </c>
      <c r="AF5" s="131">
        <v>27</v>
      </c>
      <c r="AG5" s="130">
        <v>28</v>
      </c>
      <c r="AH5" s="131">
        <v>29</v>
      </c>
      <c r="AI5" s="130">
        <v>30</v>
      </c>
      <c r="AJ5" s="131">
        <v>31</v>
      </c>
      <c r="AK5" s="130">
        <v>32</v>
      </c>
      <c r="AL5" s="131">
        <v>33</v>
      </c>
      <c r="AM5" s="130">
        <v>34</v>
      </c>
      <c r="AN5" s="131">
        <v>35</v>
      </c>
      <c r="AO5" s="130">
        <v>36</v>
      </c>
      <c r="AP5" s="131">
        <v>37</v>
      </c>
      <c r="AQ5" s="130">
        <v>38</v>
      </c>
      <c r="AR5" s="131">
        <v>39</v>
      </c>
      <c r="AS5" s="130">
        <v>40</v>
      </c>
      <c r="AT5" s="131">
        <v>41</v>
      </c>
      <c r="AU5" s="130">
        <v>42</v>
      </c>
      <c r="AV5" s="131">
        <v>43</v>
      </c>
      <c r="AW5" s="130">
        <v>44</v>
      </c>
      <c r="AX5" s="131">
        <v>45</v>
      </c>
      <c r="AY5" s="130">
        <v>46</v>
      </c>
      <c r="AZ5" s="131">
        <v>47</v>
      </c>
      <c r="BA5" s="130">
        <v>48</v>
      </c>
      <c r="BB5" s="131">
        <v>49</v>
      </c>
      <c r="BC5" s="130">
        <v>50</v>
      </c>
      <c r="BD5" s="131">
        <v>51</v>
      </c>
      <c r="BE5" s="130">
        <v>52</v>
      </c>
      <c r="BF5" s="131">
        <v>53</v>
      </c>
      <c r="BG5" s="130">
        <v>54</v>
      </c>
      <c r="BH5" s="131">
        <v>55</v>
      </c>
      <c r="BI5" s="130">
        <v>56</v>
      </c>
    </row>
    <row r="6" spans="1:61" s="125" customFormat="1" ht="13.5" thickBot="1" x14ac:dyDescent="0.25">
      <c r="A6" s="339"/>
      <c r="B6" s="335"/>
      <c r="C6" s="113"/>
      <c r="D6" s="91"/>
      <c r="E6" s="113"/>
      <c r="F6" s="129">
        <v>1</v>
      </c>
      <c r="G6" s="130">
        <v>2</v>
      </c>
      <c r="H6" s="130">
        <v>3</v>
      </c>
      <c r="I6" s="130">
        <v>4</v>
      </c>
      <c r="J6" s="129">
        <v>1</v>
      </c>
      <c r="K6" s="130">
        <v>2</v>
      </c>
      <c r="L6" s="130">
        <v>3</v>
      </c>
      <c r="M6" s="130">
        <v>4</v>
      </c>
      <c r="N6" s="129">
        <v>1</v>
      </c>
      <c r="O6" s="130">
        <v>2</v>
      </c>
      <c r="P6" s="130">
        <v>3</v>
      </c>
      <c r="Q6" s="130">
        <v>4</v>
      </c>
      <c r="R6" s="129">
        <v>1</v>
      </c>
      <c r="S6" s="130">
        <v>2</v>
      </c>
      <c r="T6" s="130">
        <v>3</v>
      </c>
      <c r="U6" s="130">
        <v>4</v>
      </c>
      <c r="V6" s="134">
        <v>1</v>
      </c>
      <c r="W6" s="133">
        <v>2</v>
      </c>
      <c r="X6" s="133">
        <v>3</v>
      </c>
      <c r="Y6" s="133">
        <v>4</v>
      </c>
      <c r="Z6" s="133">
        <v>1</v>
      </c>
      <c r="AA6" s="134">
        <v>1</v>
      </c>
      <c r="AB6" s="133">
        <v>1</v>
      </c>
      <c r="AC6" s="133">
        <v>1</v>
      </c>
      <c r="AD6" s="134">
        <v>1</v>
      </c>
      <c r="AE6" s="133">
        <v>1</v>
      </c>
      <c r="AF6" s="133">
        <v>1</v>
      </c>
      <c r="AG6" s="134">
        <v>1</v>
      </c>
      <c r="AH6" s="133">
        <v>1</v>
      </c>
      <c r="AI6" s="133">
        <v>1</v>
      </c>
      <c r="AJ6" s="134">
        <v>1</v>
      </c>
      <c r="AK6" s="133">
        <v>1</v>
      </c>
      <c r="AL6" s="133">
        <v>1</v>
      </c>
      <c r="AM6" s="134">
        <v>1</v>
      </c>
      <c r="AN6" s="133">
        <v>1</v>
      </c>
      <c r="AO6" s="133">
        <v>1</v>
      </c>
      <c r="AP6" s="134">
        <v>1</v>
      </c>
      <c r="AQ6" s="133">
        <v>1</v>
      </c>
      <c r="AR6" s="133">
        <v>1</v>
      </c>
      <c r="AS6" s="134">
        <v>1</v>
      </c>
      <c r="AT6" s="133">
        <v>1</v>
      </c>
      <c r="AU6" s="133">
        <v>1</v>
      </c>
      <c r="AV6" s="134">
        <v>1</v>
      </c>
      <c r="AW6" s="133">
        <v>1</v>
      </c>
      <c r="AX6" s="133">
        <v>1</v>
      </c>
      <c r="AY6" s="134">
        <v>1</v>
      </c>
      <c r="AZ6" s="133">
        <v>1</v>
      </c>
      <c r="BA6" s="133">
        <v>1</v>
      </c>
      <c r="BB6" s="134">
        <v>1</v>
      </c>
      <c r="BC6" s="133">
        <v>1</v>
      </c>
      <c r="BD6" s="133">
        <v>1</v>
      </c>
      <c r="BE6" s="134">
        <v>1</v>
      </c>
      <c r="BF6" s="133">
        <v>1</v>
      </c>
      <c r="BG6" s="133">
        <v>1</v>
      </c>
      <c r="BH6" s="134">
        <v>1</v>
      </c>
      <c r="BI6" s="133">
        <v>1</v>
      </c>
    </row>
    <row r="7" spans="1:61" ht="13.5" thickBot="1" x14ac:dyDescent="0.25">
      <c r="A7" s="77"/>
      <c r="B7" s="77"/>
      <c r="C7" s="78"/>
      <c r="D7" s="85"/>
      <c r="E7" s="329"/>
      <c r="F7" s="119"/>
      <c r="G7" s="120"/>
      <c r="H7" s="120"/>
      <c r="I7" s="121"/>
      <c r="J7" s="122"/>
      <c r="K7" s="121"/>
      <c r="L7" s="121"/>
      <c r="M7" s="121"/>
      <c r="N7" s="121"/>
      <c r="O7" s="121"/>
      <c r="P7" s="121"/>
      <c r="Q7" s="121"/>
      <c r="R7" s="121"/>
      <c r="S7" s="121"/>
      <c r="T7" s="121"/>
      <c r="U7" s="121"/>
      <c r="V7" s="123"/>
      <c r="W7" s="121"/>
      <c r="X7" s="121"/>
      <c r="Y7" s="121"/>
      <c r="Z7" s="121"/>
      <c r="AA7" s="123"/>
      <c r="AB7" s="121"/>
      <c r="AC7" s="121"/>
      <c r="AD7" s="123"/>
      <c r="AE7" s="121"/>
      <c r="AF7" s="121"/>
      <c r="AG7" s="123"/>
      <c r="AH7" s="121"/>
      <c r="AI7" s="121"/>
      <c r="AJ7" s="123"/>
      <c r="AK7" s="121"/>
      <c r="AL7" s="121"/>
      <c r="AM7" s="123"/>
      <c r="AN7" s="121"/>
      <c r="AO7" s="121"/>
      <c r="AP7" s="123"/>
      <c r="AQ7" s="121"/>
      <c r="AR7" s="121"/>
      <c r="AS7" s="123"/>
      <c r="AT7" s="121"/>
      <c r="AU7" s="121"/>
      <c r="AV7" s="123"/>
      <c r="AW7" s="121"/>
      <c r="AX7" s="121"/>
      <c r="AY7" s="123"/>
      <c r="AZ7" s="121"/>
      <c r="BA7" s="121"/>
      <c r="BB7" s="123"/>
      <c r="BC7" s="121"/>
      <c r="BD7" s="121"/>
      <c r="BE7" s="123"/>
      <c r="BF7" s="121"/>
      <c r="BG7" s="121"/>
      <c r="BH7" s="123"/>
      <c r="BI7" s="121"/>
    </row>
    <row r="8" spans="1:61" ht="12.75" x14ac:dyDescent="0.2">
      <c r="A8" s="446">
        <v>1</v>
      </c>
      <c r="B8" s="447" t="s">
        <v>583</v>
      </c>
      <c r="C8" s="448" t="s">
        <v>1093</v>
      </c>
      <c r="D8" s="449" t="s">
        <v>1094</v>
      </c>
      <c r="E8" s="450" t="s">
        <v>582</v>
      </c>
      <c r="F8" s="457">
        <v>17209579</v>
      </c>
      <c r="G8" s="457">
        <v>0</v>
      </c>
      <c r="H8" s="457">
        <v>0</v>
      </c>
      <c r="I8" s="457">
        <v>17209579</v>
      </c>
      <c r="J8" s="457">
        <v>16627384</v>
      </c>
      <c r="K8" s="457">
        <v>0</v>
      </c>
      <c r="L8" s="457">
        <v>0</v>
      </c>
      <c r="M8" s="457">
        <v>16627384</v>
      </c>
      <c r="N8" s="457">
        <v>582195</v>
      </c>
      <c r="O8" s="457">
        <v>0</v>
      </c>
      <c r="P8" s="457">
        <v>0</v>
      </c>
      <c r="Q8" s="457">
        <v>582195</v>
      </c>
      <c r="R8" s="457">
        <v>70973</v>
      </c>
      <c r="S8" s="457">
        <v>0</v>
      </c>
      <c r="T8" s="457">
        <v>0</v>
      </c>
      <c r="U8" s="457">
        <v>70973</v>
      </c>
      <c r="V8" s="457">
        <v>511222</v>
      </c>
      <c r="W8" s="457">
        <v>0</v>
      </c>
      <c r="X8" s="457">
        <v>0</v>
      </c>
      <c r="Y8" s="457">
        <v>511222</v>
      </c>
      <c r="Z8" s="457">
        <v>84623</v>
      </c>
      <c r="AA8" s="457">
        <v>84623</v>
      </c>
      <c r="AB8" s="457">
        <v>0</v>
      </c>
      <c r="AC8" s="457">
        <v>0</v>
      </c>
      <c r="AD8" s="457">
        <v>0</v>
      </c>
      <c r="AE8" s="457">
        <v>0</v>
      </c>
      <c r="AF8" s="457">
        <v>0</v>
      </c>
      <c r="AG8" s="457">
        <v>0</v>
      </c>
      <c r="AH8" s="457">
        <v>0</v>
      </c>
      <c r="AI8" s="457">
        <v>0</v>
      </c>
      <c r="AJ8" s="457">
        <v>0</v>
      </c>
      <c r="AK8" s="457">
        <v>0</v>
      </c>
      <c r="AL8" s="457">
        <v>0</v>
      </c>
      <c r="AM8" s="457">
        <v>0</v>
      </c>
      <c r="AN8" s="457">
        <v>0</v>
      </c>
      <c r="AO8" s="457">
        <v>0</v>
      </c>
      <c r="AP8" s="457">
        <v>0</v>
      </c>
      <c r="AQ8" s="457">
        <v>0</v>
      </c>
      <c r="AR8" s="457">
        <v>0</v>
      </c>
      <c r="AS8" s="457">
        <v>0</v>
      </c>
      <c r="AT8" s="457">
        <v>0</v>
      </c>
      <c r="AU8" s="457">
        <v>0</v>
      </c>
      <c r="AV8" s="457">
        <v>0</v>
      </c>
      <c r="AW8" s="457">
        <v>0</v>
      </c>
      <c r="AX8" s="457">
        <v>0</v>
      </c>
      <c r="AY8" s="457">
        <v>0</v>
      </c>
      <c r="AZ8" s="457">
        <v>0</v>
      </c>
      <c r="BA8" s="457">
        <v>221970</v>
      </c>
      <c r="BB8" s="457">
        <v>192236</v>
      </c>
      <c r="BC8" s="457">
        <v>29734</v>
      </c>
      <c r="BD8" s="457">
        <v>55492</v>
      </c>
      <c r="BE8" s="457">
        <v>48059</v>
      </c>
      <c r="BF8" s="457">
        <v>7433</v>
      </c>
      <c r="BG8" s="457">
        <v>0</v>
      </c>
      <c r="BH8" s="457">
        <v>0</v>
      </c>
      <c r="BI8" s="457">
        <v>0</v>
      </c>
    </row>
    <row r="9" spans="1:61" ht="12.75" x14ac:dyDescent="0.2">
      <c r="A9" s="446">
        <v>2</v>
      </c>
      <c r="B9" s="447" t="s">
        <v>585</v>
      </c>
      <c r="C9" s="448" t="s">
        <v>1093</v>
      </c>
      <c r="D9" s="449" t="s">
        <v>1095</v>
      </c>
      <c r="E9" s="450" t="s">
        <v>584</v>
      </c>
      <c r="F9" s="457">
        <v>32357059</v>
      </c>
      <c r="G9" s="457">
        <v>0</v>
      </c>
      <c r="H9" s="457">
        <v>0</v>
      </c>
      <c r="I9" s="457">
        <v>32357059</v>
      </c>
      <c r="J9" s="457">
        <v>32436347</v>
      </c>
      <c r="K9" s="457">
        <v>0</v>
      </c>
      <c r="L9" s="457">
        <v>0</v>
      </c>
      <c r="M9" s="457">
        <v>32436347</v>
      </c>
      <c r="N9" s="457">
        <v>-79288</v>
      </c>
      <c r="O9" s="457">
        <v>0</v>
      </c>
      <c r="P9" s="457">
        <v>0</v>
      </c>
      <c r="Q9" s="457">
        <v>-79288</v>
      </c>
      <c r="R9" s="457">
        <v>175867</v>
      </c>
      <c r="S9" s="457">
        <v>0</v>
      </c>
      <c r="T9" s="457">
        <v>0</v>
      </c>
      <c r="U9" s="457">
        <v>175867</v>
      </c>
      <c r="V9" s="457">
        <v>-255155</v>
      </c>
      <c r="W9" s="457">
        <v>0</v>
      </c>
      <c r="X9" s="457">
        <v>0</v>
      </c>
      <c r="Y9" s="457">
        <v>-255155</v>
      </c>
      <c r="Z9" s="457">
        <v>182676</v>
      </c>
      <c r="AA9" s="457">
        <v>182676</v>
      </c>
      <c r="AB9" s="457">
        <v>0</v>
      </c>
      <c r="AC9" s="457">
        <v>0</v>
      </c>
      <c r="AD9" s="457">
        <v>0</v>
      </c>
      <c r="AE9" s="457">
        <v>0</v>
      </c>
      <c r="AF9" s="457">
        <v>0</v>
      </c>
      <c r="AG9" s="457">
        <v>0</v>
      </c>
      <c r="AH9" s="457">
        <v>0</v>
      </c>
      <c r="AI9" s="457">
        <v>151152</v>
      </c>
      <c r="AJ9" s="457">
        <v>0</v>
      </c>
      <c r="AK9" s="457">
        <v>151152</v>
      </c>
      <c r="AL9" s="457">
        <v>0</v>
      </c>
      <c r="AM9" s="457">
        <v>0</v>
      </c>
      <c r="AN9" s="457">
        <v>0</v>
      </c>
      <c r="AO9" s="457">
        <v>0</v>
      </c>
      <c r="AP9" s="457">
        <v>0</v>
      </c>
      <c r="AQ9" s="457">
        <v>0</v>
      </c>
      <c r="AR9" s="457">
        <v>0</v>
      </c>
      <c r="AS9" s="457">
        <v>0</v>
      </c>
      <c r="AT9" s="457">
        <v>0</v>
      </c>
      <c r="AU9" s="457">
        <v>0</v>
      </c>
      <c r="AV9" s="457">
        <v>0</v>
      </c>
      <c r="AW9" s="457">
        <v>0</v>
      </c>
      <c r="AX9" s="457">
        <v>0</v>
      </c>
      <c r="AY9" s="457">
        <v>0</v>
      </c>
      <c r="AZ9" s="457">
        <v>0</v>
      </c>
      <c r="BA9" s="457">
        <v>613720</v>
      </c>
      <c r="BB9" s="457">
        <v>511846</v>
      </c>
      <c r="BC9" s="457">
        <v>101874</v>
      </c>
      <c r="BD9" s="457">
        <v>153430</v>
      </c>
      <c r="BE9" s="457">
        <v>127961</v>
      </c>
      <c r="BF9" s="457">
        <v>25469</v>
      </c>
      <c r="BG9" s="457">
        <v>0</v>
      </c>
      <c r="BH9" s="457">
        <v>0</v>
      </c>
      <c r="BI9" s="457">
        <v>0</v>
      </c>
    </row>
    <row r="10" spans="1:61" ht="12.75" x14ac:dyDescent="0.2">
      <c r="A10" s="446">
        <v>3</v>
      </c>
      <c r="B10" s="447" t="s">
        <v>587</v>
      </c>
      <c r="C10" s="448" t="s">
        <v>1093</v>
      </c>
      <c r="D10" s="449" t="s">
        <v>1096</v>
      </c>
      <c r="E10" s="450" t="s">
        <v>586</v>
      </c>
      <c r="F10" s="457">
        <v>30621609</v>
      </c>
      <c r="G10" s="457">
        <v>0</v>
      </c>
      <c r="H10" s="457">
        <v>0</v>
      </c>
      <c r="I10" s="457">
        <v>30621609</v>
      </c>
      <c r="J10" s="457">
        <v>30662158</v>
      </c>
      <c r="K10" s="457">
        <v>0</v>
      </c>
      <c r="L10" s="457">
        <v>0</v>
      </c>
      <c r="M10" s="457">
        <v>30662158</v>
      </c>
      <c r="N10" s="457">
        <v>-40549</v>
      </c>
      <c r="O10" s="457">
        <v>0</v>
      </c>
      <c r="P10" s="457">
        <v>0</v>
      </c>
      <c r="Q10" s="457">
        <v>-40549</v>
      </c>
      <c r="R10" s="457">
        <v>48245</v>
      </c>
      <c r="S10" s="457">
        <v>0</v>
      </c>
      <c r="T10" s="457">
        <v>0</v>
      </c>
      <c r="U10" s="457">
        <v>48245</v>
      </c>
      <c r="V10" s="457">
        <v>-88794</v>
      </c>
      <c r="W10" s="457">
        <v>0</v>
      </c>
      <c r="X10" s="457">
        <v>0</v>
      </c>
      <c r="Y10" s="457">
        <v>-88794</v>
      </c>
      <c r="Z10" s="457">
        <v>154747</v>
      </c>
      <c r="AA10" s="457">
        <v>154747</v>
      </c>
      <c r="AB10" s="457">
        <v>0</v>
      </c>
      <c r="AC10" s="457">
        <v>0</v>
      </c>
      <c r="AD10" s="457">
        <v>0</v>
      </c>
      <c r="AE10" s="457">
        <v>0</v>
      </c>
      <c r="AF10" s="457">
        <v>0</v>
      </c>
      <c r="AG10" s="457">
        <v>0</v>
      </c>
      <c r="AH10" s="457">
        <v>0</v>
      </c>
      <c r="AI10" s="457">
        <v>0</v>
      </c>
      <c r="AJ10" s="457">
        <v>0</v>
      </c>
      <c r="AK10" s="457">
        <v>0</v>
      </c>
      <c r="AL10" s="457">
        <v>0</v>
      </c>
      <c r="AM10" s="457">
        <v>0</v>
      </c>
      <c r="AN10" s="457">
        <v>0</v>
      </c>
      <c r="AO10" s="457">
        <v>0</v>
      </c>
      <c r="AP10" s="457">
        <v>0</v>
      </c>
      <c r="AQ10" s="457">
        <v>0</v>
      </c>
      <c r="AR10" s="457">
        <v>0</v>
      </c>
      <c r="AS10" s="457">
        <v>0</v>
      </c>
      <c r="AT10" s="457">
        <v>0</v>
      </c>
      <c r="AU10" s="457">
        <v>0</v>
      </c>
      <c r="AV10" s="457">
        <v>0</v>
      </c>
      <c r="AW10" s="457">
        <v>0</v>
      </c>
      <c r="AX10" s="457">
        <v>0</v>
      </c>
      <c r="AY10" s="457">
        <v>0</v>
      </c>
      <c r="AZ10" s="457">
        <v>0</v>
      </c>
      <c r="BA10" s="457">
        <v>498667</v>
      </c>
      <c r="BB10" s="457">
        <v>427663</v>
      </c>
      <c r="BC10" s="457">
        <v>71004</v>
      </c>
      <c r="BD10" s="457">
        <v>112200</v>
      </c>
      <c r="BE10" s="457">
        <v>96224</v>
      </c>
      <c r="BF10" s="457">
        <v>15976</v>
      </c>
      <c r="BG10" s="457">
        <v>12467</v>
      </c>
      <c r="BH10" s="457">
        <v>10692</v>
      </c>
      <c r="BI10" s="457">
        <v>1775</v>
      </c>
    </row>
    <row r="11" spans="1:61" ht="12.75" x14ac:dyDescent="0.2">
      <c r="A11" s="446">
        <v>4</v>
      </c>
      <c r="B11" s="447" t="s">
        <v>589</v>
      </c>
      <c r="C11" s="448" t="s">
        <v>1093</v>
      </c>
      <c r="D11" s="449" t="s">
        <v>1094</v>
      </c>
      <c r="E11" s="450" t="s">
        <v>588</v>
      </c>
      <c r="F11" s="457">
        <v>33543975</v>
      </c>
      <c r="G11" s="457">
        <v>0</v>
      </c>
      <c r="H11" s="457">
        <v>0</v>
      </c>
      <c r="I11" s="457">
        <v>33543975</v>
      </c>
      <c r="J11" s="457">
        <v>33737826</v>
      </c>
      <c r="K11" s="457">
        <v>0</v>
      </c>
      <c r="L11" s="457">
        <v>0</v>
      </c>
      <c r="M11" s="457">
        <v>33737826</v>
      </c>
      <c r="N11" s="457">
        <v>-193851</v>
      </c>
      <c r="O11" s="457">
        <v>0</v>
      </c>
      <c r="P11" s="457">
        <v>0</v>
      </c>
      <c r="Q11" s="457">
        <v>-193851</v>
      </c>
      <c r="R11" s="457">
        <v>9266</v>
      </c>
      <c r="S11" s="457">
        <v>0</v>
      </c>
      <c r="T11" s="457">
        <v>0</v>
      </c>
      <c r="U11" s="457">
        <v>9266</v>
      </c>
      <c r="V11" s="457">
        <v>-203117</v>
      </c>
      <c r="W11" s="457">
        <v>0</v>
      </c>
      <c r="X11" s="457">
        <v>0</v>
      </c>
      <c r="Y11" s="457">
        <v>-203117</v>
      </c>
      <c r="Z11" s="457">
        <v>173257</v>
      </c>
      <c r="AA11" s="457">
        <v>173257</v>
      </c>
      <c r="AB11" s="457">
        <v>0</v>
      </c>
      <c r="AC11" s="457">
        <v>0</v>
      </c>
      <c r="AD11" s="457">
        <v>0</v>
      </c>
      <c r="AE11" s="457">
        <v>0</v>
      </c>
      <c r="AF11" s="457">
        <v>0</v>
      </c>
      <c r="AG11" s="457">
        <v>0</v>
      </c>
      <c r="AH11" s="457">
        <v>0</v>
      </c>
      <c r="AI11" s="457">
        <v>0</v>
      </c>
      <c r="AJ11" s="457">
        <v>0</v>
      </c>
      <c r="AK11" s="457">
        <v>0</v>
      </c>
      <c r="AL11" s="457">
        <v>0</v>
      </c>
      <c r="AM11" s="457">
        <v>0</v>
      </c>
      <c r="AN11" s="457">
        <v>0</v>
      </c>
      <c r="AO11" s="457">
        <v>0</v>
      </c>
      <c r="AP11" s="457">
        <v>0</v>
      </c>
      <c r="AQ11" s="457">
        <v>0</v>
      </c>
      <c r="AR11" s="457">
        <v>0</v>
      </c>
      <c r="AS11" s="457">
        <v>0</v>
      </c>
      <c r="AT11" s="457">
        <v>0</v>
      </c>
      <c r="AU11" s="457">
        <v>0</v>
      </c>
      <c r="AV11" s="457">
        <v>0</v>
      </c>
      <c r="AW11" s="457">
        <v>0</v>
      </c>
      <c r="AX11" s="457">
        <v>0</v>
      </c>
      <c r="AY11" s="457">
        <v>0</v>
      </c>
      <c r="AZ11" s="457">
        <v>0</v>
      </c>
      <c r="BA11" s="457">
        <v>596213</v>
      </c>
      <c r="BB11" s="457">
        <v>515878</v>
      </c>
      <c r="BC11" s="457">
        <v>80335</v>
      </c>
      <c r="BD11" s="457">
        <v>149053</v>
      </c>
      <c r="BE11" s="457">
        <v>128969</v>
      </c>
      <c r="BF11" s="457">
        <v>20084</v>
      </c>
      <c r="BG11" s="457">
        <v>0</v>
      </c>
      <c r="BH11" s="457">
        <v>0</v>
      </c>
      <c r="BI11" s="457">
        <v>0</v>
      </c>
    </row>
    <row r="12" spans="1:61" ht="12.75" x14ac:dyDescent="0.2">
      <c r="A12" s="446">
        <v>5</v>
      </c>
      <c r="B12" s="447" t="s">
        <v>591</v>
      </c>
      <c r="C12" s="448" t="s">
        <v>1093</v>
      </c>
      <c r="D12" s="449" t="s">
        <v>1096</v>
      </c>
      <c r="E12" s="450" t="s">
        <v>590</v>
      </c>
      <c r="F12" s="457">
        <v>36788579</v>
      </c>
      <c r="G12" s="457">
        <v>0</v>
      </c>
      <c r="H12" s="457">
        <v>0</v>
      </c>
      <c r="I12" s="457">
        <v>36788579</v>
      </c>
      <c r="J12" s="457">
        <v>36938965.799999997</v>
      </c>
      <c r="K12" s="457">
        <v>0</v>
      </c>
      <c r="L12" s="457">
        <v>0</v>
      </c>
      <c r="M12" s="457">
        <v>36938965.799999997</v>
      </c>
      <c r="N12" s="457">
        <v>-150386.78</v>
      </c>
      <c r="O12" s="457">
        <v>0</v>
      </c>
      <c r="P12" s="457">
        <v>0</v>
      </c>
      <c r="Q12" s="457">
        <v>-150386.78</v>
      </c>
      <c r="R12" s="457">
        <v>-11037</v>
      </c>
      <c r="S12" s="457">
        <v>0</v>
      </c>
      <c r="T12" s="457">
        <v>0</v>
      </c>
      <c r="U12" s="457">
        <v>-11037</v>
      </c>
      <c r="V12" s="457">
        <v>-139350</v>
      </c>
      <c r="W12" s="457">
        <v>0</v>
      </c>
      <c r="X12" s="457">
        <v>0</v>
      </c>
      <c r="Y12" s="457">
        <v>-139350</v>
      </c>
      <c r="Z12" s="457">
        <v>127890</v>
      </c>
      <c r="AA12" s="457">
        <v>127890</v>
      </c>
      <c r="AB12" s="457">
        <v>0</v>
      </c>
      <c r="AC12" s="457">
        <v>0</v>
      </c>
      <c r="AD12" s="457">
        <v>0</v>
      </c>
      <c r="AE12" s="457">
        <v>0</v>
      </c>
      <c r="AF12" s="457">
        <v>0</v>
      </c>
      <c r="AG12" s="457">
        <v>0</v>
      </c>
      <c r="AH12" s="457">
        <v>0</v>
      </c>
      <c r="AI12" s="457">
        <v>0</v>
      </c>
      <c r="AJ12" s="457">
        <v>0</v>
      </c>
      <c r="AK12" s="457">
        <v>0</v>
      </c>
      <c r="AL12" s="457">
        <v>0</v>
      </c>
      <c r="AM12" s="457">
        <v>0</v>
      </c>
      <c r="AN12" s="457">
        <v>0</v>
      </c>
      <c r="AO12" s="457">
        <v>0</v>
      </c>
      <c r="AP12" s="457">
        <v>0</v>
      </c>
      <c r="AQ12" s="457">
        <v>0</v>
      </c>
      <c r="AR12" s="457">
        <v>0</v>
      </c>
      <c r="AS12" s="457">
        <v>0</v>
      </c>
      <c r="AT12" s="457">
        <v>0</v>
      </c>
      <c r="AU12" s="457">
        <v>0</v>
      </c>
      <c r="AV12" s="457">
        <v>0</v>
      </c>
      <c r="AW12" s="457">
        <v>0</v>
      </c>
      <c r="AX12" s="457">
        <v>0</v>
      </c>
      <c r="AY12" s="457">
        <v>0</v>
      </c>
      <c r="AZ12" s="457">
        <v>0</v>
      </c>
      <c r="BA12" s="457">
        <v>342358</v>
      </c>
      <c r="BB12" s="457">
        <v>296722</v>
      </c>
      <c r="BC12" s="457">
        <v>45636</v>
      </c>
      <c r="BD12" s="457">
        <v>77030</v>
      </c>
      <c r="BE12" s="457">
        <v>66763</v>
      </c>
      <c r="BF12" s="457">
        <v>10267</v>
      </c>
      <c r="BG12" s="457">
        <v>8559</v>
      </c>
      <c r="BH12" s="457">
        <v>7418</v>
      </c>
      <c r="BI12" s="457">
        <v>1141</v>
      </c>
    </row>
    <row r="13" spans="1:61" ht="12.75" x14ac:dyDescent="0.2">
      <c r="A13" s="446">
        <v>6</v>
      </c>
      <c r="B13" s="447" t="s">
        <v>593</v>
      </c>
      <c r="C13" s="448" t="s">
        <v>1093</v>
      </c>
      <c r="D13" s="449" t="s">
        <v>1094</v>
      </c>
      <c r="E13" s="450" t="s">
        <v>592</v>
      </c>
      <c r="F13" s="457">
        <v>299207</v>
      </c>
      <c r="G13" s="457">
        <v>0</v>
      </c>
      <c r="H13" s="457">
        <v>0</v>
      </c>
      <c r="I13" s="457">
        <v>299207</v>
      </c>
      <c r="J13" s="457">
        <v>101648</v>
      </c>
      <c r="K13" s="457">
        <v>0</v>
      </c>
      <c r="L13" s="457">
        <v>0</v>
      </c>
      <c r="M13" s="457">
        <v>101648</v>
      </c>
      <c r="N13" s="457">
        <v>197559</v>
      </c>
      <c r="O13" s="457">
        <v>0</v>
      </c>
      <c r="P13" s="457">
        <v>0</v>
      </c>
      <c r="Q13" s="457">
        <v>197559</v>
      </c>
      <c r="R13" s="457">
        <v>11104</v>
      </c>
      <c r="S13" s="457">
        <v>0</v>
      </c>
      <c r="T13" s="457">
        <v>0</v>
      </c>
      <c r="U13" s="457">
        <v>11104</v>
      </c>
      <c r="V13" s="457">
        <v>186455</v>
      </c>
      <c r="W13" s="457">
        <v>0</v>
      </c>
      <c r="X13" s="457">
        <v>0</v>
      </c>
      <c r="Y13" s="457">
        <v>186455</v>
      </c>
      <c r="Z13" s="457">
        <v>179047</v>
      </c>
      <c r="AA13" s="457">
        <v>179047</v>
      </c>
      <c r="AB13" s="457">
        <v>0</v>
      </c>
      <c r="AC13" s="457">
        <v>0</v>
      </c>
      <c r="AD13" s="457">
        <v>0</v>
      </c>
      <c r="AE13" s="457">
        <v>0</v>
      </c>
      <c r="AF13" s="457">
        <v>0</v>
      </c>
      <c r="AG13" s="457">
        <v>0</v>
      </c>
      <c r="AH13" s="457">
        <v>0</v>
      </c>
      <c r="AI13" s="457">
        <v>0</v>
      </c>
      <c r="AJ13" s="457">
        <v>0</v>
      </c>
      <c r="AK13" s="457">
        <v>0</v>
      </c>
      <c r="AL13" s="457">
        <v>0</v>
      </c>
      <c r="AM13" s="457">
        <v>0</v>
      </c>
      <c r="AN13" s="457">
        <v>0</v>
      </c>
      <c r="AO13" s="457">
        <v>0</v>
      </c>
      <c r="AP13" s="457">
        <v>0</v>
      </c>
      <c r="AQ13" s="457">
        <v>0</v>
      </c>
      <c r="AR13" s="457">
        <v>0</v>
      </c>
      <c r="AS13" s="457">
        <v>0</v>
      </c>
      <c r="AT13" s="457">
        <v>0</v>
      </c>
      <c r="AU13" s="457">
        <v>0</v>
      </c>
      <c r="AV13" s="457">
        <v>0</v>
      </c>
      <c r="AW13" s="457">
        <v>0</v>
      </c>
      <c r="AX13" s="457">
        <v>0</v>
      </c>
      <c r="AY13" s="457">
        <v>0</v>
      </c>
      <c r="AZ13" s="457">
        <v>0</v>
      </c>
      <c r="BA13" s="457">
        <v>470305</v>
      </c>
      <c r="BB13" s="457">
        <v>388457</v>
      </c>
      <c r="BC13" s="457">
        <v>81848</v>
      </c>
      <c r="BD13" s="457">
        <v>105819</v>
      </c>
      <c r="BE13" s="457">
        <v>87403</v>
      </c>
      <c r="BF13" s="457">
        <v>18416</v>
      </c>
      <c r="BG13" s="457">
        <v>11758</v>
      </c>
      <c r="BH13" s="457">
        <v>9711</v>
      </c>
      <c r="BI13" s="457">
        <v>2047</v>
      </c>
    </row>
    <row r="14" spans="1:61" ht="12.75" x14ac:dyDescent="0.2">
      <c r="A14" s="446">
        <v>7</v>
      </c>
      <c r="B14" s="447" t="s">
        <v>595</v>
      </c>
      <c r="C14" s="448" t="s">
        <v>1093</v>
      </c>
      <c r="D14" s="449" t="s">
        <v>1094</v>
      </c>
      <c r="E14" s="450" t="s">
        <v>594</v>
      </c>
      <c r="F14" s="457">
        <v>58524906</v>
      </c>
      <c r="G14" s="457">
        <v>0</v>
      </c>
      <c r="H14" s="457">
        <v>0</v>
      </c>
      <c r="I14" s="457">
        <v>58524906</v>
      </c>
      <c r="J14" s="457">
        <v>58284052</v>
      </c>
      <c r="K14" s="457">
        <v>0</v>
      </c>
      <c r="L14" s="457">
        <v>0</v>
      </c>
      <c r="M14" s="457">
        <v>58284052</v>
      </c>
      <c r="N14" s="457">
        <v>240854</v>
      </c>
      <c r="O14" s="457">
        <v>0</v>
      </c>
      <c r="P14" s="457">
        <v>0</v>
      </c>
      <c r="Q14" s="457">
        <v>240854</v>
      </c>
      <c r="R14" s="457">
        <v>-66922</v>
      </c>
      <c r="S14" s="457">
        <v>0</v>
      </c>
      <c r="T14" s="457">
        <v>0</v>
      </c>
      <c r="U14" s="457">
        <v>-66922</v>
      </c>
      <c r="V14" s="457">
        <v>307776</v>
      </c>
      <c r="W14" s="457">
        <v>0</v>
      </c>
      <c r="X14" s="457">
        <v>0</v>
      </c>
      <c r="Y14" s="457">
        <v>307776</v>
      </c>
      <c r="Z14" s="457">
        <v>223664</v>
      </c>
      <c r="AA14" s="457">
        <v>223664</v>
      </c>
      <c r="AB14" s="457">
        <v>0</v>
      </c>
      <c r="AC14" s="457">
        <v>0</v>
      </c>
      <c r="AD14" s="457">
        <v>0</v>
      </c>
      <c r="AE14" s="457">
        <v>0</v>
      </c>
      <c r="AF14" s="457">
        <v>0</v>
      </c>
      <c r="AG14" s="457">
        <v>0</v>
      </c>
      <c r="AH14" s="457">
        <v>0</v>
      </c>
      <c r="AI14" s="457">
        <v>0</v>
      </c>
      <c r="AJ14" s="457">
        <v>0</v>
      </c>
      <c r="AK14" s="457">
        <v>0</v>
      </c>
      <c r="AL14" s="457">
        <v>0</v>
      </c>
      <c r="AM14" s="457">
        <v>0</v>
      </c>
      <c r="AN14" s="457">
        <v>0</v>
      </c>
      <c r="AO14" s="457">
        <v>0</v>
      </c>
      <c r="AP14" s="457">
        <v>0</v>
      </c>
      <c r="AQ14" s="457">
        <v>0</v>
      </c>
      <c r="AR14" s="457">
        <v>0</v>
      </c>
      <c r="AS14" s="457">
        <v>0</v>
      </c>
      <c r="AT14" s="457">
        <v>0</v>
      </c>
      <c r="AU14" s="457">
        <v>0</v>
      </c>
      <c r="AV14" s="457">
        <v>0</v>
      </c>
      <c r="AW14" s="457">
        <v>0</v>
      </c>
      <c r="AX14" s="457">
        <v>0</v>
      </c>
      <c r="AY14" s="457">
        <v>0</v>
      </c>
      <c r="AZ14" s="457">
        <v>0</v>
      </c>
      <c r="BA14" s="457">
        <v>586191</v>
      </c>
      <c r="BB14" s="457">
        <v>498582</v>
      </c>
      <c r="BC14" s="457">
        <v>87609</v>
      </c>
      <c r="BD14" s="457">
        <v>131893</v>
      </c>
      <c r="BE14" s="457">
        <v>112181</v>
      </c>
      <c r="BF14" s="457">
        <v>19712</v>
      </c>
      <c r="BG14" s="457">
        <v>14655</v>
      </c>
      <c r="BH14" s="457">
        <v>12465</v>
      </c>
      <c r="BI14" s="457">
        <v>2190</v>
      </c>
    </row>
    <row r="15" spans="1:61" ht="12.75" x14ac:dyDescent="0.2">
      <c r="A15" s="446">
        <v>8</v>
      </c>
      <c r="B15" s="447" t="s">
        <v>597</v>
      </c>
      <c r="C15" s="448" t="s">
        <v>1093</v>
      </c>
      <c r="D15" s="449" t="s">
        <v>1097</v>
      </c>
      <c r="E15" s="450" t="s">
        <v>596</v>
      </c>
      <c r="F15" s="457">
        <v>28352110.5</v>
      </c>
      <c r="G15" s="457">
        <v>0</v>
      </c>
      <c r="H15" s="457">
        <v>0</v>
      </c>
      <c r="I15" s="457">
        <v>28352110.5</v>
      </c>
      <c r="J15" s="457">
        <v>28406893.300000001</v>
      </c>
      <c r="K15" s="457">
        <v>0</v>
      </c>
      <c r="L15" s="457">
        <v>0</v>
      </c>
      <c r="M15" s="457">
        <v>28406893.300000001</v>
      </c>
      <c r="N15" s="457">
        <v>-54782.81</v>
      </c>
      <c r="O15" s="457">
        <v>0</v>
      </c>
      <c r="P15" s="457">
        <v>0</v>
      </c>
      <c r="Q15" s="457">
        <v>-54782.81</v>
      </c>
      <c r="R15" s="457">
        <v>93935</v>
      </c>
      <c r="S15" s="457">
        <v>0</v>
      </c>
      <c r="T15" s="457">
        <v>0</v>
      </c>
      <c r="U15" s="457">
        <v>93935</v>
      </c>
      <c r="V15" s="457">
        <v>-148718</v>
      </c>
      <c r="W15" s="457">
        <v>0</v>
      </c>
      <c r="X15" s="457">
        <v>0</v>
      </c>
      <c r="Y15" s="457">
        <v>-148718</v>
      </c>
      <c r="Z15" s="457">
        <v>126602</v>
      </c>
      <c r="AA15" s="457">
        <v>126602</v>
      </c>
      <c r="AB15" s="457">
        <v>0</v>
      </c>
      <c r="AC15" s="457">
        <v>0</v>
      </c>
      <c r="AD15" s="457">
        <v>0</v>
      </c>
      <c r="AE15" s="457">
        <v>0</v>
      </c>
      <c r="AF15" s="457">
        <v>0</v>
      </c>
      <c r="AG15" s="457">
        <v>0</v>
      </c>
      <c r="AH15" s="457">
        <v>0</v>
      </c>
      <c r="AI15" s="457">
        <v>0</v>
      </c>
      <c r="AJ15" s="457">
        <v>0</v>
      </c>
      <c r="AK15" s="457">
        <v>0</v>
      </c>
      <c r="AL15" s="457">
        <v>0</v>
      </c>
      <c r="AM15" s="457">
        <v>0</v>
      </c>
      <c r="AN15" s="457">
        <v>0</v>
      </c>
      <c r="AO15" s="457">
        <v>0</v>
      </c>
      <c r="AP15" s="457">
        <v>0</v>
      </c>
      <c r="AQ15" s="457">
        <v>0</v>
      </c>
      <c r="AR15" s="457">
        <v>0</v>
      </c>
      <c r="AS15" s="457">
        <v>0</v>
      </c>
      <c r="AT15" s="457">
        <v>0</v>
      </c>
      <c r="AU15" s="457">
        <v>0</v>
      </c>
      <c r="AV15" s="457">
        <v>0</v>
      </c>
      <c r="AW15" s="457">
        <v>0</v>
      </c>
      <c r="AX15" s="457">
        <v>0</v>
      </c>
      <c r="AY15" s="457">
        <v>0</v>
      </c>
      <c r="AZ15" s="457">
        <v>0</v>
      </c>
      <c r="BA15" s="457">
        <v>401450</v>
      </c>
      <c r="BB15" s="457">
        <v>340684</v>
      </c>
      <c r="BC15" s="457">
        <v>60766</v>
      </c>
      <c r="BD15" s="457">
        <v>100363</v>
      </c>
      <c r="BE15" s="457">
        <v>85171</v>
      </c>
      <c r="BF15" s="457">
        <v>15192</v>
      </c>
      <c r="BG15" s="457">
        <v>0</v>
      </c>
      <c r="BH15" s="457">
        <v>0</v>
      </c>
      <c r="BI15" s="457">
        <v>0</v>
      </c>
    </row>
    <row r="16" spans="1:61" ht="12.75" x14ac:dyDescent="0.2">
      <c r="A16" s="446">
        <v>9</v>
      </c>
      <c r="B16" s="447" t="s">
        <v>599</v>
      </c>
      <c r="C16" s="448" t="s">
        <v>1098</v>
      </c>
      <c r="D16" s="449" t="s">
        <v>1099</v>
      </c>
      <c r="E16" s="450" t="s">
        <v>708</v>
      </c>
      <c r="F16" s="457">
        <v>67553669</v>
      </c>
      <c r="G16" s="457">
        <v>0</v>
      </c>
      <c r="H16" s="457">
        <v>0</v>
      </c>
      <c r="I16" s="457">
        <v>67553669</v>
      </c>
      <c r="J16" s="457">
        <v>66701654</v>
      </c>
      <c r="K16" s="457">
        <v>0</v>
      </c>
      <c r="L16" s="457">
        <v>0</v>
      </c>
      <c r="M16" s="457">
        <v>66701654</v>
      </c>
      <c r="N16" s="457">
        <v>852015</v>
      </c>
      <c r="O16" s="457">
        <v>0</v>
      </c>
      <c r="P16" s="457">
        <v>0</v>
      </c>
      <c r="Q16" s="457">
        <v>852015</v>
      </c>
      <c r="R16" s="457">
        <v>-1528504</v>
      </c>
      <c r="S16" s="457">
        <v>0</v>
      </c>
      <c r="T16" s="457">
        <v>0</v>
      </c>
      <c r="U16" s="457">
        <v>-1528504</v>
      </c>
      <c r="V16" s="457">
        <v>2380519</v>
      </c>
      <c r="W16" s="457">
        <v>0</v>
      </c>
      <c r="X16" s="457">
        <v>0</v>
      </c>
      <c r="Y16" s="457">
        <v>2380519</v>
      </c>
      <c r="Z16" s="457">
        <v>205809</v>
      </c>
      <c r="AA16" s="457">
        <v>205809</v>
      </c>
      <c r="AB16" s="457">
        <v>0</v>
      </c>
      <c r="AC16" s="457">
        <v>0</v>
      </c>
      <c r="AD16" s="457">
        <v>0</v>
      </c>
      <c r="AE16" s="457">
        <v>0</v>
      </c>
      <c r="AF16" s="457">
        <v>0</v>
      </c>
      <c r="AG16" s="457">
        <v>0</v>
      </c>
      <c r="AH16" s="457">
        <v>0</v>
      </c>
      <c r="AI16" s="457">
        <v>0</v>
      </c>
      <c r="AJ16" s="457">
        <v>0</v>
      </c>
      <c r="AK16" s="457">
        <v>0</v>
      </c>
      <c r="AL16" s="457">
        <v>0</v>
      </c>
      <c r="AM16" s="457">
        <v>0</v>
      </c>
      <c r="AN16" s="457">
        <v>0</v>
      </c>
      <c r="AO16" s="457">
        <v>0</v>
      </c>
      <c r="AP16" s="457">
        <v>0</v>
      </c>
      <c r="AQ16" s="457">
        <v>0</v>
      </c>
      <c r="AR16" s="457">
        <v>0</v>
      </c>
      <c r="AS16" s="457">
        <v>0</v>
      </c>
      <c r="AT16" s="457">
        <v>0</v>
      </c>
      <c r="AU16" s="457">
        <v>0</v>
      </c>
      <c r="AV16" s="457">
        <v>0</v>
      </c>
      <c r="AW16" s="457">
        <v>0</v>
      </c>
      <c r="AX16" s="457">
        <v>0</v>
      </c>
      <c r="AY16" s="457">
        <v>0</v>
      </c>
      <c r="AZ16" s="457">
        <v>0</v>
      </c>
      <c r="BA16" s="457">
        <v>337407</v>
      </c>
      <c r="BB16" s="457">
        <v>282859</v>
      </c>
      <c r="BC16" s="457">
        <v>54548</v>
      </c>
      <c r="BD16" s="457">
        <v>224938</v>
      </c>
      <c r="BE16" s="457">
        <v>188572</v>
      </c>
      <c r="BF16" s="457">
        <v>36366</v>
      </c>
      <c r="BG16" s="457">
        <v>0</v>
      </c>
      <c r="BH16" s="457">
        <v>0</v>
      </c>
      <c r="BI16" s="457">
        <v>0</v>
      </c>
    </row>
    <row r="17" spans="1:61" ht="12.75" x14ac:dyDescent="0.2">
      <c r="A17" s="446">
        <v>10</v>
      </c>
      <c r="B17" s="447" t="s">
        <v>601</v>
      </c>
      <c r="C17" s="448" t="s">
        <v>1098</v>
      </c>
      <c r="D17" s="449" t="s">
        <v>1099</v>
      </c>
      <c r="E17" s="450" t="s">
        <v>600</v>
      </c>
      <c r="F17" s="457">
        <v>111711922</v>
      </c>
      <c r="G17" s="457">
        <v>0</v>
      </c>
      <c r="H17" s="457">
        <v>0</v>
      </c>
      <c r="I17" s="457">
        <v>111711922</v>
      </c>
      <c r="J17" s="457">
        <v>112928940</v>
      </c>
      <c r="K17" s="457">
        <v>0</v>
      </c>
      <c r="L17" s="457">
        <v>0</v>
      </c>
      <c r="M17" s="457">
        <v>112928940</v>
      </c>
      <c r="N17" s="457">
        <v>-1217017.3999999999</v>
      </c>
      <c r="O17" s="457">
        <v>0</v>
      </c>
      <c r="P17" s="457">
        <v>0</v>
      </c>
      <c r="Q17" s="457">
        <v>-1217017.3999999999</v>
      </c>
      <c r="R17" s="457">
        <v>634496</v>
      </c>
      <c r="S17" s="457">
        <v>0</v>
      </c>
      <c r="T17" s="457">
        <v>0</v>
      </c>
      <c r="U17" s="457">
        <v>634496</v>
      </c>
      <c r="V17" s="457">
        <v>-1851513</v>
      </c>
      <c r="W17" s="457">
        <v>0</v>
      </c>
      <c r="X17" s="457">
        <v>0</v>
      </c>
      <c r="Y17" s="457">
        <v>-1851513</v>
      </c>
      <c r="Z17" s="457">
        <v>419218</v>
      </c>
      <c r="AA17" s="457">
        <v>419218</v>
      </c>
      <c r="AB17" s="457">
        <v>0</v>
      </c>
      <c r="AC17" s="457">
        <v>0</v>
      </c>
      <c r="AD17" s="457">
        <v>0</v>
      </c>
      <c r="AE17" s="457">
        <v>0</v>
      </c>
      <c r="AF17" s="457">
        <v>0</v>
      </c>
      <c r="AG17" s="457">
        <v>0</v>
      </c>
      <c r="AH17" s="457">
        <v>0</v>
      </c>
      <c r="AI17" s="457">
        <v>0</v>
      </c>
      <c r="AJ17" s="457">
        <v>0</v>
      </c>
      <c r="AK17" s="457">
        <v>0</v>
      </c>
      <c r="AL17" s="457">
        <v>0</v>
      </c>
      <c r="AM17" s="457">
        <v>0</v>
      </c>
      <c r="AN17" s="457">
        <v>0</v>
      </c>
      <c r="AO17" s="457">
        <v>0</v>
      </c>
      <c r="AP17" s="457">
        <v>0</v>
      </c>
      <c r="AQ17" s="457">
        <v>0</v>
      </c>
      <c r="AR17" s="457">
        <v>0</v>
      </c>
      <c r="AS17" s="457">
        <v>0</v>
      </c>
      <c r="AT17" s="457">
        <v>0</v>
      </c>
      <c r="AU17" s="457">
        <v>0</v>
      </c>
      <c r="AV17" s="457">
        <v>0</v>
      </c>
      <c r="AW17" s="457">
        <v>0</v>
      </c>
      <c r="AX17" s="457">
        <v>0</v>
      </c>
      <c r="AY17" s="457">
        <v>0</v>
      </c>
      <c r="AZ17" s="457">
        <v>0</v>
      </c>
      <c r="BA17" s="457">
        <v>499547</v>
      </c>
      <c r="BB17" s="457">
        <v>413785</v>
      </c>
      <c r="BC17" s="457">
        <v>85762</v>
      </c>
      <c r="BD17" s="457">
        <v>333031</v>
      </c>
      <c r="BE17" s="457">
        <v>275857</v>
      </c>
      <c r="BF17" s="457">
        <v>57174</v>
      </c>
      <c r="BG17" s="457">
        <v>0</v>
      </c>
      <c r="BH17" s="457">
        <v>0</v>
      </c>
      <c r="BI17" s="457">
        <v>0</v>
      </c>
    </row>
    <row r="18" spans="1:61" ht="12.75" x14ac:dyDescent="0.2">
      <c r="A18" s="446">
        <v>11</v>
      </c>
      <c r="B18" s="447" t="s">
        <v>603</v>
      </c>
      <c r="C18" s="448" t="s">
        <v>1100</v>
      </c>
      <c r="D18" s="449" t="s">
        <v>1101</v>
      </c>
      <c r="E18" s="450" t="s">
        <v>602</v>
      </c>
      <c r="F18" s="457">
        <v>52352332</v>
      </c>
      <c r="G18" s="457">
        <v>0</v>
      </c>
      <c r="H18" s="457">
        <v>0</v>
      </c>
      <c r="I18" s="457">
        <v>52352332</v>
      </c>
      <c r="J18" s="457">
        <v>52095922</v>
      </c>
      <c r="K18" s="457">
        <v>0</v>
      </c>
      <c r="L18" s="457">
        <v>0</v>
      </c>
      <c r="M18" s="457">
        <v>52095922</v>
      </c>
      <c r="N18" s="457">
        <v>256410</v>
      </c>
      <c r="O18" s="457">
        <v>0</v>
      </c>
      <c r="P18" s="457">
        <v>0</v>
      </c>
      <c r="Q18" s="457">
        <v>256410</v>
      </c>
      <c r="R18" s="457">
        <v>115756</v>
      </c>
      <c r="S18" s="457">
        <v>0</v>
      </c>
      <c r="T18" s="457">
        <v>0</v>
      </c>
      <c r="U18" s="457">
        <v>115756</v>
      </c>
      <c r="V18" s="457">
        <v>140654</v>
      </c>
      <c r="W18" s="457">
        <v>0</v>
      </c>
      <c r="X18" s="457">
        <v>0</v>
      </c>
      <c r="Y18" s="457">
        <v>140654</v>
      </c>
      <c r="Z18" s="457">
        <v>271283</v>
      </c>
      <c r="AA18" s="457">
        <v>271283</v>
      </c>
      <c r="AB18" s="457">
        <v>0</v>
      </c>
      <c r="AC18" s="457">
        <v>222673</v>
      </c>
      <c r="AD18" s="457">
        <v>366400</v>
      </c>
      <c r="AE18" s="457">
        <v>-143727</v>
      </c>
      <c r="AF18" s="457">
        <v>0</v>
      </c>
      <c r="AG18" s="457">
        <v>0</v>
      </c>
      <c r="AH18" s="457">
        <v>0</v>
      </c>
      <c r="AI18" s="457">
        <v>0</v>
      </c>
      <c r="AJ18" s="457">
        <v>0</v>
      </c>
      <c r="AK18" s="457">
        <v>0</v>
      </c>
      <c r="AL18" s="457">
        <v>0</v>
      </c>
      <c r="AM18" s="457">
        <v>0</v>
      </c>
      <c r="AN18" s="457">
        <v>0</v>
      </c>
      <c r="AO18" s="457">
        <v>55000</v>
      </c>
      <c r="AP18" s="457">
        <v>110000</v>
      </c>
      <c r="AQ18" s="457">
        <v>-55000</v>
      </c>
      <c r="AR18" s="457">
        <v>55000</v>
      </c>
      <c r="AS18" s="457">
        <v>0</v>
      </c>
      <c r="AT18" s="457">
        <v>55000</v>
      </c>
      <c r="AU18" s="457">
        <v>0</v>
      </c>
      <c r="AV18" s="457">
        <v>0</v>
      </c>
      <c r="AW18" s="457">
        <v>0</v>
      </c>
      <c r="AX18" s="457">
        <v>0</v>
      </c>
      <c r="AY18" s="457">
        <v>0</v>
      </c>
      <c r="AZ18" s="457">
        <v>0</v>
      </c>
      <c r="BA18" s="457">
        <v>1089636</v>
      </c>
      <c r="BB18" s="457">
        <v>911904</v>
      </c>
      <c r="BC18" s="457">
        <v>177732</v>
      </c>
      <c r="BD18" s="457">
        <v>0</v>
      </c>
      <c r="BE18" s="457">
        <v>0</v>
      </c>
      <c r="BF18" s="457">
        <v>0</v>
      </c>
      <c r="BG18" s="457">
        <v>22237</v>
      </c>
      <c r="BH18" s="457">
        <v>18610</v>
      </c>
      <c r="BI18" s="457">
        <v>3627</v>
      </c>
    </row>
    <row r="19" spans="1:61" ht="12.75" x14ac:dyDescent="0.2">
      <c r="A19" s="446">
        <v>12</v>
      </c>
      <c r="B19" s="447" t="s">
        <v>605</v>
      </c>
      <c r="C19" s="448" t="s">
        <v>1093</v>
      </c>
      <c r="D19" s="449" t="s">
        <v>1095</v>
      </c>
      <c r="E19" s="450" t="s">
        <v>604</v>
      </c>
      <c r="F19" s="457">
        <v>27190490</v>
      </c>
      <c r="G19" s="457">
        <v>0</v>
      </c>
      <c r="H19" s="457">
        <v>0</v>
      </c>
      <c r="I19" s="457">
        <v>27190490</v>
      </c>
      <c r="J19" s="457">
        <v>27082964</v>
      </c>
      <c r="K19" s="457">
        <v>0</v>
      </c>
      <c r="L19" s="457">
        <v>0</v>
      </c>
      <c r="M19" s="457">
        <v>27082964</v>
      </c>
      <c r="N19" s="457">
        <v>107526</v>
      </c>
      <c r="O19" s="457">
        <v>0</v>
      </c>
      <c r="P19" s="457">
        <v>0</v>
      </c>
      <c r="Q19" s="457">
        <v>107526</v>
      </c>
      <c r="R19" s="457">
        <v>210651</v>
      </c>
      <c r="S19" s="457">
        <v>0</v>
      </c>
      <c r="T19" s="457">
        <v>0</v>
      </c>
      <c r="U19" s="457">
        <v>210651</v>
      </c>
      <c r="V19" s="457">
        <v>-103125</v>
      </c>
      <c r="W19" s="457">
        <v>0</v>
      </c>
      <c r="X19" s="457">
        <v>0</v>
      </c>
      <c r="Y19" s="457">
        <v>-103125</v>
      </c>
      <c r="Z19" s="457">
        <v>99249</v>
      </c>
      <c r="AA19" s="457">
        <v>99249</v>
      </c>
      <c r="AB19" s="457">
        <v>0</v>
      </c>
      <c r="AC19" s="457">
        <v>0</v>
      </c>
      <c r="AD19" s="457">
        <v>0</v>
      </c>
      <c r="AE19" s="457">
        <v>0</v>
      </c>
      <c r="AF19" s="457">
        <v>0</v>
      </c>
      <c r="AG19" s="457">
        <v>0</v>
      </c>
      <c r="AH19" s="457">
        <v>0</v>
      </c>
      <c r="AI19" s="457">
        <v>0</v>
      </c>
      <c r="AJ19" s="457">
        <v>0</v>
      </c>
      <c r="AK19" s="457">
        <v>0</v>
      </c>
      <c r="AL19" s="457">
        <v>0</v>
      </c>
      <c r="AM19" s="457">
        <v>0</v>
      </c>
      <c r="AN19" s="457">
        <v>0</v>
      </c>
      <c r="AO19" s="457">
        <v>0</v>
      </c>
      <c r="AP19" s="457">
        <v>0</v>
      </c>
      <c r="AQ19" s="457">
        <v>0</v>
      </c>
      <c r="AR19" s="457">
        <v>0</v>
      </c>
      <c r="AS19" s="457">
        <v>0</v>
      </c>
      <c r="AT19" s="457">
        <v>0</v>
      </c>
      <c r="AU19" s="457">
        <v>0</v>
      </c>
      <c r="AV19" s="457">
        <v>0</v>
      </c>
      <c r="AW19" s="457">
        <v>0</v>
      </c>
      <c r="AX19" s="457">
        <v>0</v>
      </c>
      <c r="AY19" s="457">
        <v>0</v>
      </c>
      <c r="AZ19" s="457">
        <v>0</v>
      </c>
      <c r="BA19" s="457">
        <v>254769</v>
      </c>
      <c r="BB19" s="457">
        <v>211037</v>
      </c>
      <c r="BC19" s="457">
        <v>43732</v>
      </c>
      <c r="BD19" s="457">
        <v>63692</v>
      </c>
      <c r="BE19" s="457">
        <v>52759</v>
      </c>
      <c r="BF19" s="457">
        <v>10933</v>
      </c>
      <c r="BG19" s="457">
        <v>0</v>
      </c>
      <c r="BH19" s="457">
        <v>0</v>
      </c>
      <c r="BI19" s="457">
        <v>0</v>
      </c>
    </row>
    <row r="20" spans="1:61" ht="12.75" x14ac:dyDescent="0.2">
      <c r="A20" s="446">
        <v>13</v>
      </c>
      <c r="B20" s="447" t="s">
        <v>607</v>
      </c>
      <c r="C20" s="448" t="s">
        <v>1093</v>
      </c>
      <c r="D20" s="449" t="s">
        <v>1097</v>
      </c>
      <c r="E20" s="450" t="s">
        <v>606</v>
      </c>
      <c r="F20" s="457">
        <v>85844138</v>
      </c>
      <c r="G20" s="457">
        <v>0</v>
      </c>
      <c r="H20" s="457">
        <v>0</v>
      </c>
      <c r="I20" s="457">
        <v>85844138</v>
      </c>
      <c r="J20" s="457">
        <v>86328804</v>
      </c>
      <c r="K20" s="457">
        <v>0</v>
      </c>
      <c r="L20" s="457">
        <v>0</v>
      </c>
      <c r="M20" s="457">
        <v>86328804</v>
      </c>
      <c r="N20" s="457">
        <v>-484666</v>
      </c>
      <c r="O20" s="457">
        <v>0</v>
      </c>
      <c r="P20" s="457">
        <v>0</v>
      </c>
      <c r="Q20" s="457">
        <v>-484666</v>
      </c>
      <c r="R20" s="457">
        <v>-239148</v>
      </c>
      <c r="S20" s="457">
        <v>0</v>
      </c>
      <c r="T20" s="457">
        <v>0</v>
      </c>
      <c r="U20" s="457">
        <v>-239148</v>
      </c>
      <c r="V20" s="457">
        <v>-245518</v>
      </c>
      <c r="W20" s="457">
        <v>0</v>
      </c>
      <c r="X20" s="457">
        <v>0</v>
      </c>
      <c r="Y20" s="457">
        <v>-245518</v>
      </c>
      <c r="Z20" s="457">
        <v>236652</v>
      </c>
      <c r="AA20" s="457">
        <v>236652</v>
      </c>
      <c r="AB20" s="457">
        <v>0</v>
      </c>
      <c r="AC20" s="457">
        <v>0</v>
      </c>
      <c r="AD20" s="457">
        <v>0</v>
      </c>
      <c r="AE20" s="457">
        <v>0</v>
      </c>
      <c r="AF20" s="457">
        <v>0</v>
      </c>
      <c r="AG20" s="457">
        <v>0</v>
      </c>
      <c r="AH20" s="457">
        <v>0</v>
      </c>
      <c r="AI20" s="457">
        <v>0</v>
      </c>
      <c r="AJ20" s="457">
        <v>0</v>
      </c>
      <c r="AK20" s="457">
        <v>0</v>
      </c>
      <c r="AL20" s="457">
        <v>0</v>
      </c>
      <c r="AM20" s="457">
        <v>0</v>
      </c>
      <c r="AN20" s="457">
        <v>0</v>
      </c>
      <c r="AO20" s="457">
        <v>0</v>
      </c>
      <c r="AP20" s="457">
        <v>0</v>
      </c>
      <c r="AQ20" s="457">
        <v>0</v>
      </c>
      <c r="AR20" s="457">
        <v>0</v>
      </c>
      <c r="AS20" s="457">
        <v>0</v>
      </c>
      <c r="AT20" s="457">
        <v>0</v>
      </c>
      <c r="AU20" s="457">
        <v>0</v>
      </c>
      <c r="AV20" s="457">
        <v>0</v>
      </c>
      <c r="AW20" s="457">
        <v>0</v>
      </c>
      <c r="AX20" s="457">
        <v>0</v>
      </c>
      <c r="AY20" s="457">
        <v>0</v>
      </c>
      <c r="AZ20" s="457">
        <v>0</v>
      </c>
      <c r="BA20" s="457">
        <v>444540</v>
      </c>
      <c r="BB20" s="457">
        <v>371612</v>
      </c>
      <c r="BC20" s="457">
        <v>72928</v>
      </c>
      <c r="BD20" s="457">
        <v>100022</v>
      </c>
      <c r="BE20" s="457">
        <v>83613</v>
      </c>
      <c r="BF20" s="457">
        <v>16409</v>
      </c>
      <c r="BG20" s="457">
        <v>11114</v>
      </c>
      <c r="BH20" s="457">
        <v>9290</v>
      </c>
      <c r="BI20" s="457">
        <v>1824</v>
      </c>
    </row>
    <row r="21" spans="1:61" ht="12.75" x14ac:dyDescent="0.2">
      <c r="A21" s="446">
        <v>14</v>
      </c>
      <c r="B21" s="447" t="s">
        <v>609</v>
      </c>
      <c r="C21" s="448" t="s">
        <v>1093</v>
      </c>
      <c r="D21" s="449" t="s">
        <v>1094</v>
      </c>
      <c r="E21" s="450" t="s">
        <v>608</v>
      </c>
      <c r="F21" s="457">
        <v>80960943</v>
      </c>
      <c r="G21" s="457">
        <v>0</v>
      </c>
      <c r="H21" s="457">
        <v>0</v>
      </c>
      <c r="I21" s="457">
        <v>80960943</v>
      </c>
      <c r="J21" s="457">
        <v>80728617</v>
      </c>
      <c r="K21" s="457">
        <v>0</v>
      </c>
      <c r="L21" s="457">
        <v>0</v>
      </c>
      <c r="M21" s="457">
        <v>80728617</v>
      </c>
      <c r="N21" s="457">
        <v>232326</v>
      </c>
      <c r="O21" s="457">
        <v>0</v>
      </c>
      <c r="P21" s="457">
        <v>0</v>
      </c>
      <c r="Q21" s="457">
        <v>232326</v>
      </c>
      <c r="R21" s="457">
        <v>837255</v>
      </c>
      <c r="S21" s="457">
        <v>0</v>
      </c>
      <c r="T21" s="457">
        <v>0</v>
      </c>
      <c r="U21" s="457">
        <v>837255</v>
      </c>
      <c r="V21" s="457">
        <v>-604929</v>
      </c>
      <c r="W21" s="457">
        <v>0</v>
      </c>
      <c r="X21" s="457">
        <v>0</v>
      </c>
      <c r="Y21" s="457">
        <v>-604929</v>
      </c>
      <c r="Z21" s="457">
        <v>206499</v>
      </c>
      <c r="AA21" s="457">
        <v>206499</v>
      </c>
      <c r="AB21" s="457">
        <v>0</v>
      </c>
      <c r="AC21" s="457">
        <v>0</v>
      </c>
      <c r="AD21" s="457">
        <v>0</v>
      </c>
      <c r="AE21" s="457">
        <v>0</v>
      </c>
      <c r="AF21" s="457">
        <v>0</v>
      </c>
      <c r="AG21" s="457">
        <v>0</v>
      </c>
      <c r="AH21" s="457">
        <v>0</v>
      </c>
      <c r="AI21" s="457">
        <v>46806</v>
      </c>
      <c r="AJ21" s="457">
        <v>0</v>
      </c>
      <c r="AK21" s="457">
        <v>46806</v>
      </c>
      <c r="AL21" s="457">
        <v>0</v>
      </c>
      <c r="AM21" s="457">
        <v>0</v>
      </c>
      <c r="AN21" s="457">
        <v>0</v>
      </c>
      <c r="AO21" s="457">
        <v>0</v>
      </c>
      <c r="AP21" s="457">
        <v>0</v>
      </c>
      <c r="AQ21" s="457">
        <v>0</v>
      </c>
      <c r="AR21" s="457">
        <v>0</v>
      </c>
      <c r="AS21" s="457">
        <v>0</v>
      </c>
      <c r="AT21" s="457">
        <v>0</v>
      </c>
      <c r="AU21" s="457">
        <v>0</v>
      </c>
      <c r="AV21" s="457">
        <v>0</v>
      </c>
      <c r="AW21" s="457">
        <v>0</v>
      </c>
      <c r="AX21" s="457">
        <v>0</v>
      </c>
      <c r="AY21" s="457">
        <v>0</v>
      </c>
      <c r="AZ21" s="457">
        <v>0</v>
      </c>
      <c r="BA21" s="457">
        <v>304341</v>
      </c>
      <c r="BB21" s="457">
        <v>257726</v>
      </c>
      <c r="BC21" s="457">
        <v>46615</v>
      </c>
      <c r="BD21" s="457">
        <v>68477</v>
      </c>
      <c r="BE21" s="457">
        <v>57988</v>
      </c>
      <c r="BF21" s="457">
        <v>10489</v>
      </c>
      <c r="BG21" s="457">
        <v>7609</v>
      </c>
      <c r="BH21" s="457">
        <v>6443</v>
      </c>
      <c r="BI21" s="457">
        <v>1166</v>
      </c>
    </row>
    <row r="22" spans="1:61" ht="12.75" x14ac:dyDescent="0.2">
      <c r="A22" s="446">
        <v>15</v>
      </c>
      <c r="B22" s="447" t="s">
        <v>611</v>
      </c>
      <c r="C22" s="448" t="s">
        <v>1093</v>
      </c>
      <c r="D22" s="449" t="s">
        <v>1096</v>
      </c>
      <c r="E22" s="450" t="s">
        <v>610</v>
      </c>
      <c r="F22" s="457">
        <v>51014964</v>
      </c>
      <c r="G22" s="457">
        <v>0</v>
      </c>
      <c r="H22" s="457">
        <v>0</v>
      </c>
      <c r="I22" s="457">
        <v>51014964</v>
      </c>
      <c r="J22" s="457">
        <v>49406728</v>
      </c>
      <c r="K22" s="457">
        <v>0</v>
      </c>
      <c r="L22" s="457">
        <v>0</v>
      </c>
      <c r="M22" s="457">
        <v>49406728</v>
      </c>
      <c r="N22" s="457">
        <v>1608236</v>
      </c>
      <c r="O22" s="457">
        <v>0</v>
      </c>
      <c r="P22" s="457">
        <v>0</v>
      </c>
      <c r="Q22" s="457">
        <v>1608236</v>
      </c>
      <c r="R22" s="457">
        <v>1702753</v>
      </c>
      <c r="S22" s="457">
        <v>0</v>
      </c>
      <c r="T22" s="457">
        <v>0</v>
      </c>
      <c r="U22" s="457">
        <v>1702753</v>
      </c>
      <c r="V22" s="457">
        <v>-94517</v>
      </c>
      <c r="W22" s="457">
        <v>0</v>
      </c>
      <c r="X22" s="457">
        <v>0</v>
      </c>
      <c r="Y22" s="457">
        <v>-94517</v>
      </c>
      <c r="Z22" s="457">
        <v>167257</v>
      </c>
      <c r="AA22" s="457">
        <v>167257</v>
      </c>
      <c r="AB22" s="457">
        <v>0</v>
      </c>
      <c r="AC22" s="457">
        <v>0</v>
      </c>
      <c r="AD22" s="457">
        <v>0</v>
      </c>
      <c r="AE22" s="457">
        <v>0</v>
      </c>
      <c r="AF22" s="457">
        <v>0</v>
      </c>
      <c r="AG22" s="457">
        <v>0</v>
      </c>
      <c r="AH22" s="457">
        <v>0</v>
      </c>
      <c r="AI22" s="457">
        <v>0</v>
      </c>
      <c r="AJ22" s="457">
        <v>0</v>
      </c>
      <c r="AK22" s="457">
        <v>0</v>
      </c>
      <c r="AL22" s="457">
        <v>0</v>
      </c>
      <c r="AM22" s="457">
        <v>0</v>
      </c>
      <c r="AN22" s="457">
        <v>0</v>
      </c>
      <c r="AO22" s="457">
        <v>0</v>
      </c>
      <c r="AP22" s="457">
        <v>0</v>
      </c>
      <c r="AQ22" s="457">
        <v>0</v>
      </c>
      <c r="AR22" s="457">
        <v>0</v>
      </c>
      <c r="AS22" s="457">
        <v>0</v>
      </c>
      <c r="AT22" s="457">
        <v>0</v>
      </c>
      <c r="AU22" s="457">
        <v>0</v>
      </c>
      <c r="AV22" s="457">
        <v>0</v>
      </c>
      <c r="AW22" s="457">
        <v>0</v>
      </c>
      <c r="AX22" s="457">
        <v>0</v>
      </c>
      <c r="AY22" s="457">
        <v>0</v>
      </c>
      <c r="AZ22" s="457">
        <v>0</v>
      </c>
      <c r="BA22" s="457">
        <v>439891</v>
      </c>
      <c r="BB22" s="457">
        <v>186350</v>
      </c>
      <c r="BC22" s="457">
        <v>253541</v>
      </c>
      <c r="BD22" s="457">
        <v>98975</v>
      </c>
      <c r="BE22" s="457">
        <v>41929</v>
      </c>
      <c r="BF22" s="457">
        <v>57046</v>
      </c>
      <c r="BG22" s="457">
        <v>10997</v>
      </c>
      <c r="BH22" s="457">
        <v>4659</v>
      </c>
      <c r="BI22" s="457">
        <v>6338</v>
      </c>
    </row>
    <row r="23" spans="1:61" ht="12.75" x14ac:dyDescent="0.2">
      <c r="A23" s="446">
        <v>16</v>
      </c>
      <c r="B23" s="447" t="s">
        <v>613</v>
      </c>
      <c r="C23" s="448" t="s">
        <v>794</v>
      </c>
      <c r="D23" s="449" t="s">
        <v>1102</v>
      </c>
      <c r="E23" s="450" t="s">
        <v>612</v>
      </c>
      <c r="F23" s="457">
        <v>63593637</v>
      </c>
      <c r="G23" s="457">
        <v>0</v>
      </c>
      <c r="H23" s="457">
        <v>0</v>
      </c>
      <c r="I23" s="457">
        <v>63593637</v>
      </c>
      <c r="J23" s="457">
        <v>63536352</v>
      </c>
      <c r="K23" s="457">
        <v>0</v>
      </c>
      <c r="L23" s="457">
        <v>0</v>
      </c>
      <c r="M23" s="457">
        <v>63536352</v>
      </c>
      <c r="N23" s="457">
        <v>57285</v>
      </c>
      <c r="O23" s="457">
        <v>0</v>
      </c>
      <c r="P23" s="457">
        <v>0</v>
      </c>
      <c r="Q23" s="457">
        <v>57285</v>
      </c>
      <c r="R23" s="457">
        <v>266204</v>
      </c>
      <c r="S23" s="457">
        <v>0</v>
      </c>
      <c r="T23" s="457">
        <v>0</v>
      </c>
      <c r="U23" s="457">
        <v>266204</v>
      </c>
      <c r="V23" s="457">
        <v>-208919</v>
      </c>
      <c r="W23" s="457">
        <v>0</v>
      </c>
      <c r="X23" s="457">
        <v>0</v>
      </c>
      <c r="Y23" s="457">
        <v>-208919</v>
      </c>
      <c r="Z23" s="457">
        <v>260612</v>
      </c>
      <c r="AA23" s="457">
        <v>260612</v>
      </c>
      <c r="AB23" s="457">
        <v>0</v>
      </c>
      <c r="AC23" s="457">
        <v>0</v>
      </c>
      <c r="AD23" s="457">
        <v>0</v>
      </c>
      <c r="AE23" s="457">
        <v>0</v>
      </c>
      <c r="AF23" s="457">
        <v>0</v>
      </c>
      <c r="AG23" s="457">
        <v>0</v>
      </c>
      <c r="AH23" s="457">
        <v>0</v>
      </c>
      <c r="AI23" s="457">
        <v>0</v>
      </c>
      <c r="AJ23" s="457">
        <v>0</v>
      </c>
      <c r="AK23" s="457">
        <v>0</v>
      </c>
      <c r="AL23" s="457">
        <v>0</v>
      </c>
      <c r="AM23" s="457">
        <v>0</v>
      </c>
      <c r="AN23" s="457">
        <v>0</v>
      </c>
      <c r="AO23" s="457">
        <v>0</v>
      </c>
      <c r="AP23" s="457">
        <v>0</v>
      </c>
      <c r="AQ23" s="457">
        <v>0</v>
      </c>
      <c r="AR23" s="457">
        <v>0</v>
      </c>
      <c r="AS23" s="457">
        <v>0</v>
      </c>
      <c r="AT23" s="457">
        <v>0</v>
      </c>
      <c r="AU23" s="457">
        <v>0</v>
      </c>
      <c r="AV23" s="457">
        <v>0</v>
      </c>
      <c r="AW23" s="457">
        <v>0</v>
      </c>
      <c r="AX23" s="457">
        <v>0</v>
      </c>
      <c r="AY23" s="457">
        <v>0</v>
      </c>
      <c r="AZ23" s="457">
        <v>0</v>
      </c>
      <c r="BA23" s="457">
        <v>860614</v>
      </c>
      <c r="BB23" s="457">
        <v>724832</v>
      </c>
      <c r="BC23" s="457">
        <v>135782</v>
      </c>
      <c r="BD23" s="457">
        <v>0</v>
      </c>
      <c r="BE23" s="457">
        <v>0</v>
      </c>
      <c r="BF23" s="457">
        <v>0</v>
      </c>
      <c r="BG23" s="457">
        <v>17564</v>
      </c>
      <c r="BH23" s="457">
        <v>14792</v>
      </c>
      <c r="BI23" s="457">
        <v>2772</v>
      </c>
    </row>
    <row r="24" spans="1:61" ht="12.75" x14ac:dyDescent="0.2">
      <c r="A24" s="446">
        <v>17</v>
      </c>
      <c r="B24" s="447" t="s">
        <v>615</v>
      </c>
      <c r="C24" s="448" t="s">
        <v>794</v>
      </c>
      <c r="D24" s="449" t="s">
        <v>1097</v>
      </c>
      <c r="E24" s="450" t="s">
        <v>614</v>
      </c>
      <c r="F24" s="457">
        <v>74637399.299999997</v>
      </c>
      <c r="G24" s="457">
        <v>0</v>
      </c>
      <c r="H24" s="457">
        <v>0</v>
      </c>
      <c r="I24" s="457">
        <v>74637399.299999997</v>
      </c>
      <c r="J24" s="457">
        <v>74136379.099999994</v>
      </c>
      <c r="K24" s="457">
        <v>0</v>
      </c>
      <c r="L24" s="457">
        <v>0</v>
      </c>
      <c r="M24" s="457">
        <v>74136379.099999994</v>
      </c>
      <c r="N24" s="457">
        <v>501020.15</v>
      </c>
      <c r="O24" s="457">
        <v>0</v>
      </c>
      <c r="P24" s="457">
        <v>0</v>
      </c>
      <c r="Q24" s="457">
        <v>501020.15</v>
      </c>
      <c r="R24" s="457">
        <v>769600</v>
      </c>
      <c r="S24" s="457">
        <v>0</v>
      </c>
      <c r="T24" s="457">
        <v>0</v>
      </c>
      <c r="U24" s="457">
        <v>769600</v>
      </c>
      <c r="V24" s="457">
        <v>-268580</v>
      </c>
      <c r="W24" s="457">
        <v>0</v>
      </c>
      <c r="X24" s="457">
        <v>0</v>
      </c>
      <c r="Y24" s="457">
        <v>-268580</v>
      </c>
      <c r="Z24" s="457">
        <v>233924</v>
      </c>
      <c r="AA24" s="457">
        <v>233924</v>
      </c>
      <c r="AB24" s="457">
        <v>0</v>
      </c>
      <c r="AC24" s="457">
        <v>0</v>
      </c>
      <c r="AD24" s="457">
        <v>0</v>
      </c>
      <c r="AE24" s="457">
        <v>0</v>
      </c>
      <c r="AF24" s="457">
        <v>0</v>
      </c>
      <c r="AG24" s="457">
        <v>0</v>
      </c>
      <c r="AH24" s="457">
        <v>0</v>
      </c>
      <c r="AI24" s="457">
        <v>0</v>
      </c>
      <c r="AJ24" s="457">
        <v>0</v>
      </c>
      <c r="AK24" s="457">
        <v>0</v>
      </c>
      <c r="AL24" s="457">
        <v>0</v>
      </c>
      <c r="AM24" s="457">
        <v>0</v>
      </c>
      <c r="AN24" s="457">
        <v>0</v>
      </c>
      <c r="AO24" s="457">
        <v>0</v>
      </c>
      <c r="AP24" s="457">
        <v>0</v>
      </c>
      <c r="AQ24" s="457">
        <v>0</v>
      </c>
      <c r="AR24" s="457">
        <v>0</v>
      </c>
      <c r="AS24" s="457">
        <v>0</v>
      </c>
      <c r="AT24" s="457">
        <v>0</v>
      </c>
      <c r="AU24" s="457">
        <v>0</v>
      </c>
      <c r="AV24" s="457">
        <v>0</v>
      </c>
      <c r="AW24" s="457">
        <v>0</v>
      </c>
      <c r="AX24" s="457">
        <v>0</v>
      </c>
      <c r="AY24" s="457">
        <v>0</v>
      </c>
      <c r="AZ24" s="457">
        <v>0</v>
      </c>
      <c r="BA24" s="457">
        <v>697243</v>
      </c>
      <c r="BB24" s="457">
        <v>584239</v>
      </c>
      <c r="BC24" s="457">
        <v>113004</v>
      </c>
      <c r="BD24" s="457">
        <v>0</v>
      </c>
      <c r="BE24" s="457">
        <v>0</v>
      </c>
      <c r="BF24" s="457">
        <v>0</v>
      </c>
      <c r="BG24" s="457">
        <v>14229</v>
      </c>
      <c r="BH24" s="457">
        <v>11923</v>
      </c>
      <c r="BI24" s="457">
        <v>2306</v>
      </c>
    </row>
    <row r="25" spans="1:61" ht="12.75" x14ac:dyDescent="0.2">
      <c r="A25" s="446">
        <v>18</v>
      </c>
      <c r="B25" s="447" t="s">
        <v>617</v>
      </c>
      <c r="C25" s="448" t="s">
        <v>1098</v>
      </c>
      <c r="D25" s="449" t="s">
        <v>1099</v>
      </c>
      <c r="E25" s="450" t="s">
        <v>616</v>
      </c>
      <c r="F25" s="457">
        <v>67662766</v>
      </c>
      <c r="G25" s="457">
        <v>0</v>
      </c>
      <c r="H25" s="457">
        <v>0</v>
      </c>
      <c r="I25" s="457">
        <v>67662766</v>
      </c>
      <c r="J25" s="457">
        <v>68054333</v>
      </c>
      <c r="K25" s="457">
        <v>0</v>
      </c>
      <c r="L25" s="457">
        <v>0</v>
      </c>
      <c r="M25" s="457">
        <v>68054333</v>
      </c>
      <c r="N25" s="457">
        <v>-391567</v>
      </c>
      <c r="O25" s="457">
        <v>0</v>
      </c>
      <c r="P25" s="457">
        <v>0</v>
      </c>
      <c r="Q25" s="457">
        <v>-391567</v>
      </c>
      <c r="R25" s="457">
        <v>-304775</v>
      </c>
      <c r="S25" s="457">
        <v>0</v>
      </c>
      <c r="T25" s="457">
        <v>0</v>
      </c>
      <c r="U25" s="457">
        <v>-304775</v>
      </c>
      <c r="V25" s="457">
        <v>-86792</v>
      </c>
      <c r="W25" s="457">
        <v>0</v>
      </c>
      <c r="X25" s="457">
        <v>0</v>
      </c>
      <c r="Y25" s="457">
        <v>-86792</v>
      </c>
      <c r="Z25" s="457">
        <v>263898</v>
      </c>
      <c r="AA25" s="457">
        <v>263898</v>
      </c>
      <c r="AB25" s="457">
        <v>0</v>
      </c>
      <c r="AC25" s="457">
        <v>0</v>
      </c>
      <c r="AD25" s="457">
        <v>0</v>
      </c>
      <c r="AE25" s="457">
        <v>0</v>
      </c>
      <c r="AF25" s="457">
        <v>0</v>
      </c>
      <c r="AG25" s="457">
        <v>0</v>
      </c>
      <c r="AH25" s="457">
        <v>0</v>
      </c>
      <c r="AI25" s="457">
        <v>0</v>
      </c>
      <c r="AJ25" s="457">
        <v>0</v>
      </c>
      <c r="AK25" s="457">
        <v>0</v>
      </c>
      <c r="AL25" s="457">
        <v>0</v>
      </c>
      <c r="AM25" s="457">
        <v>0</v>
      </c>
      <c r="AN25" s="457">
        <v>0</v>
      </c>
      <c r="AO25" s="457">
        <v>0</v>
      </c>
      <c r="AP25" s="457">
        <v>0</v>
      </c>
      <c r="AQ25" s="457">
        <v>0</v>
      </c>
      <c r="AR25" s="457">
        <v>0</v>
      </c>
      <c r="AS25" s="457">
        <v>0</v>
      </c>
      <c r="AT25" s="457">
        <v>0</v>
      </c>
      <c r="AU25" s="457">
        <v>0</v>
      </c>
      <c r="AV25" s="457">
        <v>0</v>
      </c>
      <c r="AW25" s="457">
        <v>0</v>
      </c>
      <c r="AX25" s="457">
        <v>0</v>
      </c>
      <c r="AY25" s="457">
        <v>0</v>
      </c>
      <c r="AZ25" s="457">
        <v>0</v>
      </c>
      <c r="BA25" s="457">
        <v>567060</v>
      </c>
      <c r="BB25" s="457">
        <v>484993</v>
      </c>
      <c r="BC25" s="457">
        <v>82067</v>
      </c>
      <c r="BD25" s="457">
        <v>378040</v>
      </c>
      <c r="BE25" s="457">
        <v>323328</v>
      </c>
      <c r="BF25" s="457">
        <v>54712</v>
      </c>
      <c r="BG25" s="457">
        <v>0</v>
      </c>
      <c r="BH25" s="457">
        <v>0</v>
      </c>
      <c r="BI25" s="457">
        <v>0</v>
      </c>
    </row>
    <row r="26" spans="1:61" ht="12.75" x14ac:dyDescent="0.2">
      <c r="A26" s="446">
        <v>19</v>
      </c>
      <c r="B26" s="447" t="s">
        <v>619</v>
      </c>
      <c r="C26" s="448" t="s">
        <v>1100</v>
      </c>
      <c r="D26" s="449" t="s">
        <v>1103</v>
      </c>
      <c r="E26" s="450" t="s">
        <v>618</v>
      </c>
      <c r="F26" s="457">
        <v>474611346</v>
      </c>
      <c r="G26" s="457">
        <v>0</v>
      </c>
      <c r="H26" s="457">
        <v>5785351</v>
      </c>
      <c r="I26" s="457">
        <v>480396697</v>
      </c>
      <c r="J26" s="457">
        <v>475067265</v>
      </c>
      <c r="K26" s="457">
        <v>0</v>
      </c>
      <c r="L26" s="457">
        <v>5784176</v>
      </c>
      <c r="M26" s="457">
        <v>480851441</v>
      </c>
      <c r="N26" s="457">
        <v>-455919</v>
      </c>
      <c r="O26" s="457">
        <v>0</v>
      </c>
      <c r="P26" s="457">
        <v>1175</v>
      </c>
      <c r="Q26" s="457">
        <v>-454744</v>
      </c>
      <c r="R26" s="457">
        <v>-1134010</v>
      </c>
      <c r="S26" s="457">
        <v>0</v>
      </c>
      <c r="T26" s="457">
        <v>0</v>
      </c>
      <c r="U26" s="457">
        <v>-1134010</v>
      </c>
      <c r="V26" s="457">
        <v>678091</v>
      </c>
      <c r="W26" s="457">
        <v>0</v>
      </c>
      <c r="X26" s="457">
        <v>1175</v>
      </c>
      <c r="Y26" s="457">
        <v>679266</v>
      </c>
      <c r="Z26" s="457">
        <v>1925174</v>
      </c>
      <c r="AA26" s="457">
        <v>1925174</v>
      </c>
      <c r="AB26" s="457">
        <v>0</v>
      </c>
      <c r="AC26" s="457">
        <v>270833</v>
      </c>
      <c r="AD26" s="457">
        <v>1800000</v>
      </c>
      <c r="AE26" s="457">
        <v>-1529167</v>
      </c>
      <c r="AF26" s="457">
        <v>0</v>
      </c>
      <c r="AG26" s="457">
        <v>0</v>
      </c>
      <c r="AH26" s="457">
        <v>0</v>
      </c>
      <c r="AI26" s="457">
        <v>0</v>
      </c>
      <c r="AJ26" s="457">
        <v>187552</v>
      </c>
      <c r="AK26" s="457">
        <v>-187552</v>
      </c>
      <c r="AL26" s="457">
        <v>0</v>
      </c>
      <c r="AM26" s="457">
        <v>0</v>
      </c>
      <c r="AN26" s="457">
        <v>0</v>
      </c>
      <c r="AO26" s="457">
        <v>258556</v>
      </c>
      <c r="AP26" s="457">
        <v>191031</v>
      </c>
      <c r="AQ26" s="457">
        <v>67525</v>
      </c>
      <c r="AR26" s="457">
        <v>258556</v>
      </c>
      <c r="AS26" s="457">
        <v>191031</v>
      </c>
      <c r="AT26" s="457">
        <v>67525</v>
      </c>
      <c r="AU26" s="457">
        <v>0</v>
      </c>
      <c r="AV26" s="457">
        <v>0</v>
      </c>
      <c r="AW26" s="457">
        <v>0</v>
      </c>
      <c r="AX26" s="457">
        <v>0</v>
      </c>
      <c r="AY26" s="457">
        <v>0</v>
      </c>
      <c r="AZ26" s="457">
        <v>0</v>
      </c>
      <c r="BA26" s="457">
        <v>4934309</v>
      </c>
      <c r="BB26" s="457">
        <v>3980244</v>
      </c>
      <c r="BC26" s="457">
        <v>954065</v>
      </c>
      <c r="BD26" s="457">
        <v>0</v>
      </c>
      <c r="BE26" s="457">
        <v>0</v>
      </c>
      <c r="BF26" s="457">
        <v>0</v>
      </c>
      <c r="BG26" s="457">
        <v>98819</v>
      </c>
      <c r="BH26" s="457">
        <v>81229</v>
      </c>
      <c r="BI26" s="457">
        <v>17590</v>
      </c>
    </row>
    <row r="27" spans="1:61" ht="12.75" x14ac:dyDescent="0.2">
      <c r="A27" s="446">
        <v>20</v>
      </c>
      <c r="B27" s="447" t="s">
        <v>621</v>
      </c>
      <c r="C27" s="448" t="s">
        <v>1093</v>
      </c>
      <c r="D27" s="449" t="s">
        <v>1096</v>
      </c>
      <c r="E27" s="450" t="s">
        <v>620</v>
      </c>
      <c r="F27" s="457">
        <v>39615779</v>
      </c>
      <c r="G27" s="457">
        <v>0</v>
      </c>
      <c r="H27" s="457">
        <v>0</v>
      </c>
      <c r="I27" s="457">
        <v>39615779</v>
      </c>
      <c r="J27" s="457">
        <v>39488192</v>
      </c>
      <c r="K27" s="457">
        <v>0</v>
      </c>
      <c r="L27" s="457">
        <v>0</v>
      </c>
      <c r="M27" s="457">
        <v>39488192</v>
      </c>
      <c r="N27" s="457">
        <v>127587</v>
      </c>
      <c r="O27" s="457">
        <v>0</v>
      </c>
      <c r="P27" s="457">
        <v>0</v>
      </c>
      <c r="Q27" s="457">
        <v>127587</v>
      </c>
      <c r="R27" s="457">
        <v>-125791</v>
      </c>
      <c r="S27" s="457">
        <v>0</v>
      </c>
      <c r="T27" s="457">
        <v>0</v>
      </c>
      <c r="U27" s="457">
        <v>-125791</v>
      </c>
      <c r="V27" s="457">
        <v>253378</v>
      </c>
      <c r="W27" s="457">
        <v>0</v>
      </c>
      <c r="X27" s="457">
        <v>0</v>
      </c>
      <c r="Y27" s="457">
        <v>253378</v>
      </c>
      <c r="Z27" s="457">
        <v>101281</v>
      </c>
      <c r="AA27" s="457">
        <v>101281</v>
      </c>
      <c r="AB27" s="457">
        <v>0</v>
      </c>
      <c r="AC27" s="457">
        <v>0</v>
      </c>
      <c r="AD27" s="457">
        <v>0</v>
      </c>
      <c r="AE27" s="457">
        <v>0</v>
      </c>
      <c r="AF27" s="457">
        <v>0</v>
      </c>
      <c r="AG27" s="457">
        <v>0</v>
      </c>
      <c r="AH27" s="457">
        <v>0</v>
      </c>
      <c r="AI27" s="457">
        <v>0</v>
      </c>
      <c r="AJ27" s="457">
        <v>0</v>
      </c>
      <c r="AK27" s="457">
        <v>0</v>
      </c>
      <c r="AL27" s="457">
        <v>0</v>
      </c>
      <c r="AM27" s="457">
        <v>0</v>
      </c>
      <c r="AN27" s="457">
        <v>0</v>
      </c>
      <c r="AO27" s="457">
        <v>0</v>
      </c>
      <c r="AP27" s="457">
        <v>0</v>
      </c>
      <c r="AQ27" s="457">
        <v>0</v>
      </c>
      <c r="AR27" s="457">
        <v>0</v>
      </c>
      <c r="AS27" s="457">
        <v>0</v>
      </c>
      <c r="AT27" s="457">
        <v>0</v>
      </c>
      <c r="AU27" s="457">
        <v>0</v>
      </c>
      <c r="AV27" s="457">
        <v>0</v>
      </c>
      <c r="AW27" s="457">
        <v>0</v>
      </c>
      <c r="AX27" s="457">
        <v>0</v>
      </c>
      <c r="AY27" s="457">
        <v>0</v>
      </c>
      <c r="AZ27" s="457">
        <v>0</v>
      </c>
      <c r="BA27" s="457">
        <v>220596</v>
      </c>
      <c r="BB27" s="457">
        <v>185626</v>
      </c>
      <c r="BC27" s="457">
        <v>34970</v>
      </c>
      <c r="BD27" s="457">
        <v>49634</v>
      </c>
      <c r="BE27" s="457">
        <v>41766</v>
      </c>
      <c r="BF27" s="457">
        <v>7868</v>
      </c>
      <c r="BG27" s="457">
        <v>5515</v>
      </c>
      <c r="BH27" s="457">
        <v>4641</v>
      </c>
      <c r="BI27" s="457">
        <v>874</v>
      </c>
    </row>
    <row r="28" spans="1:61" ht="12.75" x14ac:dyDescent="0.2">
      <c r="A28" s="446">
        <v>21</v>
      </c>
      <c r="B28" s="447" t="s">
        <v>623</v>
      </c>
      <c r="C28" s="448" t="s">
        <v>794</v>
      </c>
      <c r="D28" s="449" t="s">
        <v>1095</v>
      </c>
      <c r="E28" s="450" t="s">
        <v>709</v>
      </c>
      <c r="F28" s="457">
        <v>57541941</v>
      </c>
      <c r="G28" s="457">
        <v>0</v>
      </c>
      <c r="H28" s="457">
        <v>0</v>
      </c>
      <c r="I28" s="457">
        <v>57541941</v>
      </c>
      <c r="J28" s="457">
        <v>57663579</v>
      </c>
      <c r="K28" s="457">
        <v>0</v>
      </c>
      <c r="L28" s="457">
        <v>0</v>
      </c>
      <c r="M28" s="457">
        <v>57663579</v>
      </c>
      <c r="N28" s="457">
        <v>-121638</v>
      </c>
      <c r="O28" s="457">
        <v>0</v>
      </c>
      <c r="P28" s="457">
        <v>0</v>
      </c>
      <c r="Q28" s="457">
        <v>-121638</v>
      </c>
      <c r="R28" s="457">
        <v>141357</v>
      </c>
      <c r="S28" s="457">
        <v>0</v>
      </c>
      <c r="T28" s="457">
        <v>0</v>
      </c>
      <c r="U28" s="457">
        <v>141357</v>
      </c>
      <c r="V28" s="457">
        <v>-262995</v>
      </c>
      <c r="W28" s="457">
        <v>0</v>
      </c>
      <c r="X28" s="457">
        <v>0</v>
      </c>
      <c r="Y28" s="457">
        <v>-262995</v>
      </c>
      <c r="Z28" s="457">
        <v>252639</v>
      </c>
      <c r="AA28" s="457">
        <v>252639</v>
      </c>
      <c r="AB28" s="457">
        <v>0</v>
      </c>
      <c r="AC28" s="457">
        <v>0</v>
      </c>
      <c r="AD28" s="457">
        <v>0</v>
      </c>
      <c r="AE28" s="457">
        <v>0</v>
      </c>
      <c r="AF28" s="457">
        <v>0</v>
      </c>
      <c r="AG28" s="457">
        <v>0</v>
      </c>
      <c r="AH28" s="457">
        <v>0</v>
      </c>
      <c r="AI28" s="457">
        <v>0</v>
      </c>
      <c r="AJ28" s="457">
        <v>0</v>
      </c>
      <c r="AK28" s="457">
        <v>0</v>
      </c>
      <c r="AL28" s="457">
        <v>0</v>
      </c>
      <c r="AM28" s="457">
        <v>0</v>
      </c>
      <c r="AN28" s="457">
        <v>0</v>
      </c>
      <c r="AO28" s="457">
        <v>0</v>
      </c>
      <c r="AP28" s="457">
        <v>0</v>
      </c>
      <c r="AQ28" s="457">
        <v>0</v>
      </c>
      <c r="AR28" s="457">
        <v>0</v>
      </c>
      <c r="AS28" s="457">
        <v>0</v>
      </c>
      <c r="AT28" s="457">
        <v>0</v>
      </c>
      <c r="AU28" s="457">
        <v>0</v>
      </c>
      <c r="AV28" s="457">
        <v>0</v>
      </c>
      <c r="AW28" s="457">
        <v>0</v>
      </c>
      <c r="AX28" s="457">
        <v>0</v>
      </c>
      <c r="AY28" s="457">
        <v>0</v>
      </c>
      <c r="AZ28" s="457">
        <v>0</v>
      </c>
      <c r="BA28" s="457">
        <v>1126976</v>
      </c>
      <c r="BB28" s="457">
        <v>967715</v>
      </c>
      <c r="BC28" s="457">
        <v>159261</v>
      </c>
      <c r="BD28" s="457">
        <v>0</v>
      </c>
      <c r="BE28" s="457">
        <v>0</v>
      </c>
      <c r="BF28" s="457">
        <v>0</v>
      </c>
      <c r="BG28" s="457">
        <v>23000</v>
      </c>
      <c r="BH28" s="457">
        <v>19749</v>
      </c>
      <c r="BI28" s="457">
        <v>3251</v>
      </c>
    </row>
    <row r="29" spans="1:61" ht="12.75" x14ac:dyDescent="0.2">
      <c r="A29" s="446">
        <v>22</v>
      </c>
      <c r="B29" s="447" t="s">
        <v>625</v>
      </c>
      <c r="C29" s="448" t="s">
        <v>794</v>
      </c>
      <c r="D29" s="449" t="s">
        <v>1095</v>
      </c>
      <c r="E29" s="450" t="s">
        <v>710</v>
      </c>
      <c r="F29" s="457">
        <v>50142747</v>
      </c>
      <c r="G29" s="457">
        <v>0</v>
      </c>
      <c r="H29" s="457">
        <v>0</v>
      </c>
      <c r="I29" s="457">
        <v>50142747</v>
      </c>
      <c r="J29" s="457">
        <v>50045672</v>
      </c>
      <c r="K29" s="457">
        <v>0</v>
      </c>
      <c r="L29" s="457">
        <v>0</v>
      </c>
      <c r="M29" s="457">
        <v>50045672</v>
      </c>
      <c r="N29" s="457">
        <v>97075</v>
      </c>
      <c r="O29" s="457">
        <v>0</v>
      </c>
      <c r="P29" s="457">
        <v>0</v>
      </c>
      <c r="Q29" s="457">
        <v>97075</v>
      </c>
      <c r="R29" s="457">
        <v>349495</v>
      </c>
      <c r="S29" s="457">
        <v>0</v>
      </c>
      <c r="T29" s="457">
        <v>0</v>
      </c>
      <c r="U29" s="457">
        <v>349495</v>
      </c>
      <c r="V29" s="457">
        <v>-252420</v>
      </c>
      <c r="W29" s="457">
        <v>0</v>
      </c>
      <c r="X29" s="457">
        <v>0</v>
      </c>
      <c r="Y29" s="457">
        <v>-252420</v>
      </c>
      <c r="Z29" s="457">
        <v>279753</v>
      </c>
      <c r="AA29" s="457">
        <v>279753</v>
      </c>
      <c r="AB29" s="457">
        <v>0</v>
      </c>
      <c r="AC29" s="457">
        <v>0</v>
      </c>
      <c r="AD29" s="457">
        <v>0</v>
      </c>
      <c r="AE29" s="457">
        <v>0</v>
      </c>
      <c r="AF29" s="457">
        <v>0</v>
      </c>
      <c r="AG29" s="457">
        <v>0</v>
      </c>
      <c r="AH29" s="457">
        <v>0</v>
      </c>
      <c r="AI29" s="457">
        <v>0</v>
      </c>
      <c r="AJ29" s="457">
        <v>0</v>
      </c>
      <c r="AK29" s="457">
        <v>0</v>
      </c>
      <c r="AL29" s="457">
        <v>0</v>
      </c>
      <c r="AM29" s="457">
        <v>0</v>
      </c>
      <c r="AN29" s="457">
        <v>0</v>
      </c>
      <c r="AO29" s="457">
        <v>0</v>
      </c>
      <c r="AP29" s="457">
        <v>0</v>
      </c>
      <c r="AQ29" s="457">
        <v>0</v>
      </c>
      <c r="AR29" s="457">
        <v>0</v>
      </c>
      <c r="AS29" s="457">
        <v>0</v>
      </c>
      <c r="AT29" s="457">
        <v>0</v>
      </c>
      <c r="AU29" s="457">
        <v>0</v>
      </c>
      <c r="AV29" s="457">
        <v>0</v>
      </c>
      <c r="AW29" s="457">
        <v>0</v>
      </c>
      <c r="AX29" s="457">
        <v>0</v>
      </c>
      <c r="AY29" s="457">
        <v>0</v>
      </c>
      <c r="AZ29" s="457">
        <v>0</v>
      </c>
      <c r="BA29" s="457">
        <v>1419640</v>
      </c>
      <c r="BB29" s="457">
        <v>1250679</v>
      </c>
      <c r="BC29" s="457">
        <v>168961</v>
      </c>
      <c r="BD29" s="457">
        <v>0</v>
      </c>
      <c r="BE29" s="457">
        <v>0</v>
      </c>
      <c r="BF29" s="457">
        <v>0</v>
      </c>
      <c r="BG29" s="457">
        <v>28972</v>
      </c>
      <c r="BH29" s="457">
        <v>25524</v>
      </c>
      <c r="BI29" s="457">
        <v>3448</v>
      </c>
    </row>
    <row r="30" spans="1:61" ht="12.75" x14ac:dyDescent="0.2">
      <c r="A30" s="446">
        <v>23</v>
      </c>
      <c r="B30" s="447" t="s">
        <v>627</v>
      </c>
      <c r="C30" s="448" t="s">
        <v>1093</v>
      </c>
      <c r="D30" s="449" t="s">
        <v>1096</v>
      </c>
      <c r="E30" s="450" t="s">
        <v>626</v>
      </c>
      <c r="F30" s="457">
        <v>23635914</v>
      </c>
      <c r="G30" s="457">
        <v>0</v>
      </c>
      <c r="H30" s="457">
        <v>0</v>
      </c>
      <c r="I30" s="457">
        <v>23635914</v>
      </c>
      <c r="J30" s="457">
        <v>23721254</v>
      </c>
      <c r="K30" s="457">
        <v>0</v>
      </c>
      <c r="L30" s="457">
        <v>0</v>
      </c>
      <c r="M30" s="457">
        <v>23721254</v>
      </c>
      <c r="N30" s="457">
        <v>-85340</v>
      </c>
      <c r="O30" s="457">
        <v>0</v>
      </c>
      <c r="P30" s="457">
        <v>0</v>
      </c>
      <c r="Q30" s="457">
        <v>-85340</v>
      </c>
      <c r="R30" s="457">
        <v>-105763</v>
      </c>
      <c r="S30" s="457">
        <v>0</v>
      </c>
      <c r="T30" s="457">
        <v>0</v>
      </c>
      <c r="U30" s="457">
        <v>-105763</v>
      </c>
      <c r="V30" s="457">
        <v>20423</v>
      </c>
      <c r="W30" s="457">
        <v>0</v>
      </c>
      <c r="X30" s="457">
        <v>0</v>
      </c>
      <c r="Y30" s="457">
        <v>20423</v>
      </c>
      <c r="Z30" s="457">
        <v>93264</v>
      </c>
      <c r="AA30" s="457">
        <v>93264</v>
      </c>
      <c r="AB30" s="457">
        <v>0</v>
      </c>
      <c r="AC30" s="457">
        <v>0</v>
      </c>
      <c r="AD30" s="457">
        <v>0</v>
      </c>
      <c r="AE30" s="457">
        <v>0</v>
      </c>
      <c r="AF30" s="457">
        <v>0</v>
      </c>
      <c r="AG30" s="457">
        <v>0</v>
      </c>
      <c r="AH30" s="457">
        <v>0</v>
      </c>
      <c r="AI30" s="457">
        <v>0</v>
      </c>
      <c r="AJ30" s="457">
        <v>0</v>
      </c>
      <c r="AK30" s="457">
        <v>0</v>
      </c>
      <c r="AL30" s="457">
        <v>0</v>
      </c>
      <c r="AM30" s="457">
        <v>0</v>
      </c>
      <c r="AN30" s="457">
        <v>0</v>
      </c>
      <c r="AO30" s="457">
        <v>0</v>
      </c>
      <c r="AP30" s="457">
        <v>0</v>
      </c>
      <c r="AQ30" s="457">
        <v>0</v>
      </c>
      <c r="AR30" s="457">
        <v>0</v>
      </c>
      <c r="AS30" s="457">
        <v>0</v>
      </c>
      <c r="AT30" s="457">
        <v>0</v>
      </c>
      <c r="AU30" s="457">
        <v>0</v>
      </c>
      <c r="AV30" s="457">
        <v>0</v>
      </c>
      <c r="AW30" s="457">
        <v>0</v>
      </c>
      <c r="AX30" s="457">
        <v>0</v>
      </c>
      <c r="AY30" s="457">
        <v>0</v>
      </c>
      <c r="AZ30" s="457">
        <v>0</v>
      </c>
      <c r="BA30" s="457">
        <v>232430</v>
      </c>
      <c r="BB30" s="457">
        <v>198427</v>
      </c>
      <c r="BC30" s="457">
        <v>34003</v>
      </c>
      <c r="BD30" s="457">
        <v>52297</v>
      </c>
      <c r="BE30" s="457">
        <v>44646</v>
      </c>
      <c r="BF30" s="457">
        <v>7651</v>
      </c>
      <c r="BG30" s="457">
        <v>5811</v>
      </c>
      <c r="BH30" s="457">
        <v>4961</v>
      </c>
      <c r="BI30" s="457">
        <v>850</v>
      </c>
    </row>
    <row r="31" spans="1:61" ht="12.75" x14ac:dyDescent="0.2">
      <c r="A31" s="446">
        <v>24</v>
      </c>
      <c r="B31" s="447" t="s">
        <v>629</v>
      </c>
      <c r="C31" s="448" t="s">
        <v>1100</v>
      </c>
      <c r="D31" s="449" t="s">
        <v>1095</v>
      </c>
      <c r="E31" s="450" t="s">
        <v>628</v>
      </c>
      <c r="F31" s="457">
        <v>103213632</v>
      </c>
      <c r="G31" s="457">
        <v>0</v>
      </c>
      <c r="H31" s="457">
        <v>0</v>
      </c>
      <c r="I31" s="457">
        <v>103213632</v>
      </c>
      <c r="J31" s="457">
        <v>103715640</v>
      </c>
      <c r="K31" s="457">
        <v>0</v>
      </c>
      <c r="L31" s="457">
        <v>0</v>
      </c>
      <c r="M31" s="457">
        <v>103715640</v>
      </c>
      <c r="N31" s="457">
        <v>-502008</v>
      </c>
      <c r="O31" s="457">
        <v>0</v>
      </c>
      <c r="P31" s="457">
        <v>0</v>
      </c>
      <c r="Q31" s="457">
        <v>-502008</v>
      </c>
      <c r="R31" s="457">
        <v>443406</v>
      </c>
      <c r="S31" s="457">
        <v>0</v>
      </c>
      <c r="T31" s="457">
        <v>0</v>
      </c>
      <c r="U31" s="457">
        <v>443406</v>
      </c>
      <c r="V31" s="457">
        <v>-945414</v>
      </c>
      <c r="W31" s="457">
        <v>0</v>
      </c>
      <c r="X31" s="457">
        <v>0</v>
      </c>
      <c r="Y31" s="457">
        <v>-945414</v>
      </c>
      <c r="Z31" s="457">
        <v>407353</v>
      </c>
      <c r="AA31" s="457">
        <v>407353</v>
      </c>
      <c r="AB31" s="457">
        <v>0</v>
      </c>
      <c r="AC31" s="457">
        <v>0</v>
      </c>
      <c r="AD31" s="457">
        <v>0</v>
      </c>
      <c r="AE31" s="457">
        <v>0</v>
      </c>
      <c r="AF31" s="457">
        <v>0</v>
      </c>
      <c r="AG31" s="457">
        <v>0</v>
      </c>
      <c r="AH31" s="457">
        <v>0</v>
      </c>
      <c r="AI31" s="457">
        <v>0</v>
      </c>
      <c r="AJ31" s="457">
        <v>0</v>
      </c>
      <c r="AK31" s="457">
        <v>0</v>
      </c>
      <c r="AL31" s="457">
        <v>0</v>
      </c>
      <c r="AM31" s="457">
        <v>0</v>
      </c>
      <c r="AN31" s="457">
        <v>0</v>
      </c>
      <c r="AO31" s="457">
        <v>0</v>
      </c>
      <c r="AP31" s="457">
        <v>0</v>
      </c>
      <c r="AQ31" s="457">
        <v>0</v>
      </c>
      <c r="AR31" s="457">
        <v>0</v>
      </c>
      <c r="AS31" s="457">
        <v>0</v>
      </c>
      <c r="AT31" s="457">
        <v>0</v>
      </c>
      <c r="AU31" s="457">
        <v>0</v>
      </c>
      <c r="AV31" s="457">
        <v>0</v>
      </c>
      <c r="AW31" s="457">
        <v>0</v>
      </c>
      <c r="AX31" s="457">
        <v>0</v>
      </c>
      <c r="AY31" s="457">
        <v>0</v>
      </c>
      <c r="AZ31" s="457">
        <v>0</v>
      </c>
      <c r="BA31" s="457">
        <v>1724550</v>
      </c>
      <c r="BB31" s="457">
        <v>1471521</v>
      </c>
      <c r="BC31" s="457">
        <v>253029</v>
      </c>
      <c r="BD31" s="457">
        <v>0</v>
      </c>
      <c r="BE31" s="457">
        <v>0</v>
      </c>
      <c r="BF31" s="457">
        <v>0</v>
      </c>
      <c r="BG31" s="457">
        <v>35195</v>
      </c>
      <c r="BH31" s="457">
        <v>30031</v>
      </c>
      <c r="BI31" s="457">
        <v>5164</v>
      </c>
    </row>
    <row r="32" spans="1:61" ht="12.75" x14ac:dyDescent="0.2">
      <c r="A32" s="446">
        <v>25</v>
      </c>
      <c r="B32" s="447" t="s">
        <v>631</v>
      </c>
      <c r="C32" s="448" t="s">
        <v>1093</v>
      </c>
      <c r="D32" s="449" t="s">
        <v>1096</v>
      </c>
      <c r="E32" s="450" t="s">
        <v>630</v>
      </c>
      <c r="F32" s="457">
        <v>18481742.899999999</v>
      </c>
      <c r="G32" s="457">
        <v>0</v>
      </c>
      <c r="H32" s="457">
        <v>0</v>
      </c>
      <c r="I32" s="457">
        <v>18481742.899999999</v>
      </c>
      <c r="J32" s="457">
        <v>18513776.199999999</v>
      </c>
      <c r="K32" s="457">
        <v>0</v>
      </c>
      <c r="L32" s="457">
        <v>0</v>
      </c>
      <c r="M32" s="457">
        <v>18513776.199999999</v>
      </c>
      <c r="N32" s="457">
        <v>-32033.26</v>
      </c>
      <c r="O32" s="457">
        <v>0</v>
      </c>
      <c r="P32" s="457">
        <v>0</v>
      </c>
      <c r="Q32" s="457">
        <v>-32033.26</v>
      </c>
      <c r="R32" s="457">
        <v>12988</v>
      </c>
      <c r="S32" s="457">
        <v>0</v>
      </c>
      <c r="T32" s="457">
        <v>0</v>
      </c>
      <c r="U32" s="457">
        <v>12988</v>
      </c>
      <c r="V32" s="457">
        <v>-45021</v>
      </c>
      <c r="W32" s="457">
        <v>0</v>
      </c>
      <c r="X32" s="457">
        <v>0</v>
      </c>
      <c r="Y32" s="457">
        <v>-45021</v>
      </c>
      <c r="Z32" s="457">
        <v>87470</v>
      </c>
      <c r="AA32" s="457">
        <v>87470</v>
      </c>
      <c r="AB32" s="457">
        <v>0</v>
      </c>
      <c r="AC32" s="457">
        <v>0</v>
      </c>
      <c r="AD32" s="457">
        <v>0</v>
      </c>
      <c r="AE32" s="457">
        <v>0</v>
      </c>
      <c r="AF32" s="457">
        <v>0</v>
      </c>
      <c r="AG32" s="457">
        <v>0</v>
      </c>
      <c r="AH32" s="457">
        <v>0</v>
      </c>
      <c r="AI32" s="457">
        <v>0</v>
      </c>
      <c r="AJ32" s="457">
        <v>0</v>
      </c>
      <c r="AK32" s="457">
        <v>0</v>
      </c>
      <c r="AL32" s="457">
        <v>0</v>
      </c>
      <c r="AM32" s="457">
        <v>0</v>
      </c>
      <c r="AN32" s="457">
        <v>0</v>
      </c>
      <c r="AO32" s="457">
        <v>0</v>
      </c>
      <c r="AP32" s="457">
        <v>0</v>
      </c>
      <c r="AQ32" s="457">
        <v>0</v>
      </c>
      <c r="AR32" s="457">
        <v>0</v>
      </c>
      <c r="AS32" s="457">
        <v>0</v>
      </c>
      <c r="AT32" s="457">
        <v>0</v>
      </c>
      <c r="AU32" s="457">
        <v>0</v>
      </c>
      <c r="AV32" s="457">
        <v>0</v>
      </c>
      <c r="AW32" s="457">
        <v>0</v>
      </c>
      <c r="AX32" s="457">
        <v>0</v>
      </c>
      <c r="AY32" s="457">
        <v>0</v>
      </c>
      <c r="AZ32" s="457">
        <v>0</v>
      </c>
      <c r="BA32" s="457">
        <v>259262</v>
      </c>
      <c r="BB32" s="457">
        <v>217540</v>
      </c>
      <c r="BC32" s="457">
        <v>41722</v>
      </c>
      <c r="BD32" s="457">
        <v>64815</v>
      </c>
      <c r="BE32" s="457">
        <v>54385</v>
      </c>
      <c r="BF32" s="457">
        <v>10430</v>
      </c>
      <c r="BG32" s="457">
        <v>0</v>
      </c>
      <c r="BH32" s="457">
        <v>0</v>
      </c>
      <c r="BI32" s="457">
        <v>0</v>
      </c>
    </row>
    <row r="33" spans="1:61" ht="12.75" x14ac:dyDescent="0.2">
      <c r="A33" s="446">
        <v>26</v>
      </c>
      <c r="B33" s="447" t="s">
        <v>633</v>
      </c>
      <c r="C33" s="448" t="s">
        <v>794</v>
      </c>
      <c r="D33" s="449" t="s">
        <v>1102</v>
      </c>
      <c r="E33" s="450" t="s">
        <v>711</v>
      </c>
      <c r="F33" s="457">
        <v>72819929.5</v>
      </c>
      <c r="G33" s="457">
        <v>0</v>
      </c>
      <c r="H33" s="457">
        <v>0</v>
      </c>
      <c r="I33" s="457">
        <v>72819929.5</v>
      </c>
      <c r="J33" s="457">
        <v>73965249</v>
      </c>
      <c r="K33" s="457">
        <v>0</v>
      </c>
      <c r="L33" s="457">
        <v>0</v>
      </c>
      <c r="M33" s="457">
        <v>73965249</v>
      </c>
      <c r="N33" s="457">
        <v>-1145319.5</v>
      </c>
      <c r="O33" s="457">
        <v>0</v>
      </c>
      <c r="P33" s="457">
        <v>0</v>
      </c>
      <c r="Q33" s="457">
        <v>-1145319.5</v>
      </c>
      <c r="R33" s="457">
        <v>91368</v>
      </c>
      <c r="S33" s="457">
        <v>0</v>
      </c>
      <c r="T33" s="457">
        <v>0</v>
      </c>
      <c r="U33" s="457">
        <v>91368</v>
      </c>
      <c r="V33" s="457">
        <v>-1236688</v>
      </c>
      <c r="W33" s="457">
        <v>0</v>
      </c>
      <c r="X33" s="457">
        <v>0</v>
      </c>
      <c r="Y33" s="457">
        <v>-1236688</v>
      </c>
      <c r="Z33" s="457">
        <v>305765</v>
      </c>
      <c r="AA33" s="457">
        <v>305765</v>
      </c>
      <c r="AB33" s="457">
        <v>0</v>
      </c>
      <c r="AC33" s="457">
        <v>0</v>
      </c>
      <c r="AD33" s="457">
        <v>0</v>
      </c>
      <c r="AE33" s="457">
        <v>0</v>
      </c>
      <c r="AF33" s="457">
        <v>0</v>
      </c>
      <c r="AG33" s="457">
        <v>0</v>
      </c>
      <c r="AH33" s="457">
        <v>0</v>
      </c>
      <c r="AI33" s="457">
        <v>360</v>
      </c>
      <c r="AJ33" s="457">
        <v>0</v>
      </c>
      <c r="AK33" s="457">
        <v>360</v>
      </c>
      <c r="AL33" s="457">
        <v>0</v>
      </c>
      <c r="AM33" s="457">
        <v>0</v>
      </c>
      <c r="AN33" s="457">
        <v>0</v>
      </c>
      <c r="AO33" s="457">
        <v>0</v>
      </c>
      <c r="AP33" s="457">
        <v>0</v>
      </c>
      <c r="AQ33" s="457">
        <v>0</v>
      </c>
      <c r="AR33" s="457">
        <v>0</v>
      </c>
      <c r="AS33" s="457">
        <v>0</v>
      </c>
      <c r="AT33" s="457">
        <v>0</v>
      </c>
      <c r="AU33" s="457">
        <v>0</v>
      </c>
      <c r="AV33" s="457">
        <v>0</v>
      </c>
      <c r="AW33" s="457">
        <v>0</v>
      </c>
      <c r="AX33" s="457">
        <v>0</v>
      </c>
      <c r="AY33" s="457">
        <v>0</v>
      </c>
      <c r="AZ33" s="457">
        <v>0</v>
      </c>
      <c r="BA33" s="457">
        <v>1049789</v>
      </c>
      <c r="BB33" s="457">
        <v>918347</v>
      </c>
      <c r="BC33" s="457">
        <v>131442</v>
      </c>
      <c r="BD33" s="457">
        <v>0</v>
      </c>
      <c r="BE33" s="457">
        <v>0</v>
      </c>
      <c r="BF33" s="457">
        <v>0</v>
      </c>
      <c r="BG33" s="457">
        <v>21424</v>
      </c>
      <c r="BH33" s="457">
        <v>18742</v>
      </c>
      <c r="BI33" s="457">
        <v>2682</v>
      </c>
    </row>
    <row r="34" spans="1:61" ht="12.75" x14ac:dyDescent="0.2">
      <c r="A34" s="446">
        <v>27</v>
      </c>
      <c r="B34" s="447" t="s">
        <v>635</v>
      </c>
      <c r="C34" s="448" t="s">
        <v>794</v>
      </c>
      <c r="D34" s="449" t="s">
        <v>1094</v>
      </c>
      <c r="E34" s="450" t="s">
        <v>712</v>
      </c>
      <c r="F34" s="457">
        <v>76379714</v>
      </c>
      <c r="G34" s="457">
        <v>0</v>
      </c>
      <c r="H34" s="457">
        <v>0</v>
      </c>
      <c r="I34" s="457">
        <v>76379714</v>
      </c>
      <c r="J34" s="457">
        <v>77251480</v>
      </c>
      <c r="K34" s="457">
        <v>0</v>
      </c>
      <c r="L34" s="457">
        <v>0</v>
      </c>
      <c r="M34" s="457">
        <v>77251480</v>
      </c>
      <c r="N34" s="457">
        <v>-871766</v>
      </c>
      <c r="O34" s="457">
        <v>0</v>
      </c>
      <c r="P34" s="457">
        <v>0</v>
      </c>
      <c r="Q34" s="457">
        <v>-871766</v>
      </c>
      <c r="R34" s="457">
        <v>72375</v>
      </c>
      <c r="S34" s="457">
        <v>0</v>
      </c>
      <c r="T34" s="457">
        <v>0</v>
      </c>
      <c r="U34" s="457">
        <v>72375</v>
      </c>
      <c r="V34" s="457">
        <v>-944141</v>
      </c>
      <c r="W34" s="457">
        <v>0</v>
      </c>
      <c r="X34" s="457">
        <v>0</v>
      </c>
      <c r="Y34" s="457">
        <v>-944141</v>
      </c>
      <c r="Z34" s="457">
        <v>143520</v>
      </c>
      <c r="AA34" s="457">
        <v>143520</v>
      </c>
      <c r="AB34" s="457">
        <v>0</v>
      </c>
      <c r="AC34" s="457">
        <v>0</v>
      </c>
      <c r="AD34" s="457">
        <v>0</v>
      </c>
      <c r="AE34" s="457">
        <v>0</v>
      </c>
      <c r="AF34" s="457">
        <v>0</v>
      </c>
      <c r="AG34" s="457">
        <v>0</v>
      </c>
      <c r="AH34" s="457">
        <v>0</v>
      </c>
      <c r="AI34" s="457">
        <v>730</v>
      </c>
      <c r="AJ34" s="457">
        <v>10000</v>
      </c>
      <c r="AK34" s="457">
        <v>-9270</v>
      </c>
      <c r="AL34" s="457">
        <v>0</v>
      </c>
      <c r="AM34" s="457">
        <v>0</v>
      </c>
      <c r="AN34" s="457">
        <v>0</v>
      </c>
      <c r="AO34" s="457">
        <v>0</v>
      </c>
      <c r="AP34" s="457">
        <v>0</v>
      </c>
      <c r="AQ34" s="457">
        <v>0</v>
      </c>
      <c r="AR34" s="457">
        <v>0</v>
      </c>
      <c r="AS34" s="457">
        <v>0</v>
      </c>
      <c r="AT34" s="457">
        <v>0</v>
      </c>
      <c r="AU34" s="457">
        <v>0</v>
      </c>
      <c r="AV34" s="457">
        <v>0</v>
      </c>
      <c r="AW34" s="457">
        <v>0</v>
      </c>
      <c r="AX34" s="457">
        <v>0</v>
      </c>
      <c r="AY34" s="457">
        <v>0</v>
      </c>
      <c r="AZ34" s="457">
        <v>0</v>
      </c>
      <c r="BA34" s="457">
        <v>188642</v>
      </c>
      <c r="BB34" s="457">
        <v>172425</v>
      </c>
      <c r="BC34" s="457">
        <v>16217</v>
      </c>
      <c r="BD34" s="457">
        <v>0</v>
      </c>
      <c r="BE34" s="457">
        <v>0</v>
      </c>
      <c r="BF34" s="457">
        <v>0</v>
      </c>
      <c r="BG34" s="457">
        <v>3850</v>
      </c>
      <c r="BH34" s="457">
        <v>3519</v>
      </c>
      <c r="BI34" s="457">
        <v>331</v>
      </c>
    </row>
    <row r="35" spans="1:61" ht="12.75" x14ac:dyDescent="0.2">
      <c r="A35" s="446">
        <v>28</v>
      </c>
      <c r="B35" s="447" t="s">
        <v>637</v>
      </c>
      <c r="C35" s="448" t="s">
        <v>1100</v>
      </c>
      <c r="D35" s="449" t="s">
        <v>1101</v>
      </c>
      <c r="E35" s="450" t="s">
        <v>636</v>
      </c>
      <c r="F35" s="457">
        <v>138775996</v>
      </c>
      <c r="G35" s="457">
        <v>0</v>
      </c>
      <c r="H35" s="457">
        <v>0</v>
      </c>
      <c r="I35" s="457">
        <v>138775996</v>
      </c>
      <c r="J35" s="457">
        <v>139785175</v>
      </c>
      <c r="K35" s="457">
        <v>0</v>
      </c>
      <c r="L35" s="457">
        <v>0</v>
      </c>
      <c r="M35" s="457">
        <v>139785175</v>
      </c>
      <c r="N35" s="457">
        <v>-1009178.5</v>
      </c>
      <c r="O35" s="457">
        <v>0</v>
      </c>
      <c r="P35" s="457">
        <v>0</v>
      </c>
      <c r="Q35" s="457">
        <v>-1009178.5</v>
      </c>
      <c r="R35" s="457">
        <v>448074</v>
      </c>
      <c r="S35" s="457">
        <v>0</v>
      </c>
      <c r="T35" s="457">
        <v>0</v>
      </c>
      <c r="U35" s="457">
        <v>448074</v>
      </c>
      <c r="V35" s="457">
        <v>-1457253</v>
      </c>
      <c r="W35" s="457">
        <v>0</v>
      </c>
      <c r="X35" s="457">
        <v>0</v>
      </c>
      <c r="Y35" s="457">
        <v>-1457253</v>
      </c>
      <c r="Z35" s="457">
        <v>734055</v>
      </c>
      <c r="AA35" s="457">
        <v>734055</v>
      </c>
      <c r="AB35" s="457">
        <v>0</v>
      </c>
      <c r="AC35" s="457">
        <v>0</v>
      </c>
      <c r="AD35" s="457">
        <v>0</v>
      </c>
      <c r="AE35" s="457">
        <v>0</v>
      </c>
      <c r="AF35" s="457">
        <v>0</v>
      </c>
      <c r="AG35" s="457">
        <v>0</v>
      </c>
      <c r="AH35" s="457">
        <v>0</v>
      </c>
      <c r="AI35" s="457">
        <v>0</v>
      </c>
      <c r="AJ35" s="457">
        <v>0</v>
      </c>
      <c r="AK35" s="457">
        <v>0</v>
      </c>
      <c r="AL35" s="457">
        <v>0</v>
      </c>
      <c r="AM35" s="457">
        <v>0</v>
      </c>
      <c r="AN35" s="457">
        <v>0</v>
      </c>
      <c r="AO35" s="457">
        <v>0</v>
      </c>
      <c r="AP35" s="457">
        <v>0</v>
      </c>
      <c r="AQ35" s="457">
        <v>0</v>
      </c>
      <c r="AR35" s="457">
        <v>0</v>
      </c>
      <c r="AS35" s="457">
        <v>0</v>
      </c>
      <c r="AT35" s="457">
        <v>0</v>
      </c>
      <c r="AU35" s="457">
        <v>0</v>
      </c>
      <c r="AV35" s="457">
        <v>0</v>
      </c>
      <c r="AW35" s="457">
        <v>0</v>
      </c>
      <c r="AX35" s="457">
        <v>0</v>
      </c>
      <c r="AY35" s="457">
        <v>0</v>
      </c>
      <c r="AZ35" s="457">
        <v>0</v>
      </c>
      <c r="BA35" s="457">
        <v>3354612</v>
      </c>
      <c r="BB35" s="457">
        <v>2810755</v>
      </c>
      <c r="BC35" s="457">
        <v>543857</v>
      </c>
      <c r="BD35" s="457">
        <v>0</v>
      </c>
      <c r="BE35" s="457">
        <v>0</v>
      </c>
      <c r="BF35" s="457">
        <v>0</v>
      </c>
      <c r="BG35" s="457">
        <v>68461</v>
      </c>
      <c r="BH35" s="457">
        <v>57362</v>
      </c>
      <c r="BI35" s="457">
        <v>11099</v>
      </c>
    </row>
    <row r="36" spans="1:61" ht="12.75" x14ac:dyDescent="0.2">
      <c r="A36" s="446">
        <v>29</v>
      </c>
      <c r="B36" s="447" t="s">
        <v>639</v>
      </c>
      <c r="C36" s="448" t="s">
        <v>1093</v>
      </c>
      <c r="D36" s="449" t="s">
        <v>1097</v>
      </c>
      <c r="E36" s="450" t="s">
        <v>638</v>
      </c>
      <c r="F36" s="457">
        <v>46997438</v>
      </c>
      <c r="G36" s="457">
        <v>0</v>
      </c>
      <c r="H36" s="457">
        <v>0</v>
      </c>
      <c r="I36" s="457">
        <v>46997438</v>
      </c>
      <c r="J36" s="457">
        <v>46994799</v>
      </c>
      <c r="K36" s="457">
        <v>0</v>
      </c>
      <c r="L36" s="457">
        <v>0</v>
      </c>
      <c r="M36" s="457">
        <v>46994799</v>
      </c>
      <c r="N36" s="457">
        <v>2639</v>
      </c>
      <c r="O36" s="457">
        <v>0</v>
      </c>
      <c r="P36" s="457">
        <v>0</v>
      </c>
      <c r="Q36" s="457">
        <v>2639</v>
      </c>
      <c r="R36" s="457">
        <v>111748</v>
      </c>
      <c r="S36" s="457">
        <v>0</v>
      </c>
      <c r="T36" s="457">
        <v>0</v>
      </c>
      <c r="U36" s="457">
        <v>111748</v>
      </c>
      <c r="V36" s="457">
        <v>-109109</v>
      </c>
      <c r="W36" s="457">
        <v>0</v>
      </c>
      <c r="X36" s="457">
        <v>0</v>
      </c>
      <c r="Y36" s="457">
        <v>-109109</v>
      </c>
      <c r="Z36" s="457">
        <v>186394</v>
      </c>
      <c r="AA36" s="457">
        <v>186394</v>
      </c>
      <c r="AB36" s="457">
        <v>0</v>
      </c>
      <c r="AC36" s="457">
        <v>0</v>
      </c>
      <c r="AD36" s="457">
        <v>0</v>
      </c>
      <c r="AE36" s="457">
        <v>0</v>
      </c>
      <c r="AF36" s="457">
        <v>0</v>
      </c>
      <c r="AG36" s="457">
        <v>0</v>
      </c>
      <c r="AH36" s="457">
        <v>0</v>
      </c>
      <c r="AI36" s="457">
        <v>0</v>
      </c>
      <c r="AJ36" s="457">
        <v>0</v>
      </c>
      <c r="AK36" s="457">
        <v>0</v>
      </c>
      <c r="AL36" s="457">
        <v>0</v>
      </c>
      <c r="AM36" s="457">
        <v>0</v>
      </c>
      <c r="AN36" s="457">
        <v>0</v>
      </c>
      <c r="AO36" s="457">
        <v>0</v>
      </c>
      <c r="AP36" s="457">
        <v>0</v>
      </c>
      <c r="AQ36" s="457">
        <v>0</v>
      </c>
      <c r="AR36" s="457">
        <v>0</v>
      </c>
      <c r="AS36" s="457">
        <v>0</v>
      </c>
      <c r="AT36" s="457">
        <v>0</v>
      </c>
      <c r="AU36" s="457">
        <v>0</v>
      </c>
      <c r="AV36" s="457">
        <v>0</v>
      </c>
      <c r="AW36" s="457">
        <v>0</v>
      </c>
      <c r="AX36" s="457">
        <v>0</v>
      </c>
      <c r="AY36" s="457">
        <v>0</v>
      </c>
      <c r="AZ36" s="457">
        <v>0</v>
      </c>
      <c r="BA36" s="457">
        <v>558095</v>
      </c>
      <c r="BB36" s="457">
        <v>469613</v>
      </c>
      <c r="BC36" s="457">
        <v>88482</v>
      </c>
      <c r="BD36" s="457">
        <v>125571</v>
      </c>
      <c r="BE36" s="457">
        <v>105663</v>
      </c>
      <c r="BF36" s="457">
        <v>19908</v>
      </c>
      <c r="BG36" s="457">
        <v>13952</v>
      </c>
      <c r="BH36" s="457">
        <v>11740</v>
      </c>
      <c r="BI36" s="457">
        <v>2212</v>
      </c>
    </row>
    <row r="37" spans="1:61" ht="12.75" x14ac:dyDescent="0.2">
      <c r="A37" s="446">
        <v>30</v>
      </c>
      <c r="B37" s="447" t="s">
        <v>641</v>
      </c>
      <c r="C37" s="448" t="s">
        <v>1093</v>
      </c>
      <c r="D37" s="449" t="s">
        <v>1097</v>
      </c>
      <c r="E37" s="450" t="s">
        <v>640</v>
      </c>
      <c r="F37" s="457">
        <v>29583667</v>
      </c>
      <c r="G37" s="457">
        <v>0</v>
      </c>
      <c r="H37" s="457">
        <v>0</v>
      </c>
      <c r="I37" s="457">
        <v>29583667</v>
      </c>
      <c r="J37" s="457">
        <v>29261302</v>
      </c>
      <c r="K37" s="457">
        <v>0</v>
      </c>
      <c r="L37" s="457">
        <v>0</v>
      </c>
      <c r="M37" s="457">
        <v>29261302</v>
      </c>
      <c r="N37" s="457">
        <v>322365</v>
      </c>
      <c r="O37" s="457">
        <v>0</v>
      </c>
      <c r="P37" s="457">
        <v>0</v>
      </c>
      <c r="Q37" s="457">
        <v>322365</v>
      </c>
      <c r="R37" s="457">
        <v>129540</v>
      </c>
      <c r="S37" s="457">
        <v>0</v>
      </c>
      <c r="T37" s="457">
        <v>0</v>
      </c>
      <c r="U37" s="457">
        <v>129540</v>
      </c>
      <c r="V37" s="457">
        <v>192825</v>
      </c>
      <c r="W37" s="457">
        <v>0</v>
      </c>
      <c r="X37" s="457">
        <v>0</v>
      </c>
      <c r="Y37" s="457">
        <v>192825</v>
      </c>
      <c r="Z37" s="457">
        <v>167038</v>
      </c>
      <c r="AA37" s="457">
        <v>167038</v>
      </c>
      <c r="AB37" s="457">
        <v>0</v>
      </c>
      <c r="AC37" s="457">
        <v>0</v>
      </c>
      <c r="AD37" s="457">
        <v>0</v>
      </c>
      <c r="AE37" s="457">
        <v>0</v>
      </c>
      <c r="AF37" s="457">
        <v>0</v>
      </c>
      <c r="AG37" s="457">
        <v>0</v>
      </c>
      <c r="AH37" s="457">
        <v>0</v>
      </c>
      <c r="AI37" s="457">
        <v>29673</v>
      </c>
      <c r="AJ37" s="457">
        <v>0</v>
      </c>
      <c r="AK37" s="457">
        <v>29673</v>
      </c>
      <c r="AL37" s="457">
        <v>0</v>
      </c>
      <c r="AM37" s="457">
        <v>0</v>
      </c>
      <c r="AN37" s="457">
        <v>0</v>
      </c>
      <c r="AO37" s="457">
        <v>0</v>
      </c>
      <c r="AP37" s="457">
        <v>0</v>
      </c>
      <c r="AQ37" s="457">
        <v>0</v>
      </c>
      <c r="AR37" s="457">
        <v>0</v>
      </c>
      <c r="AS37" s="457">
        <v>0</v>
      </c>
      <c r="AT37" s="457">
        <v>0</v>
      </c>
      <c r="AU37" s="457">
        <v>0</v>
      </c>
      <c r="AV37" s="457">
        <v>0</v>
      </c>
      <c r="AW37" s="457">
        <v>0</v>
      </c>
      <c r="AX37" s="457">
        <v>0</v>
      </c>
      <c r="AY37" s="457">
        <v>0</v>
      </c>
      <c r="AZ37" s="457">
        <v>0</v>
      </c>
      <c r="BA37" s="457">
        <v>539320</v>
      </c>
      <c r="BB37" s="457">
        <v>460656</v>
      </c>
      <c r="BC37" s="457">
        <v>78664</v>
      </c>
      <c r="BD37" s="457">
        <v>134830</v>
      </c>
      <c r="BE37" s="457">
        <v>115164</v>
      </c>
      <c r="BF37" s="457">
        <v>19666</v>
      </c>
      <c r="BG37" s="457">
        <v>0</v>
      </c>
      <c r="BH37" s="457">
        <v>0</v>
      </c>
      <c r="BI37" s="457">
        <v>0</v>
      </c>
    </row>
    <row r="38" spans="1:61" ht="12.75" x14ac:dyDescent="0.2">
      <c r="A38" s="446">
        <v>31</v>
      </c>
      <c r="B38" s="447" t="s">
        <v>643</v>
      </c>
      <c r="C38" s="448" t="s">
        <v>1098</v>
      </c>
      <c r="D38" s="449" t="s">
        <v>1099</v>
      </c>
      <c r="E38" s="450" t="s">
        <v>642</v>
      </c>
      <c r="F38" s="457">
        <v>109445940</v>
      </c>
      <c r="G38" s="457">
        <v>0</v>
      </c>
      <c r="H38" s="457">
        <v>0</v>
      </c>
      <c r="I38" s="457">
        <v>109445940</v>
      </c>
      <c r="J38" s="457">
        <v>109373894</v>
      </c>
      <c r="K38" s="457">
        <v>0</v>
      </c>
      <c r="L38" s="457">
        <v>0</v>
      </c>
      <c r="M38" s="457">
        <v>109373894</v>
      </c>
      <c r="N38" s="457">
        <v>72046</v>
      </c>
      <c r="O38" s="457">
        <v>0</v>
      </c>
      <c r="P38" s="457">
        <v>0</v>
      </c>
      <c r="Q38" s="457">
        <v>72046</v>
      </c>
      <c r="R38" s="457">
        <v>289651</v>
      </c>
      <c r="S38" s="457">
        <v>0</v>
      </c>
      <c r="T38" s="457">
        <v>0</v>
      </c>
      <c r="U38" s="457">
        <v>289651</v>
      </c>
      <c r="V38" s="457">
        <v>-217605</v>
      </c>
      <c r="W38" s="457">
        <v>0</v>
      </c>
      <c r="X38" s="457">
        <v>0</v>
      </c>
      <c r="Y38" s="457">
        <v>-217605</v>
      </c>
      <c r="Z38" s="457">
        <v>416951</v>
      </c>
      <c r="AA38" s="457">
        <v>416951</v>
      </c>
      <c r="AB38" s="457">
        <v>0</v>
      </c>
      <c r="AC38" s="457">
        <v>0</v>
      </c>
      <c r="AD38" s="457">
        <v>0</v>
      </c>
      <c r="AE38" s="457">
        <v>0</v>
      </c>
      <c r="AF38" s="457">
        <v>0</v>
      </c>
      <c r="AG38" s="457">
        <v>0</v>
      </c>
      <c r="AH38" s="457">
        <v>0</v>
      </c>
      <c r="AI38" s="457">
        <v>0</v>
      </c>
      <c r="AJ38" s="457">
        <v>0</v>
      </c>
      <c r="AK38" s="457">
        <v>0</v>
      </c>
      <c r="AL38" s="457">
        <v>0</v>
      </c>
      <c r="AM38" s="457">
        <v>0</v>
      </c>
      <c r="AN38" s="457">
        <v>0</v>
      </c>
      <c r="AO38" s="457">
        <v>0</v>
      </c>
      <c r="AP38" s="457">
        <v>0</v>
      </c>
      <c r="AQ38" s="457">
        <v>0</v>
      </c>
      <c r="AR38" s="457">
        <v>0</v>
      </c>
      <c r="AS38" s="457">
        <v>0</v>
      </c>
      <c r="AT38" s="457">
        <v>0</v>
      </c>
      <c r="AU38" s="457">
        <v>0</v>
      </c>
      <c r="AV38" s="457">
        <v>0</v>
      </c>
      <c r="AW38" s="457">
        <v>0</v>
      </c>
      <c r="AX38" s="457">
        <v>0</v>
      </c>
      <c r="AY38" s="457">
        <v>0</v>
      </c>
      <c r="AZ38" s="457">
        <v>0</v>
      </c>
      <c r="BA38" s="457">
        <v>600534</v>
      </c>
      <c r="BB38" s="457">
        <v>497946</v>
      </c>
      <c r="BC38" s="457">
        <v>102588</v>
      </c>
      <c r="BD38" s="457">
        <v>400356</v>
      </c>
      <c r="BE38" s="457">
        <v>331964</v>
      </c>
      <c r="BF38" s="457">
        <v>68392</v>
      </c>
      <c r="BG38" s="457">
        <v>0</v>
      </c>
      <c r="BH38" s="457">
        <v>0</v>
      </c>
      <c r="BI38" s="457">
        <v>0</v>
      </c>
    </row>
    <row r="39" spans="1:61" ht="12.75" x14ac:dyDescent="0.2">
      <c r="A39" s="446">
        <v>32</v>
      </c>
      <c r="B39" s="447" t="s">
        <v>645</v>
      </c>
      <c r="C39" s="448" t="s">
        <v>1093</v>
      </c>
      <c r="D39" s="449" t="s">
        <v>1097</v>
      </c>
      <c r="E39" s="450" t="s">
        <v>644</v>
      </c>
      <c r="F39" s="457">
        <v>26596941</v>
      </c>
      <c r="G39" s="457">
        <v>0</v>
      </c>
      <c r="H39" s="457">
        <v>0</v>
      </c>
      <c r="I39" s="457">
        <v>26596941</v>
      </c>
      <c r="J39" s="457">
        <v>26705505</v>
      </c>
      <c r="K39" s="457">
        <v>0</v>
      </c>
      <c r="L39" s="457">
        <v>0</v>
      </c>
      <c r="M39" s="457">
        <v>26705505</v>
      </c>
      <c r="N39" s="457">
        <v>-108564</v>
      </c>
      <c r="O39" s="457">
        <v>0</v>
      </c>
      <c r="P39" s="457">
        <v>0</v>
      </c>
      <c r="Q39" s="457">
        <v>-108564</v>
      </c>
      <c r="R39" s="457">
        <v>42659</v>
      </c>
      <c r="S39" s="457">
        <v>0</v>
      </c>
      <c r="T39" s="457">
        <v>0</v>
      </c>
      <c r="U39" s="457">
        <v>42659</v>
      </c>
      <c r="V39" s="457">
        <v>-151223</v>
      </c>
      <c r="W39" s="457">
        <v>0</v>
      </c>
      <c r="X39" s="457">
        <v>0</v>
      </c>
      <c r="Y39" s="457">
        <v>-151223</v>
      </c>
      <c r="Z39" s="457">
        <v>104553</v>
      </c>
      <c r="AA39" s="457">
        <v>104553</v>
      </c>
      <c r="AB39" s="457">
        <v>0</v>
      </c>
      <c r="AC39" s="457">
        <v>0</v>
      </c>
      <c r="AD39" s="457">
        <v>0</v>
      </c>
      <c r="AE39" s="457">
        <v>0</v>
      </c>
      <c r="AF39" s="457">
        <v>0</v>
      </c>
      <c r="AG39" s="457">
        <v>0</v>
      </c>
      <c r="AH39" s="457">
        <v>0</v>
      </c>
      <c r="AI39" s="457">
        <v>0</v>
      </c>
      <c r="AJ39" s="457">
        <v>0</v>
      </c>
      <c r="AK39" s="457">
        <v>0</v>
      </c>
      <c r="AL39" s="457">
        <v>0</v>
      </c>
      <c r="AM39" s="457">
        <v>0</v>
      </c>
      <c r="AN39" s="457">
        <v>0</v>
      </c>
      <c r="AO39" s="457">
        <v>0</v>
      </c>
      <c r="AP39" s="457">
        <v>0</v>
      </c>
      <c r="AQ39" s="457">
        <v>0</v>
      </c>
      <c r="AR39" s="457">
        <v>0</v>
      </c>
      <c r="AS39" s="457">
        <v>0</v>
      </c>
      <c r="AT39" s="457">
        <v>0</v>
      </c>
      <c r="AU39" s="457">
        <v>0</v>
      </c>
      <c r="AV39" s="457">
        <v>0</v>
      </c>
      <c r="AW39" s="457">
        <v>0</v>
      </c>
      <c r="AX39" s="457">
        <v>0</v>
      </c>
      <c r="AY39" s="457">
        <v>0</v>
      </c>
      <c r="AZ39" s="457">
        <v>0</v>
      </c>
      <c r="BA39" s="457">
        <v>206712</v>
      </c>
      <c r="BB39" s="457">
        <v>178251</v>
      </c>
      <c r="BC39" s="457">
        <v>28461</v>
      </c>
      <c r="BD39" s="457">
        <v>46510</v>
      </c>
      <c r="BE39" s="457">
        <v>40107</v>
      </c>
      <c r="BF39" s="457">
        <v>6403</v>
      </c>
      <c r="BG39" s="457">
        <v>5168</v>
      </c>
      <c r="BH39" s="457">
        <v>4456</v>
      </c>
      <c r="BI39" s="457">
        <v>712</v>
      </c>
    </row>
    <row r="40" spans="1:61" ht="12.75" x14ac:dyDescent="0.2">
      <c r="A40" s="446">
        <v>33</v>
      </c>
      <c r="B40" s="447" t="s">
        <v>647</v>
      </c>
      <c r="C40" s="448" t="s">
        <v>794</v>
      </c>
      <c r="D40" s="449" t="s">
        <v>1094</v>
      </c>
      <c r="E40" s="450" t="s">
        <v>1111</v>
      </c>
      <c r="F40" s="457">
        <v>121666684</v>
      </c>
      <c r="G40" s="457">
        <v>0</v>
      </c>
      <c r="H40" s="457">
        <v>0</v>
      </c>
      <c r="I40" s="457">
        <v>121666684</v>
      </c>
      <c r="J40" s="457">
        <v>121967718</v>
      </c>
      <c r="K40" s="457">
        <v>0</v>
      </c>
      <c r="L40" s="457">
        <v>0</v>
      </c>
      <c r="M40" s="457">
        <v>121967718</v>
      </c>
      <c r="N40" s="457">
        <v>-301034</v>
      </c>
      <c r="O40" s="457">
        <v>0</v>
      </c>
      <c r="P40" s="457">
        <v>0</v>
      </c>
      <c r="Q40" s="457">
        <v>-301034</v>
      </c>
      <c r="R40" s="457">
        <v>122853</v>
      </c>
      <c r="S40" s="457">
        <v>0</v>
      </c>
      <c r="T40" s="457">
        <v>0</v>
      </c>
      <c r="U40" s="457">
        <v>122853</v>
      </c>
      <c r="V40" s="457">
        <v>-423887</v>
      </c>
      <c r="W40" s="457">
        <v>0</v>
      </c>
      <c r="X40" s="457">
        <v>0</v>
      </c>
      <c r="Y40" s="457">
        <v>-423887</v>
      </c>
      <c r="Z40" s="457">
        <v>417809</v>
      </c>
      <c r="AA40" s="457">
        <v>417809</v>
      </c>
      <c r="AB40" s="457">
        <v>0</v>
      </c>
      <c r="AC40" s="457">
        <v>0</v>
      </c>
      <c r="AD40" s="457">
        <v>0</v>
      </c>
      <c r="AE40" s="457">
        <v>0</v>
      </c>
      <c r="AF40" s="457">
        <v>0</v>
      </c>
      <c r="AG40" s="457">
        <v>0</v>
      </c>
      <c r="AH40" s="457">
        <v>0</v>
      </c>
      <c r="AI40" s="457">
        <v>0</v>
      </c>
      <c r="AJ40" s="457">
        <v>0</v>
      </c>
      <c r="AK40" s="457">
        <v>0</v>
      </c>
      <c r="AL40" s="457">
        <v>0</v>
      </c>
      <c r="AM40" s="457">
        <v>0</v>
      </c>
      <c r="AN40" s="457">
        <v>0</v>
      </c>
      <c r="AO40" s="457">
        <v>0</v>
      </c>
      <c r="AP40" s="457">
        <v>0</v>
      </c>
      <c r="AQ40" s="457">
        <v>0</v>
      </c>
      <c r="AR40" s="457">
        <v>0</v>
      </c>
      <c r="AS40" s="457">
        <v>0</v>
      </c>
      <c r="AT40" s="457">
        <v>0</v>
      </c>
      <c r="AU40" s="457">
        <v>0</v>
      </c>
      <c r="AV40" s="457">
        <v>0</v>
      </c>
      <c r="AW40" s="457">
        <v>0</v>
      </c>
      <c r="AX40" s="457">
        <v>0</v>
      </c>
      <c r="AY40" s="457">
        <v>0</v>
      </c>
      <c r="AZ40" s="457">
        <v>0</v>
      </c>
      <c r="BA40" s="457">
        <v>1415898</v>
      </c>
      <c r="BB40" s="457">
        <v>1223130</v>
      </c>
      <c r="BC40" s="457">
        <v>192768</v>
      </c>
      <c r="BD40" s="457">
        <v>0</v>
      </c>
      <c r="BE40" s="457">
        <v>0</v>
      </c>
      <c r="BF40" s="457">
        <v>0</v>
      </c>
      <c r="BG40" s="457">
        <v>28896</v>
      </c>
      <c r="BH40" s="457">
        <v>24962</v>
      </c>
      <c r="BI40" s="457">
        <v>3934</v>
      </c>
    </row>
    <row r="41" spans="1:61" ht="12.75" x14ac:dyDescent="0.2">
      <c r="A41" s="446">
        <v>34</v>
      </c>
      <c r="B41" s="447" t="s">
        <v>649</v>
      </c>
      <c r="C41" s="448" t="s">
        <v>794</v>
      </c>
      <c r="D41" s="449" t="s">
        <v>1102</v>
      </c>
      <c r="E41" s="450" t="s">
        <v>648</v>
      </c>
      <c r="F41" s="457">
        <v>196309331</v>
      </c>
      <c r="G41" s="457">
        <v>0</v>
      </c>
      <c r="H41" s="457">
        <v>12631026</v>
      </c>
      <c r="I41" s="457">
        <v>208940357</v>
      </c>
      <c r="J41" s="457">
        <v>194220090</v>
      </c>
      <c r="K41" s="457">
        <v>0</v>
      </c>
      <c r="L41" s="457">
        <v>12547523</v>
      </c>
      <c r="M41" s="457">
        <v>206767613</v>
      </c>
      <c r="N41" s="457">
        <v>2089241</v>
      </c>
      <c r="O41" s="457">
        <v>0</v>
      </c>
      <c r="P41" s="457">
        <v>83503</v>
      </c>
      <c r="Q41" s="457">
        <v>2172744</v>
      </c>
      <c r="R41" s="457">
        <v>3052424</v>
      </c>
      <c r="S41" s="457">
        <v>0</v>
      </c>
      <c r="T41" s="457">
        <v>0</v>
      </c>
      <c r="U41" s="457">
        <v>3052424</v>
      </c>
      <c r="V41" s="457">
        <v>-963183</v>
      </c>
      <c r="W41" s="457">
        <v>0</v>
      </c>
      <c r="X41" s="457">
        <v>83503</v>
      </c>
      <c r="Y41" s="457">
        <v>-879680</v>
      </c>
      <c r="Z41" s="457">
        <v>720617</v>
      </c>
      <c r="AA41" s="457">
        <v>720617</v>
      </c>
      <c r="AB41" s="457">
        <v>0</v>
      </c>
      <c r="AC41" s="457">
        <v>0</v>
      </c>
      <c r="AD41" s="457">
        <v>0</v>
      </c>
      <c r="AE41" s="457">
        <v>0</v>
      </c>
      <c r="AF41" s="457">
        <v>0</v>
      </c>
      <c r="AG41" s="457">
        <v>0</v>
      </c>
      <c r="AH41" s="457">
        <v>0</v>
      </c>
      <c r="AI41" s="457">
        <v>221</v>
      </c>
      <c r="AJ41" s="457">
        <v>0</v>
      </c>
      <c r="AK41" s="457">
        <v>221</v>
      </c>
      <c r="AL41" s="457">
        <v>0</v>
      </c>
      <c r="AM41" s="457">
        <v>0</v>
      </c>
      <c r="AN41" s="457">
        <v>0</v>
      </c>
      <c r="AO41" s="457">
        <v>341768</v>
      </c>
      <c r="AP41" s="457">
        <v>1000000</v>
      </c>
      <c r="AQ41" s="457">
        <v>-658232</v>
      </c>
      <c r="AR41" s="457">
        <v>341768</v>
      </c>
      <c r="AS41" s="457">
        <v>1000000</v>
      </c>
      <c r="AT41" s="457">
        <v>-658232</v>
      </c>
      <c r="AU41" s="457">
        <v>0</v>
      </c>
      <c r="AV41" s="457">
        <v>0</v>
      </c>
      <c r="AW41" s="457">
        <v>0</v>
      </c>
      <c r="AX41" s="457">
        <v>0</v>
      </c>
      <c r="AY41" s="457">
        <v>0</v>
      </c>
      <c r="AZ41" s="457">
        <v>0</v>
      </c>
      <c r="BA41" s="457">
        <v>1922725</v>
      </c>
      <c r="BB41" s="457">
        <v>1593391</v>
      </c>
      <c r="BC41" s="457">
        <v>329334</v>
      </c>
      <c r="BD41" s="457">
        <v>0</v>
      </c>
      <c r="BE41" s="457">
        <v>0</v>
      </c>
      <c r="BF41" s="457">
        <v>0</v>
      </c>
      <c r="BG41" s="457">
        <v>38473</v>
      </c>
      <c r="BH41" s="457">
        <v>32518</v>
      </c>
      <c r="BI41" s="457">
        <v>5955</v>
      </c>
    </row>
    <row r="42" spans="1:61" ht="12.75" x14ac:dyDescent="0.2">
      <c r="A42" s="446">
        <v>35</v>
      </c>
      <c r="B42" s="447" t="s">
        <v>651</v>
      </c>
      <c r="C42" s="448" t="s">
        <v>1093</v>
      </c>
      <c r="D42" s="449" t="s">
        <v>1097</v>
      </c>
      <c r="E42" s="450" t="s">
        <v>650</v>
      </c>
      <c r="F42" s="457">
        <v>28811372</v>
      </c>
      <c r="G42" s="457">
        <v>0</v>
      </c>
      <c r="H42" s="457">
        <v>0</v>
      </c>
      <c r="I42" s="457">
        <v>28811372</v>
      </c>
      <c r="J42" s="457">
        <v>29088655</v>
      </c>
      <c r="K42" s="457">
        <v>0</v>
      </c>
      <c r="L42" s="457">
        <v>0</v>
      </c>
      <c r="M42" s="457">
        <v>29088655</v>
      </c>
      <c r="N42" s="457">
        <v>-277283</v>
      </c>
      <c r="O42" s="457">
        <v>0</v>
      </c>
      <c r="P42" s="457">
        <v>0</v>
      </c>
      <c r="Q42" s="457">
        <v>-277283</v>
      </c>
      <c r="R42" s="457">
        <v>-29596</v>
      </c>
      <c r="S42" s="457">
        <v>0</v>
      </c>
      <c r="T42" s="457">
        <v>0</v>
      </c>
      <c r="U42" s="457">
        <v>-29596</v>
      </c>
      <c r="V42" s="457">
        <v>-247687</v>
      </c>
      <c r="W42" s="457">
        <v>0</v>
      </c>
      <c r="X42" s="457">
        <v>0</v>
      </c>
      <c r="Y42" s="457">
        <v>-247687</v>
      </c>
      <c r="Z42" s="457">
        <v>136365</v>
      </c>
      <c r="AA42" s="457">
        <v>136365</v>
      </c>
      <c r="AB42" s="457">
        <v>0</v>
      </c>
      <c r="AC42" s="457">
        <v>0</v>
      </c>
      <c r="AD42" s="457">
        <v>0</v>
      </c>
      <c r="AE42" s="457">
        <v>0</v>
      </c>
      <c r="AF42" s="457">
        <v>0</v>
      </c>
      <c r="AG42" s="457">
        <v>0</v>
      </c>
      <c r="AH42" s="457">
        <v>0</v>
      </c>
      <c r="AI42" s="457">
        <v>0</v>
      </c>
      <c r="AJ42" s="457">
        <v>3297</v>
      </c>
      <c r="AK42" s="457">
        <v>-3297</v>
      </c>
      <c r="AL42" s="457">
        <v>0</v>
      </c>
      <c r="AM42" s="457">
        <v>0</v>
      </c>
      <c r="AN42" s="457">
        <v>0</v>
      </c>
      <c r="AO42" s="457">
        <v>0</v>
      </c>
      <c r="AP42" s="457">
        <v>0</v>
      </c>
      <c r="AQ42" s="457">
        <v>0</v>
      </c>
      <c r="AR42" s="457">
        <v>0</v>
      </c>
      <c r="AS42" s="457">
        <v>0</v>
      </c>
      <c r="AT42" s="457">
        <v>0</v>
      </c>
      <c r="AU42" s="457">
        <v>0</v>
      </c>
      <c r="AV42" s="457">
        <v>0</v>
      </c>
      <c r="AW42" s="457">
        <v>0</v>
      </c>
      <c r="AX42" s="457">
        <v>0</v>
      </c>
      <c r="AY42" s="457">
        <v>0</v>
      </c>
      <c r="AZ42" s="457">
        <v>0</v>
      </c>
      <c r="BA42" s="457">
        <v>472669</v>
      </c>
      <c r="BB42" s="457">
        <v>403110</v>
      </c>
      <c r="BC42" s="457">
        <v>69559</v>
      </c>
      <c r="BD42" s="457">
        <v>118167</v>
      </c>
      <c r="BE42" s="457">
        <v>100777</v>
      </c>
      <c r="BF42" s="457">
        <v>17390</v>
      </c>
      <c r="BG42" s="457">
        <v>0</v>
      </c>
      <c r="BH42" s="457">
        <v>0</v>
      </c>
      <c r="BI42" s="457">
        <v>0</v>
      </c>
    </row>
    <row r="43" spans="1:61" ht="12.75" x14ac:dyDescent="0.2">
      <c r="A43" s="446">
        <v>36</v>
      </c>
      <c r="B43" s="447" t="s">
        <v>653</v>
      </c>
      <c r="C43" s="448" t="s">
        <v>1098</v>
      </c>
      <c r="D43" s="449" t="s">
        <v>1099</v>
      </c>
      <c r="E43" s="450" t="s">
        <v>652</v>
      </c>
      <c r="F43" s="457">
        <v>96611738.799999997</v>
      </c>
      <c r="G43" s="457">
        <v>0</v>
      </c>
      <c r="H43" s="457">
        <v>0</v>
      </c>
      <c r="I43" s="457">
        <v>96611738.799999997</v>
      </c>
      <c r="J43" s="457">
        <v>96987783.200000003</v>
      </c>
      <c r="K43" s="457">
        <v>0</v>
      </c>
      <c r="L43" s="457">
        <v>0</v>
      </c>
      <c r="M43" s="457">
        <v>96987783.200000003</v>
      </c>
      <c r="N43" s="457">
        <v>-376044.45</v>
      </c>
      <c r="O43" s="457">
        <v>0</v>
      </c>
      <c r="P43" s="457">
        <v>0</v>
      </c>
      <c r="Q43" s="457">
        <v>-376044.45</v>
      </c>
      <c r="R43" s="457">
        <v>-187673</v>
      </c>
      <c r="S43" s="457">
        <v>0</v>
      </c>
      <c r="T43" s="457">
        <v>0</v>
      </c>
      <c r="U43" s="457">
        <v>-187673</v>
      </c>
      <c r="V43" s="457">
        <v>-188371</v>
      </c>
      <c r="W43" s="457">
        <v>0</v>
      </c>
      <c r="X43" s="457">
        <v>0</v>
      </c>
      <c r="Y43" s="457">
        <v>-188371</v>
      </c>
      <c r="Z43" s="457">
        <v>347530</v>
      </c>
      <c r="AA43" s="457">
        <v>347530</v>
      </c>
      <c r="AB43" s="457">
        <v>0</v>
      </c>
      <c r="AC43" s="457">
        <v>0</v>
      </c>
      <c r="AD43" s="457">
        <v>0</v>
      </c>
      <c r="AE43" s="457">
        <v>0</v>
      </c>
      <c r="AF43" s="457">
        <v>0</v>
      </c>
      <c r="AG43" s="457">
        <v>0</v>
      </c>
      <c r="AH43" s="457">
        <v>0</v>
      </c>
      <c r="AI43" s="457">
        <v>0</v>
      </c>
      <c r="AJ43" s="457">
        <v>0</v>
      </c>
      <c r="AK43" s="457">
        <v>0</v>
      </c>
      <c r="AL43" s="457">
        <v>0</v>
      </c>
      <c r="AM43" s="457">
        <v>0</v>
      </c>
      <c r="AN43" s="457">
        <v>0</v>
      </c>
      <c r="AO43" s="457">
        <v>0</v>
      </c>
      <c r="AP43" s="457">
        <v>0</v>
      </c>
      <c r="AQ43" s="457">
        <v>0</v>
      </c>
      <c r="AR43" s="457">
        <v>0</v>
      </c>
      <c r="AS43" s="457">
        <v>0</v>
      </c>
      <c r="AT43" s="457">
        <v>0</v>
      </c>
      <c r="AU43" s="457">
        <v>0</v>
      </c>
      <c r="AV43" s="457">
        <v>0</v>
      </c>
      <c r="AW43" s="457">
        <v>0</v>
      </c>
      <c r="AX43" s="457">
        <v>0</v>
      </c>
      <c r="AY43" s="457">
        <v>0</v>
      </c>
      <c r="AZ43" s="457">
        <v>0</v>
      </c>
      <c r="BA43" s="457">
        <v>634635</v>
      </c>
      <c r="BB43" s="457">
        <v>561295</v>
      </c>
      <c r="BC43" s="457">
        <v>73340</v>
      </c>
      <c r="BD43" s="457">
        <v>423090</v>
      </c>
      <c r="BE43" s="457">
        <v>374196</v>
      </c>
      <c r="BF43" s="457">
        <v>48894</v>
      </c>
      <c r="BG43" s="457">
        <v>0</v>
      </c>
      <c r="BH43" s="457">
        <v>0</v>
      </c>
      <c r="BI43" s="457">
        <v>0</v>
      </c>
    </row>
    <row r="44" spans="1:61" ht="12.75" x14ac:dyDescent="0.2">
      <c r="A44" s="446">
        <v>37</v>
      </c>
      <c r="B44" s="447" t="s">
        <v>655</v>
      </c>
      <c r="C44" s="448" t="s">
        <v>1093</v>
      </c>
      <c r="D44" s="449" t="s">
        <v>1103</v>
      </c>
      <c r="E44" s="450" t="s">
        <v>654</v>
      </c>
      <c r="F44" s="457">
        <v>0</v>
      </c>
      <c r="G44" s="457">
        <v>0</v>
      </c>
      <c r="H44" s="457">
        <v>0</v>
      </c>
      <c r="I44" s="457">
        <v>0</v>
      </c>
      <c r="J44" s="457">
        <v>218888.32000000001</v>
      </c>
      <c r="K44" s="457">
        <v>0</v>
      </c>
      <c r="L44" s="457">
        <v>0</v>
      </c>
      <c r="M44" s="457">
        <v>218888.32000000001</v>
      </c>
      <c r="N44" s="457">
        <v>-218888.32000000001</v>
      </c>
      <c r="O44" s="457">
        <v>0</v>
      </c>
      <c r="P44" s="457">
        <v>0</v>
      </c>
      <c r="Q44" s="457">
        <v>-218888.32000000001</v>
      </c>
      <c r="R44" s="457">
        <v>145752</v>
      </c>
      <c r="S44" s="457">
        <v>0</v>
      </c>
      <c r="T44" s="457">
        <v>0</v>
      </c>
      <c r="U44" s="457">
        <v>145752</v>
      </c>
      <c r="V44" s="457">
        <v>-364640</v>
      </c>
      <c r="W44" s="457">
        <v>0</v>
      </c>
      <c r="X44" s="457">
        <v>0</v>
      </c>
      <c r="Y44" s="457">
        <v>-364640</v>
      </c>
      <c r="Z44" s="457">
        <v>124548</v>
      </c>
      <c r="AA44" s="457">
        <v>124548</v>
      </c>
      <c r="AB44" s="457">
        <v>0</v>
      </c>
      <c r="AC44" s="457">
        <v>0</v>
      </c>
      <c r="AD44" s="457">
        <v>0</v>
      </c>
      <c r="AE44" s="457">
        <v>0</v>
      </c>
      <c r="AF44" s="457">
        <v>0</v>
      </c>
      <c r="AG44" s="457">
        <v>0</v>
      </c>
      <c r="AH44" s="457">
        <v>0</v>
      </c>
      <c r="AI44" s="457">
        <v>0</v>
      </c>
      <c r="AJ44" s="457">
        <v>0</v>
      </c>
      <c r="AK44" s="457">
        <v>0</v>
      </c>
      <c r="AL44" s="457">
        <v>0</v>
      </c>
      <c r="AM44" s="457">
        <v>0</v>
      </c>
      <c r="AN44" s="457">
        <v>0</v>
      </c>
      <c r="AO44" s="457">
        <v>0</v>
      </c>
      <c r="AP44" s="457">
        <v>0</v>
      </c>
      <c r="AQ44" s="457">
        <v>0</v>
      </c>
      <c r="AR44" s="457">
        <v>0</v>
      </c>
      <c r="AS44" s="457">
        <v>0</v>
      </c>
      <c r="AT44" s="457">
        <v>0</v>
      </c>
      <c r="AU44" s="457">
        <v>0</v>
      </c>
      <c r="AV44" s="457">
        <v>0</v>
      </c>
      <c r="AW44" s="457">
        <v>0</v>
      </c>
      <c r="AX44" s="457">
        <v>0</v>
      </c>
      <c r="AY44" s="457">
        <v>0</v>
      </c>
      <c r="AZ44" s="457">
        <v>0</v>
      </c>
      <c r="BA44" s="457">
        <v>370713</v>
      </c>
      <c r="BB44" s="457">
        <v>300962</v>
      </c>
      <c r="BC44" s="457">
        <v>69751</v>
      </c>
      <c r="BD44" s="457">
        <v>83410</v>
      </c>
      <c r="BE44" s="457">
        <v>67716</v>
      </c>
      <c r="BF44" s="457">
        <v>15694</v>
      </c>
      <c r="BG44" s="457">
        <v>9268</v>
      </c>
      <c r="BH44" s="457">
        <v>7524</v>
      </c>
      <c r="BI44" s="457">
        <v>1744</v>
      </c>
    </row>
    <row r="45" spans="1:61" ht="12.75" x14ac:dyDescent="0.2">
      <c r="A45" s="446">
        <v>38</v>
      </c>
      <c r="B45" s="447" t="s">
        <v>657</v>
      </c>
      <c r="C45" s="448" t="s">
        <v>1093</v>
      </c>
      <c r="D45" s="449" t="s">
        <v>1097</v>
      </c>
      <c r="E45" s="450" t="s">
        <v>656</v>
      </c>
      <c r="F45" s="457">
        <v>41620150</v>
      </c>
      <c r="G45" s="457">
        <v>0</v>
      </c>
      <c r="H45" s="457">
        <v>0</v>
      </c>
      <c r="I45" s="457">
        <v>41620150</v>
      </c>
      <c r="J45" s="457">
        <v>40664676</v>
      </c>
      <c r="K45" s="457">
        <v>0</v>
      </c>
      <c r="L45" s="457">
        <v>0</v>
      </c>
      <c r="M45" s="457">
        <v>40664676</v>
      </c>
      <c r="N45" s="457">
        <v>955474</v>
      </c>
      <c r="O45" s="457">
        <v>0</v>
      </c>
      <c r="P45" s="457">
        <v>0</v>
      </c>
      <c r="Q45" s="457">
        <v>955474</v>
      </c>
      <c r="R45" s="457">
        <v>-688650</v>
      </c>
      <c r="S45" s="457">
        <v>0</v>
      </c>
      <c r="T45" s="457">
        <v>0</v>
      </c>
      <c r="U45" s="457">
        <v>-688650</v>
      </c>
      <c r="V45" s="457">
        <v>1644124</v>
      </c>
      <c r="W45" s="457">
        <v>0</v>
      </c>
      <c r="X45" s="457">
        <v>0</v>
      </c>
      <c r="Y45" s="457">
        <v>1644124</v>
      </c>
      <c r="Z45" s="457">
        <v>116696</v>
      </c>
      <c r="AA45" s="457">
        <v>116696</v>
      </c>
      <c r="AB45" s="457">
        <v>0</v>
      </c>
      <c r="AC45" s="457">
        <v>0</v>
      </c>
      <c r="AD45" s="457">
        <v>0</v>
      </c>
      <c r="AE45" s="457">
        <v>0</v>
      </c>
      <c r="AF45" s="457">
        <v>0</v>
      </c>
      <c r="AG45" s="457">
        <v>0</v>
      </c>
      <c r="AH45" s="457">
        <v>0</v>
      </c>
      <c r="AI45" s="457">
        <v>0</v>
      </c>
      <c r="AJ45" s="457">
        <v>0</v>
      </c>
      <c r="AK45" s="457">
        <v>0</v>
      </c>
      <c r="AL45" s="457">
        <v>0</v>
      </c>
      <c r="AM45" s="457">
        <v>0</v>
      </c>
      <c r="AN45" s="457">
        <v>0</v>
      </c>
      <c r="AO45" s="457">
        <v>0</v>
      </c>
      <c r="AP45" s="457">
        <v>0</v>
      </c>
      <c r="AQ45" s="457">
        <v>0</v>
      </c>
      <c r="AR45" s="457">
        <v>0</v>
      </c>
      <c r="AS45" s="457">
        <v>0</v>
      </c>
      <c r="AT45" s="457">
        <v>0</v>
      </c>
      <c r="AU45" s="457">
        <v>0</v>
      </c>
      <c r="AV45" s="457">
        <v>0</v>
      </c>
      <c r="AW45" s="457">
        <v>0</v>
      </c>
      <c r="AX45" s="457">
        <v>0</v>
      </c>
      <c r="AY45" s="457">
        <v>0</v>
      </c>
      <c r="AZ45" s="457">
        <v>0</v>
      </c>
      <c r="BA45" s="457">
        <v>254803</v>
      </c>
      <c r="BB45" s="457">
        <v>185677</v>
      </c>
      <c r="BC45" s="457">
        <v>69126</v>
      </c>
      <c r="BD45" s="457">
        <v>63701</v>
      </c>
      <c r="BE45" s="457">
        <v>46419</v>
      </c>
      <c r="BF45" s="457">
        <v>17282</v>
      </c>
      <c r="BG45" s="457">
        <v>0</v>
      </c>
      <c r="BH45" s="457">
        <v>0</v>
      </c>
      <c r="BI45" s="457">
        <v>0</v>
      </c>
    </row>
    <row r="46" spans="1:61" ht="12.75" x14ac:dyDescent="0.2">
      <c r="A46" s="446">
        <v>39</v>
      </c>
      <c r="B46" s="447" t="s">
        <v>659</v>
      </c>
      <c r="C46" s="448" t="s">
        <v>1093</v>
      </c>
      <c r="D46" s="449" t="s">
        <v>1096</v>
      </c>
      <c r="E46" s="450" t="s">
        <v>658</v>
      </c>
      <c r="F46" s="457">
        <v>27479267</v>
      </c>
      <c r="G46" s="457">
        <v>0</v>
      </c>
      <c r="H46" s="457">
        <v>1176757</v>
      </c>
      <c r="I46" s="457">
        <v>28656024</v>
      </c>
      <c r="J46" s="457">
        <v>27590858</v>
      </c>
      <c r="K46" s="457">
        <v>0</v>
      </c>
      <c r="L46" s="457">
        <v>1176865</v>
      </c>
      <c r="M46" s="457">
        <v>28767723</v>
      </c>
      <c r="N46" s="457">
        <v>-111591</v>
      </c>
      <c r="O46" s="457">
        <v>0</v>
      </c>
      <c r="P46" s="457">
        <v>-108</v>
      </c>
      <c r="Q46" s="457">
        <v>-111699</v>
      </c>
      <c r="R46" s="457">
        <v>102106</v>
      </c>
      <c r="S46" s="457">
        <v>0</v>
      </c>
      <c r="T46" s="457">
        <v>0</v>
      </c>
      <c r="U46" s="457">
        <v>102106</v>
      </c>
      <c r="V46" s="457">
        <v>-213697</v>
      </c>
      <c r="W46" s="457">
        <v>0</v>
      </c>
      <c r="X46" s="457">
        <v>-108</v>
      </c>
      <c r="Y46" s="457">
        <v>-213805</v>
      </c>
      <c r="Z46" s="457">
        <v>108209</v>
      </c>
      <c r="AA46" s="457">
        <v>108209</v>
      </c>
      <c r="AB46" s="457">
        <v>0</v>
      </c>
      <c r="AC46" s="457">
        <v>0</v>
      </c>
      <c r="AD46" s="457">
        <v>0</v>
      </c>
      <c r="AE46" s="457">
        <v>0</v>
      </c>
      <c r="AF46" s="457">
        <v>0</v>
      </c>
      <c r="AG46" s="457">
        <v>0</v>
      </c>
      <c r="AH46" s="457">
        <v>0</v>
      </c>
      <c r="AI46" s="457">
        <v>0</v>
      </c>
      <c r="AJ46" s="457">
        <v>0</v>
      </c>
      <c r="AK46" s="457">
        <v>0</v>
      </c>
      <c r="AL46" s="457">
        <v>0</v>
      </c>
      <c r="AM46" s="457">
        <v>0</v>
      </c>
      <c r="AN46" s="457">
        <v>0</v>
      </c>
      <c r="AO46" s="457">
        <v>0</v>
      </c>
      <c r="AP46" s="457">
        <v>0</v>
      </c>
      <c r="AQ46" s="457">
        <v>0</v>
      </c>
      <c r="AR46" s="457">
        <v>0</v>
      </c>
      <c r="AS46" s="457">
        <v>0</v>
      </c>
      <c r="AT46" s="457">
        <v>0</v>
      </c>
      <c r="AU46" s="457">
        <v>0</v>
      </c>
      <c r="AV46" s="457">
        <v>0</v>
      </c>
      <c r="AW46" s="457">
        <v>0</v>
      </c>
      <c r="AX46" s="457">
        <v>0</v>
      </c>
      <c r="AY46" s="457">
        <v>0</v>
      </c>
      <c r="AZ46" s="457">
        <v>0</v>
      </c>
      <c r="BA46" s="457">
        <v>301693</v>
      </c>
      <c r="BB46" s="457">
        <v>257332</v>
      </c>
      <c r="BC46" s="457">
        <v>44361</v>
      </c>
      <c r="BD46" s="457">
        <v>67305</v>
      </c>
      <c r="BE46" s="457">
        <v>57900</v>
      </c>
      <c r="BF46" s="457">
        <v>9405</v>
      </c>
      <c r="BG46" s="457">
        <v>7478</v>
      </c>
      <c r="BH46" s="457">
        <v>6433</v>
      </c>
      <c r="BI46" s="457">
        <v>1045</v>
      </c>
    </row>
    <row r="47" spans="1:61" ht="12.75" x14ac:dyDescent="0.2">
      <c r="A47" s="446">
        <v>40</v>
      </c>
      <c r="B47" s="447" t="s">
        <v>661</v>
      </c>
      <c r="C47" s="448" t="s">
        <v>1093</v>
      </c>
      <c r="D47" s="449" t="s">
        <v>1095</v>
      </c>
      <c r="E47" s="450" t="s">
        <v>660</v>
      </c>
      <c r="F47" s="457">
        <v>33197291.600000001</v>
      </c>
      <c r="G47" s="457">
        <v>0</v>
      </c>
      <c r="H47" s="457">
        <v>0</v>
      </c>
      <c r="I47" s="457">
        <v>33197291.600000001</v>
      </c>
      <c r="J47" s="457">
        <v>33157205.5</v>
      </c>
      <c r="K47" s="457">
        <v>0</v>
      </c>
      <c r="L47" s="457">
        <v>0</v>
      </c>
      <c r="M47" s="457">
        <v>33157205.5</v>
      </c>
      <c r="N47" s="457">
        <v>40086.17</v>
      </c>
      <c r="O47" s="457">
        <v>0</v>
      </c>
      <c r="P47" s="457">
        <v>0</v>
      </c>
      <c r="Q47" s="457">
        <v>40086.17</v>
      </c>
      <c r="R47" s="457">
        <v>112120</v>
      </c>
      <c r="S47" s="457">
        <v>0</v>
      </c>
      <c r="T47" s="457">
        <v>0</v>
      </c>
      <c r="U47" s="457">
        <v>112120</v>
      </c>
      <c r="V47" s="457">
        <v>-72034</v>
      </c>
      <c r="W47" s="457">
        <v>0</v>
      </c>
      <c r="X47" s="457">
        <v>0</v>
      </c>
      <c r="Y47" s="457">
        <v>-72034</v>
      </c>
      <c r="Z47" s="457">
        <v>147506</v>
      </c>
      <c r="AA47" s="457">
        <v>147506</v>
      </c>
      <c r="AB47" s="457">
        <v>0</v>
      </c>
      <c r="AC47" s="457">
        <v>0</v>
      </c>
      <c r="AD47" s="457">
        <v>0</v>
      </c>
      <c r="AE47" s="457">
        <v>0</v>
      </c>
      <c r="AF47" s="457">
        <v>0</v>
      </c>
      <c r="AG47" s="457">
        <v>0</v>
      </c>
      <c r="AH47" s="457">
        <v>0</v>
      </c>
      <c r="AI47" s="457">
        <v>0</v>
      </c>
      <c r="AJ47" s="457">
        <v>0</v>
      </c>
      <c r="AK47" s="457">
        <v>0</v>
      </c>
      <c r="AL47" s="457">
        <v>0</v>
      </c>
      <c r="AM47" s="457">
        <v>0</v>
      </c>
      <c r="AN47" s="457">
        <v>0</v>
      </c>
      <c r="AO47" s="457">
        <v>0</v>
      </c>
      <c r="AP47" s="457">
        <v>0</v>
      </c>
      <c r="AQ47" s="457">
        <v>0</v>
      </c>
      <c r="AR47" s="457">
        <v>0</v>
      </c>
      <c r="AS47" s="457">
        <v>0</v>
      </c>
      <c r="AT47" s="457">
        <v>0</v>
      </c>
      <c r="AU47" s="457">
        <v>0</v>
      </c>
      <c r="AV47" s="457">
        <v>0</v>
      </c>
      <c r="AW47" s="457">
        <v>0</v>
      </c>
      <c r="AX47" s="457">
        <v>0</v>
      </c>
      <c r="AY47" s="457">
        <v>0</v>
      </c>
      <c r="AZ47" s="457">
        <v>0</v>
      </c>
      <c r="BA47" s="457">
        <v>480614</v>
      </c>
      <c r="BB47" s="457">
        <v>410087</v>
      </c>
      <c r="BC47" s="457">
        <v>70527</v>
      </c>
      <c r="BD47" s="457">
        <v>108138</v>
      </c>
      <c r="BE47" s="457">
        <v>92270</v>
      </c>
      <c r="BF47" s="457">
        <v>15868</v>
      </c>
      <c r="BG47" s="457">
        <v>12015</v>
      </c>
      <c r="BH47" s="457">
        <v>10252</v>
      </c>
      <c r="BI47" s="457">
        <v>1763</v>
      </c>
    </row>
    <row r="48" spans="1:61" ht="12.75" x14ac:dyDescent="0.2">
      <c r="A48" s="446">
        <v>41</v>
      </c>
      <c r="B48" s="447" t="s">
        <v>663</v>
      </c>
      <c r="C48" s="448" t="s">
        <v>1100</v>
      </c>
      <c r="D48" s="449" t="s">
        <v>1095</v>
      </c>
      <c r="E48" s="450" t="s">
        <v>662</v>
      </c>
      <c r="F48" s="457">
        <v>49640468</v>
      </c>
      <c r="G48" s="457">
        <v>0</v>
      </c>
      <c r="H48" s="457">
        <v>0</v>
      </c>
      <c r="I48" s="457">
        <v>49640468</v>
      </c>
      <c r="J48" s="457">
        <v>49633643</v>
      </c>
      <c r="K48" s="457">
        <v>0</v>
      </c>
      <c r="L48" s="457">
        <v>0</v>
      </c>
      <c r="M48" s="457">
        <v>49633643</v>
      </c>
      <c r="N48" s="457">
        <v>6825</v>
      </c>
      <c r="O48" s="457">
        <v>0</v>
      </c>
      <c r="P48" s="457">
        <v>0</v>
      </c>
      <c r="Q48" s="457">
        <v>6825</v>
      </c>
      <c r="R48" s="457">
        <v>92708</v>
      </c>
      <c r="S48" s="457">
        <v>0</v>
      </c>
      <c r="T48" s="457">
        <v>0</v>
      </c>
      <c r="U48" s="457">
        <v>92708</v>
      </c>
      <c r="V48" s="457">
        <v>-85883</v>
      </c>
      <c r="W48" s="457">
        <v>0</v>
      </c>
      <c r="X48" s="457">
        <v>0</v>
      </c>
      <c r="Y48" s="457">
        <v>-85883</v>
      </c>
      <c r="Z48" s="457">
        <v>240185</v>
      </c>
      <c r="AA48" s="457">
        <v>240185</v>
      </c>
      <c r="AB48" s="457">
        <v>0</v>
      </c>
      <c r="AC48" s="457">
        <v>0</v>
      </c>
      <c r="AD48" s="457">
        <v>0</v>
      </c>
      <c r="AE48" s="457">
        <v>0</v>
      </c>
      <c r="AF48" s="457">
        <v>0</v>
      </c>
      <c r="AG48" s="457">
        <v>0</v>
      </c>
      <c r="AH48" s="457">
        <v>0</v>
      </c>
      <c r="AI48" s="457">
        <v>0</v>
      </c>
      <c r="AJ48" s="457">
        <v>0</v>
      </c>
      <c r="AK48" s="457">
        <v>0</v>
      </c>
      <c r="AL48" s="457">
        <v>0</v>
      </c>
      <c r="AM48" s="457">
        <v>0</v>
      </c>
      <c r="AN48" s="457">
        <v>0</v>
      </c>
      <c r="AO48" s="457">
        <v>0</v>
      </c>
      <c r="AP48" s="457">
        <v>0</v>
      </c>
      <c r="AQ48" s="457">
        <v>0</v>
      </c>
      <c r="AR48" s="457">
        <v>0</v>
      </c>
      <c r="AS48" s="457">
        <v>0</v>
      </c>
      <c r="AT48" s="457">
        <v>0</v>
      </c>
      <c r="AU48" s="457">
        <v>0</v>
      </c>
      <c r="AV48" s="457">
        <v>0</v>
      </c>
      <c r="AW48" s="457">
        <v>0</v>
      </c>
      <c r="AX48" s="457">
        <v>0</v>
      </c>
      <c r="AY48" s="457">
        <v>0</v>
      </c>
      <c r="AZ48" s="457">
        <v>0</v>
      </c>
      <c r="BA48" s="457">
        <v>1049631</v>
      </c>
      <c r="BB48" s="457">
        <v>868299</v>
      </c>
      <c r="BC48" s="457">
        <v>181332</v>
      </c>
      <c r="BD48" s="457">
        <v>0</v>
      </c>
      <c r="BE48" s="457">
        <v>0</v>
      </c>
      <c r="BF48" s="457">
        <v>0</v>
      </c>
      <c r="BG48" s="457">
        <v>21421</v>
      </c>
      <c r="BH48" s="457">
        <v>17720</v>
      </c>
      <c r="BI48" s="457">
        <v>3701</v>
      </c>
    </row>
    <row r="49" spans="1:61" ht="12.75" x14ac:dyDescent="0.2">
      <c r="A49" s="446">
        <v>42</v>
      </c>
      <c r="B49" s="447" t="s">
        <v>665</v>
      </c>
      <c r="C49" s="448" t="s">
        <v>1100</v>
      </c>
      <c r="D49" s="449" t="s">
        <v>1101</v>
      </c>
      <c r="E49" s="450" t="s">
        <v>664</v>
      </c>
      <c r="F49" s="457">
        <v>59255785</v>
      </c>
      <c r="G49" s="457">
        <v>0</v>
      </c>
      <c r="H49" s="457">
        <v>0</v>
      </c>
      <c r="I49" s="457">
        <v>59255785</v>
      </c>
      <c r="J49" s="457">
        <v>59432772</v>
      </c>
      <c r="K49" s="457">
        <v>0</v>
      </c>
      <c r="L49" s="457">
        <v>0</v>
      </c>
      <c r="M49" s="457">
        <v>59432772</v>
      </c>
      <c r="N49" s="457">
        <v>-176987</v>
      </c>
      <c r="O49" s="457">
        <v>0</v>
      </c>
      <c r="P49" s="457">
        <v>0</v>
      </c>
      <c r="Q49" s="457">
        <v>-176987</v>
      </c>
      <c r="R49" s="457">
        <v>94085</v>
      </c>
      <c r="S49" s="457">
        <v>0</v>
      </c>
      <c r="T49" s="457">
        <v>0</v>
      </c>
      <c r="U49" s="457">
        <v>94085</v>
      </c>
      <c r="V49" s="457">
        <v>-271072</v>
      </c>
      <c r="W49" s="457">
        <v>0</v>
      </c>
      <c r="X49" s="457">
        <v>0</v>
      </c>
      <c r="Y49" s="457">
        <v>-271072</v>
      </c>
      <c r="Z49" s="457">
        <v>350658</v>
      </c>
      <c r="AA49" s="457">
        <v>350658</v>
      </c>
      <c r="AB49" s="457">
        <v>0</v>
      </c>
      <c r="AC49" s="457">
        <v>0</v>
      </c>
      <c r="AD49" s="457">
        <v>0</v>
      </c>
      <c r="AE49" s="457">
        <v>0</v>
      </c>
      <c r="AF49" s="457">
        <v>0</v>
      </c>
      <c r="AG49" s="457">
        <v>0</v>
      </c>
      <c r="AH49" s="457">
        <v>0</v>
      </c>
      <c r="AI49" s="457">
        <v>0</v>
      </c>
      <c r="AJ49" s="457">
        <v>0</v>
      </c>
      <c r="AK49" s="457">
        <v>0</v>
      </c>
      <c r="AL49" s="457">
        <v>0</v>
      </c>
      <c r="AM49" s="457">
        <v>0</v>
      </c>
      <c r="AN49" s="457">
        <v>0</v>
      </c>
      <c r="AO49" s="457">
        <v>0</v>
      </c>
      <c r="AP49" s="457">
        <v>0</v>
      </c>
      <c r="AQ49" s="457">
        <v>0</v>
      </c>
      <c r="AR49" s="457">
        <v>0</v>
      </c>
      <c r="AS49" s="457">
        <v>0</v>
      </c>
      <c r="AT49" s="457">
        <v>0</v>
      </c>
      <c r="AU49" s="457">
        <v>0</v>
      </c>
      <c r="AV49" s="457">
        <v>0</v>
      </c>
      <c r="AW49" s="457">
        <v>0</v>
      </c>
      <c r="AX49" s="457">
        <v>0</v>
      </c>
      <c r="AY49" s="457">
        <v>0</v>
      </c>
      <c r="AZ49" s="457">
        <v>0</v>
      </c>
      <c r="BA49" s="457">
        <v>1484856</v>
      </c>
      <c r="BB49" s="457">
        <v>1270988</v>
      </c>
      <c r="BC49" s="457">
        <v>213868</v>
      </c>
      <c r="BD49" s="457">
        <v>0</v>
      </c>
      <c r="BE49" s="457">
        <v>0</v>
      </c>
      <c r="BF49" s="457">
        <v>0</v>
      </c>
      <c r="BG49" s="457">
        <v>30303</v>
      </c>
      <c r="BH49" s="457">
        <v>25939</v>
      </c>
      <c r="BI49" s="457">
        <v>4364</v>
      </c>
    </row>
    <row r="50" spans="1:61" ht="12.75" x14ac:dyDescent="0.2">
      <c r="A50" s="446">
        <v>43</v>
      </c>
      <c r="B50" s="447" t="s">
        <v>667</v>
      </c>
      <c r="C50" s="448" t="s">
        <v>1093</v>
      </c>
      <c r="D50" s="449" t="s">
        <v>1097</v>
      </c>
      <c r="E50" s="450" t="s">
        <v>666</v>
      </c>
      <c r="F50" s="457">
        <v>115992388</v>
      </c>
      <c r="G50" s="457">
        <v>0</v>
      </c>
      <c r="H50" s="457">
        <v>0</v>
      </c>
      <c r="I50" s="457">
        <v>115992388</v>
      </c>
      <c r="J50" s="457">
        <v>116446127</v>
      </c>
      <c r="K50" s="457">
        <v>0</v>
      </c>
      <c r="L50" s="457">
        <v>0</v>
      </c>
      <c r="M50" s="457">
        <v>116446127</v>
      </c>
      <c r="N50" s="457">
        <v>-453739</v>
      </c>
      <c r="O50" s="457">
        <v>0</v>
      </c>
      <c r="P50" s="457">
        <v>0</v>
      </c>
      <c r="Q50" s="457">
        <v>-453739</v>
      </c>
      <c r="R50" s="457">
        <v>-2700</v>
      </c>
      <c r="S50" s="457">
        <v>0</v>
      </c>
      <c r="T50" s="457">
        <v>0</v>
      </c>
      <c r="U50" s="457">
        <v>-2700</v>
      </c>
      <c r="V50" s="457">
        <v>-451039</v>
      </c>
      <c r="W50" s="457">
        <v>0</v>
      </c>
      <c r="X50" s="457">
        <v>0</v>
      </c>
      <c r="Y50" s="457">
        <v>-451039</v>
      </c>
      <c r="Z50" s="457">
        <v>227587</v>
      </c>
      <c r="AA50" s="457">
        <v>227587</v>
      </c>
      <c r="AB50" s="457">
        <v>0</v>
      </c>
      <c r="AC50" s="457">
        <v>0</v>
      </c>
      <c r="AD50" s="457">
        <v>0</v>
      </c>
      <c r="AE50" s="457">
        <v>0</v>
      </c>
      <c r="AF50" s="457">
        <v>0</v>
      </c>
      <c r="AG50" s="457">
        <v>0</v>
      </c>
      <c r="AH50" s="457">
        <v>0</v>
      </c>
      <c r="AI50" s="457">
        <v>0</v>
      </c>
      <c r="AJ50" s="457">
        <v>0</v>
      </c>
      <c r="AK50" s="457">
        <v>0</v>
      </c>
      <c r="AL50" s="457">
        <v>0</v>
      </c>
      <c r="AM50" s="457">
        <v>0</v>
      </c>
      <c r="AN50" s="457">
        <v>0</v>
      </c>
      <c r="AO50" s="457">
        <v>0</v>
      </c>
      <c r="AP50" s="457">
        <v>0</v>
      </c>
      <c r="AQ50" s="457">
        <v>0</v>
      </c>
      <c r="AR50" s="457">
        <v>0</v>
      </c>
      <c r="AS50" s="457">
        <v>0</v>
      </c>
      <c r="AT50" s="457">
        <v>0</v>
      </c>
      <c r="AU50" s="457">
        <v>0</v>
      </c>
      <c r="AV50" s="457">
        <v>0</v>
      </c>
      <c r="AW50" s="457">
        <v>0</v>
      </c>
      <c r="AX50" s="457">
        <v>0</v>
      </c>
      <c r="AY50" s="457">
        <v>0</v>
      </c>
      <c r="AZ50" s="457">
        <v>0</v>
      </c>
      <c r="BA50" s="457">
        <v>253830</v>
      </c>
      <c r="BB50" s="457">
        <v>207523</v>
      </c>
      <c r="BC50" s="457">
        <v>46307</v>
      </c>
      <c r="BD50" s="457">
        <v>57112</v>
      </c>
      <c r="BE50" s="457">
        <v>46693</v>
      </c>
      <c r="BF50" s="457">
        <v>10419</v>
      </c>
      <c r="BG50" s="457">
        <v>6346</v>
      </c>
      <c r="BH50" s="457">
        <v>5188</v>
      </c>
      <c r="BI50" s="457">
        <v>1158</v>
      </c>
    </row>
    <row r="51" spans="1:61" ht="12.75" x14ac:dyDescent="0.2">
      <c r="A51" s="446">
        <v>44</v>
      </c>
      <c r="B51" s="447" t="s">
        <v>669</v>
      </c>
      <c r="C51" s="448" t="s">
        <v>1104</v>
      </c>
      <c r="D51" s="449" t="s">
        <v>1099</v>
      </c>
      <c r="E51" s="450" t="s">
        <v>668</v>
      </c>
      <c r="F51" s="457">
        <v>549378319</v>
      </c>
      <c r="G51" s="457">
        <v>0</v>
      </c>
      <c r="H51" s="457">
        <v>0</v>
      </c>
      <c r="I51" s="457">
        <v>549378319</v>
      </c>
      <c r="J51" s="457">
        <v>554014102</v>
      </c>
      <c r="K51" s="457">
        <v>0</v>
      </c>
      <c r="L51" s="457">
        <v>0</v>
      </c>
      <c r="M51" s="457">
        <v>554014102</v>
      </c>
      <c r="N51" s="457">
        <v>-4635783</v>
      </c>
      <c r="O51" s="457">
        <v>0</v>
      </c>
      <c r="P51" s="457">
        <v>0</v>
      </c>
      <c r="Q51" s="457">
        <v>-4635783</v>
      </c>
      <c r="R51" s="457">
        <v>2220851</v>
      </c>
      <c r="S51" s="457">
        <v>0</v>
      </c>
      <c r="T51" s="457">
        <v>0</v>
      </c>
      <c r="U51" s="457">
        <v>2220851</v>
      </c>
      <c r="V51" s="457">
        <v>-6856634</v>
      </c>
      <c r="W51" s="457">
        <v>0</v>
      </c>
      <c r="X51" s="457">
        <v>0</v>
      </c>
      <c r="Y51" s="457">
        <v>-6856634</v>
      </c>
      <c r="Z51" s="457">
        <v>1202147</v>
      </c>
      <c r="AA51" s="457">
        <v>1202147</v>
      </c>
      <c r="AB51" s="457">
        <v>0</v>
      </c>
      <c r="AC51" s="457">
        <v>0</v>
      </c>
      <c r="AD51" s="457">
        <v>0</v>
      </c>
      <c r="AE51" s="457">
        <v>0</v>
      </c>
      <c r="AF51" s="457">
        <v>0</v>
      </c>
      <c r="AG51" s="457">
        <v>0</v>
      </c>
      <c r="AH51" s="457">
        <v>0</v>
      </c>
      <c r="AI51" s="457">
        <v>0</v>
      </c>
      <c r="AJ51" s="457">
        <v>0</v>
      </c>
      <c r="AK51" s="457">
        <v>0</v>
      </c>
      <c r="AL51" s="457">
        <v>0</v>
      </c>
      <c r="AM51" s="457">
        <v>0</v>
      </c>
      <c r="AN51" s="457">
        <v>0</v>
      </c>
      <c r="AO51" s="457">
        <v>0</v>
      </c>
      <c r="AP51" s="457">
        <v>0</v>
      </c>
      <c r="AQ51" s="457">
        <v>0</v>
      </c>
      <c r="AR51" s="457">
        <v>0</v>
      </c>
      <c r="AS51" s="457">
        <v>0</v>
      </c>
      <c r="AT51" s="457">
        <v>0</v>
      </c>
      <c r="AU51" s="457">
        <v>0</v>
      </c>
      <c r="AV51" s="457">
        <v>0</v>
      </c>
      <c r="AW51" s="457">
        <v>0</v>
      </c>
      <c r="AX51" s="457">
        <v>0</v>
      </c>
      <c r="AY51" s="457">
        <v>0</v>
      </c>
      <c r="AZ51" s="457">
        <v>0</v>
      </c>
      <c r="BA51" s="457">
        <v>409227</v>
      </c>
      <c r="BB51" s="457">
        <v>351257</v>
      </c>
      <c r="BC51" s="457">
        <v>57970</v>
      </c>
      <c r="BD51" s="457">
        <v>272818</v>
      </c>
      <c r="BE51" s="457">
        <v>234171</v>
      </c>
      <c r="BF51" s="457">
        <v>38647</v>
      </c>
      <c r="BG51" s="457">
        <v>0</v>
      </c>
      <c r="BH51" s="457">
        <v>0</v>
      </c>
      <c r="BI51" s="457">
        <v>0</v>
      </c>
    </row>
    <row r="52" spans="1:61" ht="12.75" x14ac:dyDescent="0.2">
      <c r="A52" s="446">
        <v>45</v>
      </c>
      <c r="B52" s="447" t="s">
        <v>671</v>
      </c>
      <c r="C52" s="448" t="s">
        <v>1093</v>
      </c>
      <c r="D52" s="449" t="s">
        <v>1103</v>
      </c>
      <c r="E52" s="450" t="s">
        <v>670</v>
      </c>
      <c r="F52" s="457">
        <v>35215909</v>
      </c>
      <c r="G52" s="457">
        <v>0</v>
      </c>
      <c r="H52" s="457">
        <v>0</v>
      </c>
      <c r="I52" s="457">
        <v>35215909</v>
      </c>
      <c r="J52" s="457">
        <v>34306937</v>
      </c>
      <c r="K52" s="457">
        <v>0</v>
      </c>
      <c r="L52" s="457">
        <v>0</v>
      </c>
      <c r="M52" s="457">
        <v>34306937</v>
      </c>
      <c r="N52" s="457">
        <v>908972</v>
      </c>
      <c r="O52" s="457">
        <v>0</v>
      </c>
      <c r="P52" s="457">
        <v>0</v>
      </c>
      <c r="Q52" s="457">
        <v>908972</v>
      </c>
      <c r="R52" s="457">
        <v>1022302</v>
      </c>
      <c r="S52" s="457">
        <v>0</v>
      </c>
      <c r="T52" s="457">
        <v>0</v>
      </c>
      <c r="U52" s="457">
        <v>1022302</v>
      </c>
      <c r="V52" s="457">
        <v>-113330</v>
      </c>
      <c r="W52" s="457">
        <v>0</v>
      </c>
      <c r="X52" s="457">
        <v>0</v>
      </c>
      <c r="Y52" s="457">
        <v>-113330</v>
      </c>
      <c r="Z52" s="457">
        <v>138250</v>
      </c>
      <c r="AA52" s="457">
        <v>138250</v>
      </c>
      <c r="AB52" s="457">
        <v>0</v>
      </c>
      <c r="AC52" s="457">
        <v>0</v>
      </c>
      <c r="AD52" s="457">
        <v>0</v>
      </c>
      <c r="AE52" s="457">
        <v>0</v>
      </c>
      <c r="AF52" s="457">
        <v>0</v>
      </c>
      <c r="AG52" s="457">
        <v>0</v>
      </c>
      <c r="AH52" s="457">
        <v>0</v>
      </c>
      <c r="AI52" s="457">
        <v>0</v>
      </c>
      <c r="AJ52" s="457">
        <v>0</v>
      </c>
      <c r="AK52" s="457">
        <v>0</v>
      </c>
      <c r="AL52" s="457">
        <v>0</v>
      </c>
      <c r="AM52" s="457">
        <v>0</v>
      </c>
      <c r="AN52" s="457">
        <v>0</v>
      </c>
      <c r="AO52" s="457">
        <v>0</v>
      </c>
      <c r="AP52" s="457">
        <v>0</v>
      </c>
      <c r="AQ52" s="457">
        <v>0</v>
      </c>
      <c r="AR52" s="457">
        <v>0</v>
      </c>
      <c r="AS52" s="457">
        <v>0</v>
      </c>
      <c r="AT52" s="457">
        <v>0</v>
      </c>
      <c r="AU52" s="457">
        <v>0</v>
      </c>
      <c r="AV52" s="457">
        <v>0</v>
      </c>
      <c r="AW52" s="457">
        <v>0</v>
      </c>
      <c r="AX52" s="457">
        <v>0</v>
      </c>
      <c r="AY52" s="457">
        <v>0</v>
      </c>
      <c r="AZ52" s="457">
        <v>0</v>
      </c>
      <c r="BA52" s="457">
        <v>441007</v>
      </c>
      <c r="BB52" s="457">
        <v>382098</v>
      </c>
      <c r="BC52" s="457">
        <v>58909</v>
      </c>
      <c r="BD52" s="457">
        <v>99227</v>
      </c>
      <c r="BE52" s="457">
        <v>85972</v>
      </c>
      <c r="BF52" s="457">
        <v>13255</v>
      </c>
      <c r="BG52" s="457">
        <v>11025</v>
      </c>
      <c r="BH52" s="457">
        <v>9552</v>
      </c>
      <c r="BI52" s="457">
        <v>1473</v>
      </c>
    </row>
    <row r="53" spans="1:61" ht="12.75" x14ac:dyDescent="0.2">
      <c r="A53" s="446">
        <v>46</v>
      </c>
      <c r="B53" s="447" t="s">
        <v>673</v>
      </c>
      <c r="C53" s="448" t="s">
        <v>1093</v>
      </c>
      <c r="D53" s="449" t="s">
        <v>1094</v>
      </c>
      <c r="E53" s="450" t="s">
        <v>672</v>
      </c>
      <c r="F53" s="457">
        <v>51506295</v>
      </c>
      <c r="G53" s="457">
        <v>0</v>
      </c>
      <c r="H53" s="457">
        <v>0</v>
      </c>
      <c r="I53" s="457">
        <v>51506295</v>
      </c>
      <c r="J53" s="457">
        <v>51610761</v>
      </c>
      <c r="K53" s="457">
        <v>0</v>
      </c>
      <c r="L53" s="457">
        <v>0</v>
      </c>
      <c r="M53" s="457">
        <v>51610761</v>
      </c>
      <c r="N53" s="457">
        <v>-104466</v>
      </c>
      <c r="O53" s="457">
        <v>0</v>
      </c>
      <c r="P53" s="457">
        <v>0</v>
      </c>
      <c r="Q53" s="457">
        <v>-104466</v>
      </c>
      <c r="R53" s="457">
        <v>113573</v>
      </c>
      <c r="S53" s="457">
        <v>0</v>
      </c>
      <c r="T53" s="457">
        <v>0</v>
      </c>
      <c r="U53" s="457">
        <v>113573</v>
      </c>
      <c r="V53" s="457">
        <v>-218039</v>
      </c>
      <c r="W53" s="457">
        <v>0</v>
      </c>
      <c r="X53" s="457">
        <v>0</v>
      </c>
      <c r="Y53" s="457">
        <v>-218039</v>
      </c>
      <c r="Z53" s="457">
        <v>229695</v>
      </c>
      <c r="AA53" s="457">
        <v>229695</v>
      </c>
      <c r="AB53" s="457">
        <v>0</v>
      </c>
      <c r="AC53" s="457">
        <v>0</v>
      </c>
      <c r="AD53" s="457">
        <v>0</v>
      </c>
      <c r="AE53" s="457">
        <v>0</v>
      </c>
      <c r="AF53" s="457">
        <v>0</v>
      </c>
      <c r="AG53" s="457">
        <v>0</v>
      </c>
      <c r="AH53" s="457">
        <v>0</v>
      </c>
      <c r="AI53" s="457">
        <v>0</v>
      </c>
      <c r="AJ53" s="457">
        <v>0</v>
      </c>
      <c r="AK53" s="457">
        <v>0</v>
      </c>
      <c r="AL53" s="457">
        <v>0</v>
      </c>
      <c r="AM53" s="457">
        <v>0</v>
      </c>
      <c r="AN53" s="457">
        <v>0</v>
      </c>
      <c r="AO53" s="457">
        <v>0</v>
      </c>
      <c r="AP53" s="457">
        <v>0</v>
      </c>
      <c r="AQ53" s="457">
        <v>0</v>
      </c>
      <c r="AR53" s="457">
        <v>0</v>
      </c>
      <c r="AS53" s="457">
        <v>0</v>
      </c>
      <c r="AT53" s="457">
        <v>0</v>
      </c>
      <c r="AU53" s="457">
        <v>0</v>
      </c>
      <c r="AV53" s="457">
        <v>0</v>
      </c>
      <c r="AW53" s="457">
        <v>0</v>
      </c>
      <c r="AX53" s="457">
        <v>0</v>
      </c>
      <c r="AY53" s="457">
        <v>0</v>
      </c>
      <c r="AZ53" s="457">
        <v>0</v>
      </c>
      <c r="BA53" s="457">
        <v>609856</v>
      </c>
      <c r="BB53" s="457">
        <v>517802</v>
      </c>
      <c r="BC53" s="457">
        <v>92054</v>
      </c>
      <c r="BD53" s="457">
        <v>137218</v>
      </c>
      <c r="BE53" s="457">
        <v>116505</v>
      </c>
      <c r="BF53" s="457">
        <v>20713</v>
      </c>
      <c r="BG53" s="457">
        <v>15246</v>
      </c>
      <c r="BH53" s="457">
        <v>12945</v>
      </c>
      <c r="BI53" s="457">
        <v>2301</v>
      </c>
    </row>
    <row r="54" spans="1:61" ht="12.75" x14ac:dyDescent="0.2">
      <c r="A54" s="446">
        <v>47</v>
      </c>
      <c r="B54" s="447" t="s">
        <v>675</v>
      </c>
      <c r="C54" s="448" t="s">
        <v>1093</v>
      </c>
      <c r="D54" s="449" t="s">
        <v>1095</v>
      </c>
      <c r="E54" s="450" t="s">
        <v>674</v>
      </c>
      <c r="F54" s="457">
        <v>47769415</v>
      </c>
      <c r="G54" s="457">
        <v>0</v>
      </c>
      <c r="H54" s="457">
        <v>0</v>
      </c>
      <c r="I54" s="457">
        <v>47769415</v>
      </c>
      <c r="J54" s="457">
        <v>47907555</v>
      </c>
      <c r="K54" s="457">
        <v>0</v>
      </c>
      <c r="L54" s="457">
        <v>0</v>
      </c>
      <c r="M54" s="457">
        <v>47907555</v>
      </c>
      <c r="N54" s="457">
        <v>-138140</v>
      </c>
      <c r="O54" s="457">
        <v>0</v>
      </c>
      <c r="P54" s="457">
        <v>0</v>
      </c>
      <c r="Q54" s="457">
        <v>-138140</v>
      </c>
      <c r="R54" s="457">
        <v>131099</v>
      </c>
      <c r="S54" s="457">
        <v>0</v>
      </c>
      <c r="T54" s="457">
        <v>0</v>
      </c>
      <c r="U54" s="457">
        <v>131099</v>
      </c>
      <c r="V54" s="457">
        <v>-269239</v>
      </c>
      <c r="W54" s="457">
        <v>0</v>
      </c>
      <c r="X54" s="457">
        <v>0</v>
      </c>
      <c r="Y54" s="457">
        <v>-269239</v>
      </c>
      <c r="Z54" s="457">
        <v>180543</v>
      </c>
      <c r="AA54" s="457">
        <v>180543</v>
      </c>
      <c r="AB54" s="457">
        <v>0</v>
      </c>
      <c r="AC54" s="457">
        <v>0</v>
      </c>
      <c r="AD54" s="457">
        <v>0</v>
      </c>
      <c r="AE54" s="457">
        <v>0</v>
      </c>
      <c r="AF54" s="457">
        <v>0</v>
      </c>
      <c r="AG54" s="457">
        <v>0</v>
      </c>
      <c r="AH54" s="457">
        <v>0</v>
      </c>
      <c r="AI54" s="457">
        <v>0</v>
      </c>
      <c r="AJ54" s="457">
        <v>0</v>
      </c>
      <c r="AK54" s="457">
        <v>0</v>
      </c>
      <c r="AL54" s="457">
        <v>0</v>
      </c>
      <c r="AM54" s="457">
        <v>0</v>
      </c>
      <c r="AN54" s="457">
        <v>0</v>
      </c>
      <c r="AO54" s="457">
        <v>0</v>
      </c>
      <c r="AP54" s="457">
        <v>0</v>
      </c>
      <c r="AQ54" s="457">
        <v>0</v>
      </c>
      <c r="AR54" s="457">
        <v>0</v>
      </c>
      <c r="AS54" s="457">
        <v>0</v>
      </c>
      <c r="AT54" s="457">
        <v>0</v>
      </c>
      <c r="AU54" s="457">
        <v>0</v>
      </c>
      <c r="AV54" s="457">
        <v>0</v>
      </c>
      <c r="AW54" s="457">
        <v>0</v>
      </c>
      <c r="AX54" s="457">
        <v>0</v>
      </c>
      <c r="AY54" s="457">
        <v>0</v>
      </c>
      <c r="AZ54" s="457">
        <v>0</v>
      </c>
      <c r="BA54" s="457">
        <v>464133</v>
      </c>
      <c r="BB54" s="457">
        <v>389307</v>
      </c>
      <c r="BC54" s="457">
        <v>74826</v>
      </c>
      <c r="BD54" s="457">
        <v>116033</v>
      </c>
      <c r="BE54" s="457">
        <v>97327</v>
      </c>
      <c r="BF54" s="457">
        <v>18706</v>
      </c>
      <c r="BG54" s="457">
        <v>0</v>
      </c>
      <c r="BH54" s="457">
        <v>0</v>
      </c>
      <c r="BI54" s="457">
        <v>0</v>
      </c>
    </row>
    <row r="55" spans="1:61" ht="12.75" x14ac:dyDescent="0.2">
      <c r="A55" s="446">
        <v>48</v>
      </c>
      <c r="B55" s="447" t="s">
        <v>677</v>
      </c>
      <c r="C55" s="448" t="s">
        <v>1093</v>
      </c>
      <c r="D55" s="449" t="s">
        <v>1097</v>
      </c>
      <c r="E55" s="450" t="s">
        <v>676</v>
      </c>
      <c r="F55" s="457">
        <v>15181180</v>
      </c>
      <c r="G55" s="457">
        <v>0</v>
      </c>
      <c r="H55" s="457">
        <v>0</v>
      </c>
      <c r="I55" s="457">
        <v>15181180</v>
      </c>
      <c r="J55" s="457">
        <v>15067322</v>
      </c>
      <c r="K55" s="457">
        <v>0</v>
      </c>
      <c r="L55" s="457">
        <v>0</v>
      </c>
      <c r="M55" s="457">
        <v>15067322</v>
      </c>
      <c r="N55" s="457">
        <v>113858</v>
      </c>
      <c r="O55" s="457">
        <v>0</v>
      </c>
      <c r="P55" s="457">
        <v>0</v>
      </c>
      <c r="Q55" s="457">
        <v>113858</v>
      </c>
      <c r="R55" s="457">
        <v>127268</v>
      </c>
      <c r="S55" s="457">
        <v>0</v>
      </c>
      <c r="T55" s="457">
        <v>0</v>
      </c>
      <c r="U55" s="457">
        <v>127268</v>
      </c>
      <c r="V55" s="457">
        <v>-13410</v>
      </c>
      <c r="W55" s="457">
        <v>0</v>
      </c>
      <c r="X55" s="457">
        <v>0</v>
      </c>
      <c r="Y55" s="457">
        <v>-13410</v>
      </c>
      <c r="Z55" s="457">
        <v>81864</v>
      </c>
      <c r="AA55" s="457">
        <v>81864</v>
      </c>
      <c r="AB55" s="457">
        <v>0</v>
      </c>
      <c r="AC55" s="457">
        <v>0</v>
      </c>
      <c r="AD55" s="457">
        <v>0</v>
      </c>
      <c r="AE55" s="457">
        <v>0</v>
      </c>
      <c r="AF55" s="457">
        <v>0</v>
      </c>
      <c r="AG55" s="457">
        <v>0</v>
      </c>
      <c r="AH55" s="457">
        <v>0</v>
      </c>
      <c r="AI55" s="457">
        <v>0</v>
      </c>
      <c r="AJ55" s="457">
        <v>0</v>
      </c>
      <c r="AK55" s="457">
        <v>0</v>
      </c>
      <c r="AL55" s="457">
        <v>0</v>
      </c>
      <c r="AM55" s="457">
        <v>0</v>
      </c>
      <c r="AN55" s="457">
        <v>0</v>
      </c>
      <c r="AO55" s="457">
        <v>0</v>
      </c>
      <c r="AP55" s="457">
        <v>0</v>
      </c>
      <c r="AQ55" s="457">
        <v>0</v>
      </c>
      <c r="AR55" s="457">
        <v>0</v>
      </c>
      <c r="AS55" s="457">
        <v>0</v>
      </c>
      <c r="AT55" s="457">
        <v>0</v>
      </c>
      <c r="AU55" s="457">
        <v>0</v>
      </c>
      <c r="AV55" s="457">
        <v>0</v>
      </c>
      <c r="AW55" s="457">
        <v>0</v>
      </c>
      <c r="AX55" s="457">
        <v>0</v>
      </c>
      <c r="AY55" s="457">
        <v>0</v>
      </c>
      <c r="AZ55" s="457">
        <v>0</v>
      </c>
      <c r="BA55" s="457">
        <v>331453</v>
      </c>
      <c r="BB55" s="457">
        <v>295284</v>
      </c>
      <c r="BC55" s="457">
        <v>36169</v>
      </c>
      <c r="BD55" s="457">
        <v>74577</v>
      </c>
      <c r="BE55" s="457">
        <v>66439</v>
      </c>
      <c r="BF55" s="457">
        <v>8138</v>
      </c>
      <c r="BG55" s="457">
        <v>8286</v>
      </c>
      <c r="BH55" s="457">
        <v>7382</v>
      </c>
      <c r="BI55" s="457">
        <v>904</v>
      </c>
    </row>
    <row r="56" spans="1:61" ht="12.75" x14ac:dyDescent="0.2">
      <c r="A56" s="446">
        <v>49</v>
      </c>
      <c r="B56" s="447" t="s">
        <v>679</v>
      </c>
      <c r="C56" s="448" t="s">
        <v>794</v>
      </c>
      <c r="D56" s="449" t="s">
        <v>1097</v>
      </c>
      <c r="E56" s="450" t="s">
        <v>678</v>
      </c>
      <c r="F56" s="457">
        <v>90045984.700000003</v>
      </c>
      <c r="G56" s="457">
        <v>0</v>
      </c>
      <c r="H56" s="457">
        <v>0</v>
      </c>
      <c r="I56" s="457">
        <v>90045984.700000003</v>
      </c>
      <c r="J56" s="457">
        <v>89851945.900000006</v>
      </c>
      <c r="K56" s="457">
        <v>0</v>
      </c>
      <c r="L56" s="457">
        <v>0</v>
      </c>
      <c r="M56" s="457">
        <v>89851945.900000006</v>
      </c>
      <c r="N56" s="457">
        <v>194038.74</v>
      </c>
      <c r="O56" s="457">
        <v>0</v>
      </c>
      <c r="P56" s="457">
        <v>0</v>
      </c>
      <c r="Q56" s="457">
        <v>194038.74</v>
      </c>
      <c r="R56" s="457">
        <v>387145</v>
      </c>
      <c r="S56" s="457">
        <v>0</v>
      </c>
      <c r="T56" s="457">
        <v>0</v>
      </c>
      <c r="U56" s="457">
        <v>387145</v>
      </c>
      <c r="V56" s="457">
        <v>-193106</v>
      </c>
      <c r="W56" s="457">
        <v>0</v>
      </c>
      <c r="X56" s="457">
        <v>0</v>
      </c>
      <c r="Y56" s="457">
        <v>-193106</v>
      </c>
      <c r="Z56" s="457">
        <v>315029</v>
      </c>
      <c r="AA56" s="457">
        <v>315029</v>
      </c>
      <c r="AB56" s="457">
        <v>0</v>
      </c>
      <c r="AC56" s="457">
        <v>0</v>
      </c>
      <c r="AD56" s="457">
        <v>0</v>
      </c>
      <c r="AE56" s="457">
        <v>0</v>
      </c>
      <c r="AF56" s="457">
        <v>0</v>
      </c>
      <c r="AG56" s="457">
        <v>0</v>
      </c>
      <c r="AH56" s="457">
        <v>0</v>
      </c>
      <c r="AI56" s="457">
        <v>0</v>
      </c>
      <c r="AJ56" s="457">
        <v>0</v>
      </c>
      <c r="AK56" s="457">
        <v>0</v>
      </c>
      <c r="AL56" s="457">
        <v>0</v>
      </c>
      <c r="AM56" s="457">
        <v>0</v>
      </c>
      <c r="AN56" s="457">
        <v>0</v>
      </c>
      <c r="AO56" s="457">
        <v>0</v>
      </c>
      <c r="AP56" s="457">
        <v>0</v>
      </c>
      <c r="AQ56" s="457">
        <v>0</v>
      </c>
      <c r="AR56" s="457">
        <v>0</v>
      </c>
      <c r="AS56" s="457">
        <v>0</v>
      </c>
      <c r="AT56" s="457">
        <v>0</v>
      </c>
      <c r="AU56" s="457">
        <v>0</v>
      </c>
      <c r="AV56" s="457">
        <v>0</v>
      </c>
      <c r="AW56" s="457">
        <v>0</v>
      </c>
      <c r="AX56" s="457">
        <v>0</v>
      </c>
      <c r="AY56" s="457">
        <v>0</v>
      </c>
      <c r="AZ56" s="457">
        <v>0</v>
      </c>
      <c r="BA56" s="457">
        <v>1018714</v>
      </c>
      <c r="BB56" s="457">
        <v>870329</v>
      </c>
      <c r="BC56" s="457">
        <v>148385</v>
      </c>
      <c r="BD56" s="457">
        <v>0</v>
      </c>
      <c r="BE56" s="457">
        <v>0</v>
      </c>
      <c r="BF56" s="457">
        <v>0</v>
      </c>
      <c r="BG56" s="457">
        <v>20790</v>
      </c>
      <c r="BH56" s="457">
        <v>17762</v>
      </c>
      <c r="BI56" s="457">
        <v>3028</v>
      </c>
    </row>
    <row r="57" spans="1:61" ht="12.75" x14ac:dyDescent="0.2">
      <c r="A57" s="446">
        <v>50</v>
      </c>
      <c r="B57" s="447" t="s">
        <v>681</v>
      </c>
      <c r="C57" s="448" t="s">
        <v>1093</v>
      </c>
      <c r="D57" s="449" t="s">
        <v>1096</v>
      </c>
      <c r="E57" s="450" t="s">
        <v>680</v>
      </c>
      <c r="F57" s="457">
        <v>42380810</v>
      </c>
      <c r="G57" s="457">
        <v>0</v>
      </c>
      <c r="H57" s="457">
        <v>0</v>
      </c>
      <c r="I57" s="457">
        <v>42380810</v>
      </c>
      <c r="J57" s="457">
        <v>42372494</v>
      </c>
      <c r="K57" s="457">
        <v>0</v>
      </c>
      <c r="L57" s="457">
        <v>0</v>
      </c>
      <c r="M57" s="457">
        <v>42372494</v>
      </c>
      <c r="N57" s="457">
        <v>8316</v>
      </c>
      <c r="O57" s="457">
        <v>0</v>
      </c>
      <c r="P57" s="457">
        <v>0</v>
      </c>
      <c r="Q57" s="457">
        <v>8316</v>
      </c>
      <c r="R57" s="457">
        <v>73587</v>
      </c>
      <c r="S57" s="457">
        <v>0</v>
      </c>
      <c r="T57" s="457">
        <v>0</v>
      </c>
      <c r="U57" s="457">
        <v>73587</v>
      </c>
      <c r="V57" s="457">
        <v>-65271</v>
      </c>
      <c r="W57" s="457">
        <v>0</v>
      </c>
      <c r="X57" s="457">
        <v>0</v>
      </c>
      <c r="Y57" s="457">
        <v>-65271</v>
      </c>
      <c r="Z57" s="457">
        <v>194292</v>
      </c>
      <c r="AA57" s="457">
        <v>194292</v>
      </c>
      <c r="AB57" s="457">
        <v>0</v>
      </c>
      <c r="AC57" s="457">
        <v>0</v>
      </c>
      <c r="AD57" s="457">
        <v>0</v>
      </c>
      <c r="AE57" s="457">
        <v>0</v>
      </c>
      <c r="AF57" s="457">
        <v>0</v>
      </c>
      <c r="AG57" s="457">
        <v>0</v>
      </c>
      <c r="AH57" s="457">
        <v>0</v>
      </c>
      <c r="AI57" s="457">
        <v>121606</v>
      </c>
      <c r="AJ57" s="457">
        <v>0</v>
      </c>
      <c r="AK57" s="457">
        <v>121606</v>
      </c>
      <c r="AL57" s="457">
        <v>0</v>
      </c>
      <c r="AM57" s="457">
        <v>0</v>
      </c>
      <c r="AN57" s="457">
        <v>0</v>
      </c>
      <c r="AO57" s="457">
        <v>0</v>
      </c>
      <c r="AP57" s="457">
        <v>0</v>
      </c>
      <c r="AQ57" s="457">
        <v>0</v>
      </c>
      <c r="AR57" s="457">
        <v>0</v>
      </c>
      <c r="AS57" s="457">
        <v>0</v>
      </c>
      <c r="AT57" s="457">
        <v>0</v>
      </c>
      <c r="AU57" s="457">
        <v>0</v>
      </c>
      <c r="AV57" s="457">
        <v>0</v>
      </c>
      <c r="AW57" s="457">
        <v>0</v>
      </c>
      <c r="AX57" s="457">
        <v>0</v>
      </c>
      <c r="AY57" s="457">
        <v>0</v>
      </c>
      <c r="AZ57" s="457">
        <v>0</v>
      </c>
      <c r="BA57" s="457">
        <v>588323</v>
      </c>
      <c r="BB57" s="457">
        <v>511324</v>
      </c>
      <c r="BC57" s="457">
        <v>76999</v>
      </c>
      <c r="BD57" s="457">
        <v>132373</v>
      </c>
      <c r="BE57" s="457">
        <v>115048</v>
      </c>
      <c r="BF57" s="457">
        <v>17325</v>
      </c>
      <c r="BG57" s="457">
        <v>14708</v>
      </c>
      <c r="BH57" s="457">
        <v>12783</v>
      </c>
      <c r="BI57" s="457">
        <v>1925</v>
      </c>
    </row>
    <row r="58" spans="1:61" ht="12.75" x14ac:dyDescent="0.2">
      <c r="A58" s="446">
        <v>51</v>
      </c>
      <c r="B58" s="447" t="s">
        <v>683</v>
      </c>
      <c r="C58" s="448" t="s">
        <v>1093</v>
      </c>
      <c r="D58" s="449" t="s">
        <v>1097</v>
      </c>
      <c r="E58" s="450" t="s">
        <v>682</v>
      </c>
      <c r="F58" s="457">
        <v>75905659</v>
      </c>
      <c r="G58" s="457">
        <v>0</v>
      </c>
      <c r="H58" s="457">
        <v>0</v>
      </c>
      <c r="I58" s="457">
        <v>75905659</v>
      </c>
      <c r="J58" s="457">
        <v>76139572.599999994</v>
      </c>
      <c r="K58" s="457">
        <v>0</v>
      </c>
      <c r="L58" s="457">
        <v>0</v>
      </c>
      <c r="M58" s="457">
        <v>76139572.599999994</v>
      </c>
      <c r="N58" s="457">
        <v>-233913.60000000001</v>
      </c>
      <c r="O58" s="457">
        <v>0</v>
      </c>
      <c r="P58" s="457">
        <v>0</v>
      </c>
      <c r="Q58" s="457">
        <v>-233913.60000000001</v>
      </c>
      <c r="R58" s="457">
        <v>102144</v>
      </c>
      <c r="S58" s="457">
        <v>0</v>
      </c>
      <c r="T58" s="457">
        <v>0</v>
      </c>
      <c r="U58" s="457">
        <v>102144</v>
      </c>
      <c r="V58" s="457">
        <v>-336058</v>
      </c>
      <c r="W58" s="457">
        <v>0</v>
      </c>
      <c r="X58" s="457">
        <v>0</v>
      </c>
      <c r="Y58" s="457">
        <v>-336058</v>
      </c>
      <c r="Z58" s="457">
        <v>224329</v>
      </c>
      <c r="AA58" s="457">
        <v>224329</v>
      </c>
      <c r="AB58" s="457">
        <v>0</v>
      </c>
      <c r="AC58" s="457">
        <v>0</v>
      </c>
      <c r="AD58" s="457">
        <v>0</v>
      </c>
      <c r="AE58" s="457">
        <v>0</v>
      </c>
      <c r="AF58" s="457">
        <v>0</v>
      </c>
      <c r="AG58" s="457">
        <v>0</v>
      </c>
      <c r="AH58" s="457">
        <v>0</v>
      </c>
      <c r="AI58" s="457">
        <v>0</v>
      </c>
      <c r="AJ58" s="457">
        <v>0</v>
      </c>
      <c r="AK58" s="457">
        <v>0</v>
      </c>
      <c r="AL58" s="457">
        <v>0</v>
      </c>
      <c r="AM58" s="457">
        <v>0</v>
      </c>
      <c r="AN58" s="457">
        <v>0</v>
      </c>
      <c r="AO58" s="457">
        <v>0</v>
      </c>
      <c r="AP58" s="457">
        <v>0</v>
      </c>
      <c r="AQ58" s="457">
        <v>0</v>
      </c>
      <c r="AR58" s="457">
        <v>0</v>
      </c>
      <c r="AS58" s="457">
        <v>0</v>
      </c>
      <c r="AT58" s="457">
        <v>0</v>
      </c>
      <c r="AU58" s="457">
        <v>0</v>
      </c>
      <c r="AV58" s="457">
        <v>0</v>
      </c>
      <c r="AW58" s="457">
        <v>0</v>
      </c>
      <c r="AX58" s="457">
        <v>0</v>
      </c>
      <c r="AY58" s="457">
        <v>0</v>
      </c>
      <c r="AZ58" s="457">
        <v>0</v>
      </c>
      <c r="BA58" s="457">
        <v>465100</v>
      </c>
      <c r="BB58" s="457">
        <v>383388</v>
      </c>
      <c r="BC58" s="457">
        <v>81712</v>
      </c>
      <c r="BD58" s="457">
        <v>104648</v>
      </c>
      <c r="BE58" s="457">
        <v>86262</v>
      </c>
      <c r="BF58" s="457">
        <v>18386</v>
      </c>
      <c r="BG58" s="457">
        <v>11628</v>
      </c>
      <c r="BH58" s="457">
        <v>9585</v>
      </c>
      <c r="BI58" s="457">
        <v>2043</v>
      </c>
    </row>
    <row r="59" spans="1:61" ht="12.75" x14ac:dyDescent="0.2">
      <c r="A59" s="446">
        <v>52</v>
      </c>
      <c r="B59" s="447" t="s">
        <v>685</v>
      </c>
      <c r="C59" s="448" t="s">
        <v>1093</v>
      </c>
      <c r="D59" s="449" t="s">
        <v>1102</v>
      </c>
      <c r="E59" s="450" t="s">
        <v>684</v>
      </c>
      <c r="F59" s="457">
        <v>54137899</v>
      </c>
      <c r="G59" s="457">
        <v>0</v>
      </c>
      <c r="H59" s="457">
        <v>0</v>
      </c>
      <c r="I59" s="457">
        <v>54137899</v>
      </c>
      <c r="J59" s="457">
        <v>54281739</v>
      </c>
      <c r="K59" s="457">
        <v>0</v>
      </c>
      <c r="L59" s="457">
        <v>0</v>
      </c>
      <c r="M59" s="457">
        <v>54281739</v>
      </c>
      <c r="N59" s="457">
        <v>-143840</v>
      </c>
      <c r="O59" s="457">
        <v>0</v>
      </c>
      <c r="P59" s="457">
        <v>0</v>
      </c>
      <c r="Q59" s="457">
        <v>-143840</v>
      </c>
      <c r="R59" s="457">
        <v>-522</v>
      </c>
      <c r="S59" s="457">
        <v>0</v>
      </c>
      <c r="T59" s="457">
        <v>0</v>
      </c>
      <c r="U59" s="457">
        <v>-522</v>
      </c>
      <c r="V59" s="457">
        <v>-143318</v>
      </c>
      <c r="W59" s="457">
        <v>0</v>
      </c>
      <c r="X59" s="457">
        <v>0</v>
      </c>
      <c r="Y59" s="457">
        <v>-143318</v>
      </c>
      <c r="Z59" s="457">
        <v>183813</v>
      </c>
      <c r="AA59" s="457">
        <v>183813</v>
      </c>
      <c r="AB59" s="457">
        <v>0</v>
      </c>
      <c r="AC59" s="457">
        <v>0</v>
      </c>
      <c r="AD59" s="457">
        <v>0</v>
      </c>
      <c r="AE59" s="457">
        <v>0</v>
      </c>
      <c r="AF59" s="457">
        <v>0</v>
      </c>
      <c r="AG59" s="457">
        <v>0</v>
      </c>
      <c r="AH59" s="457">
        <v>0</v>
      </c>
      <c r="AI59" s="457">
        <v>0</v>
      </c>
      <c r="AJ59" s="457">
        <v>0</v>
      </c>
      <c r="AK59" s="457">
        <v>0</v>
      </c>
      <c r="AL59" s="457">
        <v>0</v>
      </c>
      <c r="AM59" s="457">
        <v>0</v>
      </c>
      <c r="AN59" s="457">
        <v>0</v>
      </c>
      <c r="AO59" s="457">
        <v>0</v>
      </c>
      <c r="AP59" s="457">
        <v>0</v>
      </c>
      <c r="AQ59" s="457">
        <v>0</v>
      </c>
      <c r="AR59" s="457">
        <v>0</v>
      </c>
      <c r="AS59" s="457">
        <v>0</v>
      </c>
      <c r="AT59" s="457">
        <v>0</v>
      </c>
      <c r="AU59" s="457">
        <v>0</v>
      </c>
      <c r="AV59" s="457">
        <v>0</v>
      </c>
      <c r="AW59" s="457">
        <v>0</v>
      </c>
      <c r="AX59" s="457">
        <v>0</v>
      </c>
      <c r="AY59" s="457">
        <v>0</v>
      </c>
      <c r="AZ59" s="457">
        <v>0</v>
      </c>
      <c r="BA59" s="457">
        <v>426407</v>
      </c>
      <c r="BB59" s="457">
        <v>357197</v>
      </c>
      <c r="BC59" s="457">
        <v>69210</v>
      </c>
      <c r="BD59" s="457">
        <v>106602</v>
      </c>
      <c r="BE59" s="457">
        <v>89299</v>
      </c>
      <c r="BF59" s="457">
        <v>17303</v>
      </c>
      <c r="BG59" s="457">
        <v>0</v>
      </c>
      <c r="BH59" s="457">
        <v>0</v>
      </c>
      <c r="BI59" s="457">
        <v>0</v>
      </c>
    </row>
    <row r="60" spans="1:61" ht="12.75" x14ac:dyDescent="0.2">
      <c r="A60" s="446">
        <v>53</v>
      </c>
      <c r="B60" s="447" t="s">
        <v>687</v>
      </c>
      <c r="C60" s="448" t="s">
        <v>1093</v>
      </c>
      <c r="D60" s="449" t="s">
        <v>1094</v>
      </c>
      <c r="E60" s="450" t="s">
        <v>686</v>
      </c>
      <c r="F60" s="457">
        <v>70131881</v>
      </c>
      <c r="G60" s="457">
        <v>0</v>
      </c>
      <c r="H60" s="457">
        <v>0</v>
      </c>
      <c r="I60" s="457">
        <v>70131881</v>
      </c>
      <c r="J60" s="457">
        <v>70111848</v>
      </c>
      <c r="K60" s="457">
        <v>0</v>
      </c>
      <c r="L60" s="457">
        <v>0</v>
      </c>
      <c r="M60" s="457">
        <v>70111848</v>
      </c>
      <c r="N60" s="457">
        <v>20033</v>
      </c>
      <c r="O60" s="457">
        <v>0</v>
      </c>
      <c r="P60" s="457">
        <v>0</v>
      </c>
      <c r="Q60" s="457">
        <v>20033</v>
      </c>
      <c r="R60" s="457">
        <v>48944</v>
      </c>
      <c r="S60" s="457">
        <v>0</v>
      </c>
      <c r="T60" s="457">
        <v>0</v>
      </c>
      <c r="U60" s="457">
        <v>48944</v>
      </c>
      <c r="V60" s="457">
        <v>-28911</v>
      </c>
      <c r="W60" s="457">
        <v>0</v>
      </c>
      <c r="X60" s="457">
        <v>0</v>
      </c>
      <c r="Y60" s="457">
        <v>-28911</v>
      </c>
      <c r="Z60" s="457">
        <v>218671</v>
      </c>
      <c r="AA60" s="457">
        <v>218671</v>
      </c>
      <c r="AB60" s="457">
        <v>0</v>
      </c>
      <c r="AC60" s="457">
        <v>0</v>
      </c>
      <c r="AD60" s="457">
        <v>0</v>
      </c>
      <c r="AE60" s="457">
        <v>0</v>
      </c>
      <c r="AF60" s="457">
        <v>0</v>
      </c>
      <c r="AG60" s="457">
        <v>0</v>
      </c>
      <c r="AH60" s="457">
        <v>0</v>
      </c>
      <c r="AI60" s="457">
        <v>19966</v>
      </c>
      <c r="AJ60" s="457">
        <v>0</v>
      </c>
      <c r="AK60" s="457">
        <v>19966</v>
      </c>
      <c r="AL60" s="457">
        <v>0</v>
      </c>
      <c r="AM60" s="457">
        <v>0</v>
      </c>
      <c r="AN60" s="457">
        <v>0</v>
      </c>
      <c r="AO60" s="457">
        <v>0</v>
      </c>
      <c r="AP60" s="457">
        <v>0</v>
      </c>
      <c r="AQ60" s="457">
        <v>0</v>
      </c>
      <c r="AR60" s="457">
        <v>0</v>
      </c>
      <c r="AS60" s="457">
        <v>0</v>
      </c>
      <c r="AT60" s="457">
        <v>0</v>
      </c>
      <c r="AU60" s="457">
        <v>0</v>
      </c>
      <c r="AV60" s="457">
        <v>0</v>
      </c>
      <c r="AW60" s="457">
        <v>0</v>
      </c>
      <c r="AX60" s="457">
        <v>0</v>
      </c>
      <c r="AY60" s="457">
        <v>0</v>
      </c>
      <c r="AZ60" s="457">
        <v>0</v>
      </c>
      <c r="BA60" s="457">
        <v>384873</v>
      </c>
      <c r="BB60" s="457">
        <v>313154</v>
      </c>
      <c r="BC60" s="457">
        <v>71719</v>
      </c>
      <c r="BD60" s="457">
        <v>96218</v>
      </c>
      <c r="BE60" s="457">
        <v>78289</v>
      </c>
      <c r="BF60" s="457">
        <v>17929</v>
      </c>
      <c r="BG60" s="457">
        <v>0</v>
      </c>
      <c r="BH60" s="457">
        <v>0</v>
      </c>
      <c r="BI60" s="457">
        <v>0</v>
      </c>
    </row>
    <row r="61" spans="1:61" ht="12.75" x14ac:dyDescent="0.2">
      <c r="A61" s="446">
        <v>54</v>
      </c>
      <c r="B61" s="447" t="s">
        <v>689</v>
      </c>
      <c r="C61" s="448" t="s">
        <v>794</v>
      </c>
      <c r="D61" s="449" t="s">
        <v>1095</v>
      </c>
      <c r="E61" s="450" t="s">
        <v>688</v>
      </c>
      <c r="F61" s="457">
        <v>155899391</v>
      </c>
      <c r="G61" s="457">
        <v>0</v>
      </c>
      <c r="H61" s="457">
        <v>0</v>
      </c>
      <c r="I61" s="457">
        <v>155899391</v>
      </c>
      <c r="J61" s="457">
        <v>156683087</v>
      </c>
      <c r="K61" s="457">
        <v>0</v>
      </c>
      <c r="L61" s="457">
        <v>0</v>
      </c>
      <c r="M61" s="457">
        <v>156683087</v>
      </c>
      <c r="N61" s="457">
        <v>-783696</v>
      </c>
      <c r="O61" s="457">
        <v>0</v>
      </c>
      <c r="P61" s="457">
        <v>0</v>
      </c>
      <c r="Q61" s="457">
        <v>-783696</v>
      </c>
      <c r="R61" s="457">
        <v>24119</v>
      </c>
      <c r="S61" s="457">
        <v>0</v>
      </c>
      <c r="T61" s="457">
        <v>0</v>
      </c>
      <c r="U61" s="457">
        <v>24119</v>
      </c>
      <c r="V61" s="457">
        <v>-807815</v>
      </c>
      <c r="W61" s="457">
        <v>0</v>
      </c>
      <c r="X61" s="457">
        <v>0</v>
      </c>
      <c r="Y61" s="457">
        <v>-807815</v>
      </c>
      <c r="Z61" s="457">
        <v>562256</v>
      </c>
      <c r="AA61" s="457">
        <v>562256</v>
      </c>
      <c r="AB61" s="457">
        <v>0</v>
      </c>
      <c r="AC61" s="457">
        <v>0</v>
      </c>
      <c r="AD61" s="457">
        <v>0</v>
      </c>
      <c r="AE61" s="457">
        <v>0</v>
      </c>
      <c r="AF61" s="457">
        <v>0</v>
      </c>
      <c r="AG61" s="457">
        <v>0</v>
      </c>
      <c r="AH61" s="457">
        <v>0</v>
      </c>
      <c r="AI61" s="457">
        <v>0</v>
      </c>
      <c r="AJ61" s="457">
        <v>0</v>
      </c>
      <c r="AK61" s="457">
        <v>0</v>
      </c>
      <c r="AL61" s="457">
        <v>0</v>
      </c>
      <c r="AM61" s="457">
        <v>0</v>
      </c>
      <c r="AN61" s="457">
        <v>0</v>
      </c>
      <c r="AO61" s="457">
        <v>0</v>
      </c>
      <c r="AP61" s="457">
        <v>0</v>
      </c>
      <c r="AQ61" s="457">
        <v>0</v>
      </c>
      <c r="AR61" s="457">
        <v>0</v>
      </c>
      <c r="AS61" s="457">
        <v>0</v>
      </c>
      <c r="AT61" s="457">
        <v>0</v>
      </c>
      <c r="AU61" s="457">
        <v>0</v>
      </c>
      <c r="AV61" s="457">
        <v>0</v>
      </c>
      <c r="AW61" s="457">
        <v>0</v>
      </c>
      <c r="AX61" s="457">
        <v>0</v>
      </c>
      <c r="AY61" s="457">
        <v>0</v>
      </c>
      <c r="AZ61" s="457">
        <v>0</v>
      </c>
      <c r="BA61" s="457">
        <v>1879182</v>
      </c>
      <c r="BB61" s="457">
        <v>1628375</v>
      </c>
      <c r="BC61" s="457">
        <v>250807</v>
      </c>
      <c r="BD61" s="457">
        <v>0</v>
      </c>
      <c r="BE61" s="457">
        <v>0</v>
      </c>
      <c r="BF61" s="457">
        <v>0</v>
      </c>
      <c r="BG61" s="457">
        <v>38351</v>
      </c>
      <c r="BH61" s="457">
        <v>33232</v>
      </c>
      <c r="BI61" s="457">
        <v>5119</v>
      </c>
    </row>
    <row r="62" spans="1:61" ht="12.75" x14ac:dyDescent="0.2">
      <c r="A62" s="446">
        <v>55</v>
      </c>
      <c r="B62" s="447" t="s">
        <v>691</v>
      </c>
      <c r="C62" s="448" t="s">
        <v>794</v>
      </c>
      <c r="D62" s="449" t="s">
        <v>1095</v>
      </c>
      <c r="E62" s="450" t="s">
        <v>713</v>
      </c>
      <c r="F62" s="457">
        <v>151863909</v>
      </c>
      <c r="G62" s="457">
        <v>0</v>
      </c>
      <c r="H62" s="457">
        <v>0</v>
      </c>
      <c r="I62" s="457">
        <v>151863909</v>
      </c>
      <c r="J62" s="457">
        <v>154223826</v>
      </c>
      <c r="K62" s="457">
        <v>0</v>
      </c>
      <c r="L62" s="457">
        <v>0</v>
      </c>
      <c r="M62" s="457">
        <v>154223826</v>
      </c>
      <c r="N62" s="457">
        <v>-2359917</v>
      </c>
      <c r="O62" s="457">
        <v>0</v>
      </c>
      <c r="P62" s="457">
        <v>0</v>
      </c>
      <c r="Q62" s="457">
        <v>-2359917</v>
      </c>
      <c r="R62" s="457">
        <v>175069</v>
      </c>
      <c r="S62" s="457">
        <v>0</v>
      </c>
      <c r="T62" s="457">
        <v>0</v>
      </c>
      <c r="U62" s="457">
        <v>175069</v>
      </c>
      <c r="V62" s="457">
        <v>-2534986</v>
      </c>
      <c r="W62" s="457">
        <v>0</v>
      </c>
      <c r="X62" s="457">
        <v>0</v>
      </c>
      <c r="Y62" s="457">
        <v>-2534986</v>
      </c>
      <c r="Z62" s="457">
        <v>504181</v>
      </c>
      <c r="AA62" s="457">
        <v>504181</v>
      </c>
      <c r="AB62" s="457">
        <v>0</v>
      </c>
      <c r="AC62" s="457">
        <v>0</v>
      </c>
      <c r="AD62" s="457">
        <v>0</v>
      </c>
      <c r="AE62" s="457">
        <v>0</v>
      </c>
      <c r="AF62" s="457">
        <v>0</v>
      </c>
      <c r="AG62" s="457">
        <v>0</v>
      </c>
      <c r="AH62" s="457">
        <v>0</v>
      </c>
      <c r="AI62" s="457">
        <v>0</v>
      </c>
      <c r="AJ62" s="457">
        <v>0</v>
      </c>
      <c r="AK62" s="457">
        <v>0</v>
      </c>
      <c r="AL62" s="457">
        <v>0</v>
      </c>
      <c r="AM62" s="457">
        <v>0</v>
      </c>
      <c r="AN62" s="457">
        <v>0</v>
      </c>
      <c r="AO62" s="457">
        <v>0</v>
      </c>
      <c r="AP62" s="457">
        <v>0</v>
      </c>
      <c r="AQ62" s="457">
        <v>0</v>
      </c>
      <c r="AR62" s="457">
        <v>0</v>
      </c>
      <c r="AS62" s="457">
        <v>0</v>
      </c>
      <c r="AT62" s="457">
        <v>0</v>
      </c>
      <c r="AU62" s="457">
        <v>0</v>
      </c>
      <c r="AV62" s="457">
        <v>0</v>
      </c>
      <c r="AW62" s="457">
        <v>0</v>
      </c>
      <c r="AX62" s="457">
        <v>0</v>
      </c>
      <c r="AY62" s="457">
        <v>0</v>
      </c>
      <c r="AZ62" s="457">
        <v>0</v>
      </c>
      <c r="BA62" s="457">
        <v>1418115</v>
      </c>
      <c r="BB62" s="457">
        <v>1176741</v>
      </c>
      <c r="BC62" s="457">
        <v>241374</v>
      </c>
      <c r="BD62" s="457">
        <v>0</v>
      </c>
      <c r="BE62" s="457">
        <v>0</v>
      </c>
      <c r="BF62" s="457">
        <v>0</v>
      </c>
      <c r="BG62" s="457">
        <v>28941</v>
      </c>
      <c r="BH62" s="457">
        <v>24015</v>
      </c>
      <c r="BI62" s="457">
        <v>4926</v>
      </c>
    </row>
    <row r="63" spans="1:61" ht="12.75" x14ac:dyDescent="0.2">
      <c r="A63" s="446">
        <v>56</v>
      </c>
      <c r="B63" s="447" t="s">
        <v>693</v>
      </c>
      <c r="C63" s="448" t="s">
        <v>1093</v>
      </c>
      <c r="D63" s="449" t="s">
        <v>1096</v>
      </c>
      <c r="E63" s="450" t="s">
        <v>692</v>
      </c>
      <c r="F63" s="457">
        <v>35498284</v>
      </c>
      <c r="G63" s="457">
        <v>0</v>
      </c>
      <c r="H63" s="457">
        <v>0</v>
      </c>
      <c r="I63" s="457">
        <v>35498284</v>
      </c>
      <c r="J63" s="457">
        <v>35705267</v>
      </c>
      <c r="K63" s="457">
        <v>0</v>
      </c>
      <c r="L63" s="457">
        <v>0</v>
      </c>
      <c r="M63" s="457">
        <v>35705267</v>
      </c>
      <c r="N63" s="457">
        <v>-206983</v>
      </c>
      <c r="O63" s="457">
        <v>0</v>
      </c>
      <c r="P63" s="457">
        <v>0</v>
      </c>
      <c r="Q63" s="457">
        <v>-206983</v>
      </c>
      <c r="R63" s="457">
        <v>-77497</v>
      </c>
      <c r="S63" s="457">
        <v>0</v>
      </c>
      <c r="T63" s="457">
        <v>0</v>
      </c>
      <c r="U63" s="457">
        <v>-77497</v>
      </c>
      <c r="V63" s="457">
        <v>-129486</v>
      </c>
      <c r="W63" s="457">
        <v>0</v>
      </c>
      <c r="X63" s="457">
        <v>0</v>
      </c>
      <c r="Y63" s="457">
        <v>-129486</v>
      </c>
      <c r="Z63" s="457">
        <v>165425</v>
      </c>
      <c r="AA63" s="457">
        <v>165425</v>
      </c>
      <c r="AB63" s="457">
        <v>0</v>
      </c>
      <c r="AC63" s="457">
        <v>0</v>
      </c>
      <c r="AD63" s="457">
        <v>0</v>
      </c>
      <c r="AE63" s="457">
        <v>0</v>
      </c>
      <c r="AF63" s="457">
        <v>0</v>
      </c>
      <c r="AG63" s="457">
        <v>0</v>
      </c>
      <c r="AH63" s="457">
        <v>0</v>
      </c>
      <c r="AI63" s="457">
        <v>0</v>
      </c>
      <c r="AJ63" s="457">
        <v>0</v>
      </c>
      <c r="AK63" s="457">
        <v>0</v>
      </c>
      <c r="AL63" s="457">
        <v>0</v>
      </c>
      <c r="AM63" s="457">
        <v>0</v>
      </c>
      <c r="AN63" s="457">
        <v>0</v>
      </c>
      <c r="AO63" s="457">
        <v>0</v>
      </c>
      <c r="AP63" s="457">
        <v>0</v>
      </c>
      <c r="AQ63" s="457">
        <v>0</v>
      </c>
      <c r="AR63" s="457">
        <v>0</v>
      </c>
      <c r="AS63" s="457">
        <v>0</v>
      </c>
      <c r="AT63" s="457">
        <v>0</v>
      </c>
      <c r="AU63" s="457">
        <v>0</v>
      </c>
      <c r="AV63" s="457">
        <v>0</v>
      </c>
      <c r="AW63" s="457">
        <v>0</v>
      </c>
      <c r="AX63" s="457">
        <v>0</v>
      </c>
      <c r="AY63" s="457">
        <v>0</v>
      </c>
      <c r="AZ63" s="457">
        <v>0</v>
      </c>
      <c r="BA63" s="457">
        <v>503352</v>
      </c>
      <c r="BB63" s="457">
        <v>426229</v>
      </c>
      <c r="BC63" s="457">
        <v>77123</v>
      </c>
      <c r="BD63" s="457">
        <v>113254</v>
      </c>
      <c r="BE63" s="457">
        <v>95901</v>
      </c>
      <c r="BF63" s="457">
        <v>17353</v>
      </c>
      <c r="BG63" s="457">
        <v>12584</v>
      </c>
      <c r="BH63" s="457">
        <v>10656</v>
      </c>
      <c r="BI63" s="457">
        <v>1928</v>
      </c>
    </row>
    <row r="64" spans="1:61" ht="12.75" x14ac:dyDescent="0.2">
      <c r="A64" s="446">
        <v>57</v>
      </c>
      <c r="B64" s="447" t="s">
        <v>695</v>
      </c>
      <c r="C64" s="448" t="s">
        <v>1093</v>
      </c>
      <c r="D64" s="449" t="s">
        <v>1094</v>
      </c>
      <c r="E64" s="450" t="s">
        <v>694</v>
      </c>
      <c r="F64" s="457">
        <v>43403383</v>
      </c>
      <c r="G64" s="457">
        <v>0</v>
      </c>
      <c r="H64" s="457">
        <v>0</v>
      </c>
      <c r="I64" s="457">
        <v>43403383</v>
      </c>
      <c r="J64" s="457">
        <v>43501703</v>
      </c>
      <c r="K64" s="457">
        <v>0</v>
      </c>
      <c r="L64" s="457">
        <v>0</v>
      </c>
      <c r="M64" s="457">
        <v>43501703</v>
      </c>
      <c r="N64" s="457">
        <v>-98320</v>
      </c>
      <c r="O64" s="457">
        <v>0</v>
      </c>
      <c r="P64" s="457">
        <v>0</v>
      </c>
      <c r="Q64" s="457">
        <v>-98320</v>
      </c>
      <c r="R64" s="457">
        <v>25422</v>
      </c>
      <c r="S64" s="457">
        <v>0</v>
      </c>
      <c r="T64" s="457">
        <v>0</v>
      </c>
      <c r="U64" s="457">
        <v>25422</v>
      </c>
      <c r="V64" s="457">
        <v>-123742</v>
      </c>
      <c r="W64" s="457">
        <v>0</v>
      </c>
      <c r="X64" s="457">
        <v>0</v>
      </c>
      <c r="Y64" s="457">
        <v>-123742</v>
      </c>
      <c r="Z64" s="457">
        <v>191836</v>
      </c>
      <c r="AA64" s="457">
        <v>191836</v>
      </c>
      <c r="AB64" s="457">
        <v>0</v>
      </c>
      <c r="AC64" s="457">
        <v>0</v>
      </c>
      <c r="AD64" s="457">
        <v>0</v>
      </c>
      <c r="AE64" s="457">
        <v>0</v>
      </c>
      <c r="AF64" s="457">
        <v>0</v>
      </c>
      <c r="AG64" s="457">
        <v>0</v>
      </c>
      <c r="AH64" s="457">
        <v>0</v>
      </c>
      <c r="AI64" s="457">
        <v>0</v>
      </c>
      <c r="AJ64" s="457">
        <v>0</v>
      </c>
      <c r="AK64" s="457">
        <v>0</v>
      </c>
      <c r="AL64" s="457">
        <v>0</v>
      </c>
      <c r="AM64" s="457">
        <v>0</v>
      </c>
      <c r="AN64" s="457">
        <v>0</v>
      </c>
      <c r="AO64" s="457">
        <v>0</v>
      </c>
      <c r="AP64" s="457">
        <v>0</v>
      </c>
      <c r="AQ64" s="457">
        <v>0</v>
      </c>
      <c r="AR64" s="457">
        <v>0</v>
      </c>
      <c r="AS64" s="457">
        <v>0</v>
      </c>
      <c r="AT64" s="457">
        <v>0</v>
      </c>
      <c r="AU64" s="457">
        <v>0</v>
      </c>
      <c r="AV64" s="457">
        <v>0</v>
      </c>
      <c r="AW64" s="457">
        <v>0</v>
      </c>
      <c r="AX64" s="457">
        <v>0</v>
      </c>
      <c r="AY64" s="457">
        <v>0</v>
      </c>
      <c r="AZ64" s="457">
        <v>0</v>
      </c>
      <c r="BA64" s="457">
        <v>559865</v>
      </c>
      <c r="BB64" s="457">
        <v>463817</v>
      </c>
      <c r="BC64" s="457">
        <v>96048</v>
      </c>
      <c r="BD64" s="457">
        <v>139966</v>
      </c>
      <c r="BE64" s="457">
        <v>115954</v>
      </c>
      <c r="BF64" s="457">
        <v>24012</v>
      </c>
      <c r="BG64" s="457">
        <v>0</v>
      </c>
      <c r="BH64" s="457">
        <v>0</v>
      </c>
      <c r="BI64" s="457">
        <v>0</v>
      </c>
    </row>
    <row r="65" spans="1:61" ht="12.75" x14ac:dyDescent="0.2">
      <c r="A65" s="446">
        <v>58</v>
      </c>
      <c r="B65" s="447" t="s">
        <v>697</v>
      </c>
      <c r="C65" s="448" t="s">
        <v>1093</v>
      </c>
      <c r="D65" s="449" t="s">
        <v>1094</v>
      </c>
      <c r="E65" s="450" t="s">
        <v>696</v>
      </c>
      <c r="F65" s="457">
        <v>20405077</v>
      </c>
      <c r="G65" s="457">
        <v>0</v>
      </c>
      <c r="H65" s="457">
        <v>0</v>
      </c>
      <c r="I65" s="457">
        <v>20405077</v>
      </c>
      <c r="J65" s="457">
        <v>20443942</v>
      </c>
      <c r="K65" s="457">
        <v>0</v>
      </c>
      <c r="L65" s="457">
        <v>0</v>
      </c>
      <c r="M65" s="457">
        <v>20443942</v>
      </c>
      <c r="N65" s="457">
        <v>-38865</v>
      </c>
      <c r="O65" s="457">
        <v>0</v>
      </c>
      <c r="P65" s="457">
        <v>0</v>
      </c>
      <c r="Q65" s="457">
        <v>-38865</v>
      </c>
      <c r="R65" s="457">
        <v>27564</v>
      </c>
      <c r="S65" s="457">
        <v>0</v>
      </c>
      <c r="T65" s="457">
        <v>0</v>
      </c>
      <c r="U65" s="457">
        <v>27564</v>
      </c>
      <c r="V65" s="457">
        <v>-66429</v>
      </c>
      <c r="W65" s="457">
        <v>0</v>
      </c>
      <c r="X65" s="457">
        <v>0</v>
      </c>
      <c r="Y65" s="457">
        <v>-66429</v>
      </c>
      <c r="Z65" s="457">
        <v>117534</v>
      </c>
      <c r="AA65" s="457">
        <v>117534</v>
      </c>
      <c r="AB65" s="457">
        <v>0</v>
      </c>
      <c r="AC65" s="457">
        <v>0</v>
      </c>
      <c r="AD65" s="457">
        <v>0</v>
      </c>
      <c r="AE65" s="457">
        <v>0</v>
      </c>
      <c r="AF65" s="457">
        <v>0</v>
      </c>
      <c r="AG65" s="457">
        <v>0</v>
      </c>
      <c r="AH65" s="457">
        <v>0</v>
      </c>
      <c r="AI65" s="457">
        <v>0</v>
      </c>
      <c r="AJ65" s="457">
        <v>0</v>
      </c>
      <c r="AK65" s="457">
        <v>0</v>
      </c>
      <c r="AL65" s="457">
        <v>0</v>
      </c>
      <c r="AM65" s="457">
        <v>0</v>
      </c>
      <c r="AN65" s="457">
        <v>0</v>
      </c>
      <c r="AO65" s="457">
        <v>0</v>
      </c>
      <c r="AP65" s="457">
        <v>0</v>
      </c>
      <c r="AQ65" s="457">
        <v>0</v>
      </c>
      <c r="AR65" s="457">
        <v>0</v>
      </c>
      <c r="AS65" s="457">
        <v>0</v>
      </c>
      <c r="AT65" s="457">
        <v>0</v>
      </c>
      <c r="AU65" s="457">
        <v>0</v>
      </c>
      <c r="AV65" s="457">
        <v>0</v>
      </c>
      <c r="AW65" s="457">
        <v>0</v>
      </c>
      <c r="AX65" s="457">
        <v>0</v>
      </c>
      <c r="AY65" s="457">
        <v>0</v>
      </c>
      <c r="AZ65" s="457">
        <v>0</v>
      </c>
      <c r="BA65" s="457">
        <v>267632</v>
      </c>
      <c r="BB65" s="457">
        <v>227411</v>
      </c>
      <c r="BC65" s="457">
        <v>40221</v>
      </c>
      <c r="BD65" s="457">
        <v>60217</v>
      </c>
      <c r="BE65" s="457">
        <v>51168</v>
      </c>
      <c r="BF65" s="457">
        <v>9049</v>
      </c>
      <c r="BG65" s="457">
        <v>6691</v>
      </c>
      <c r="BH65" s="457">
        <v>5685</v>
      </c>
      <c r="BI65" s="457">
        <v>1006</v>
      </c>
    </row>
    <row r="66" spans="1:61" ht="12.75" x14ac:dyDescent="0.2">
      <c r="A66" s="446">
        <v>59</v>
      </c>
      <c r="B66" s="447" t="s">
        <v>699</v>
      </c>
      <c r="C66" s="448" t="s">
        <v>1093</v>
      </c>
      <c r="D66" s="449" t="s">
        <v>1095</v>
      </c>
      <c r="E66" s="450" t="s">
        <v>698</v>
      </c>
      <c r="F66" s="457">
        <v>31625791</v>
      </c>
      <c r="G66" s="457">
        <v>0</v>
      </c>
      <c r="H66" s="457">
        <v>0</v>
      </c>
      <c r="I66" s="457">
        <v>31625791</v>
      </c>
      <c r="J66" s="457">
        <v>31586446</v>
      </c>
      <c r="K66" s="457">
        <v>0</v>
      </c>
      <c r="L66" s="457">
        <v>0</v>
      </c>
      <c r="M66" s="457">
        <v>31586446</v>
      </c>
      <c r="N66" s="457">
        <v>39345</v>
      </c>
      <c r="O66" s="457">
        <v>0</v>
      </c>
      <c r="P66" s="457">
        <v>0</v>
      </c>
      <c r="Q66" s="457">
        <v>39345</v>
      </c>
      <c r="R66" s="457">
        <v>81695</v>
      </c>
      <c r="S66" s="457">
        <v>0</v>
      </c>
      <c r="T66" s="457">
        <v>0</v>
      </c>
      <c r="U66" s="457">
        <v>81695</v>
      </c>
      <c r="V66" s="457">
        <v>-42350</v>
      </c>
      <c r="W66" s="457">
        <v>0</v>
      </c>
      <c r="X66" s="457">
        <v>0</v>
      </c>
      <c r="Y66" s="457">
        <v>-42350</v>
      </c>
      <c r="Z66" s="457">
        <v>133847</v>
      </c>
      <c r="AA66" s="457">
        <v>133847</v>
      </c>
      <c r="AB66" s="457">
        <v>0</v>
      </c>
      <c r="AC66" s="457">
        <v>0</v>
      </c>
      <c r="AD66" s="457">
        <v>0</v>
      </c>
      <c r="AE66" s="457">
        <v>0</v>
      </c>
      <c r="AF66" s="457">
        <v>0</v>
      </c>
      <c r="AG66" s="457">
        <v>0</v>
      </c>
      <c r="AH66" s="457">
        <v>0</v>
      </c>
      <c r="AI66" s="457">
        <v>0</v>
      </c>
      <c r="AJ66" s="457">
        <v>0</v>
      </c>
      <c r="AK66" s="457">
        <v>0</v>
      </c>
      <c r="AL66" s="457">
        <v>0</v>
      </c>
      <c r="AM66" s="457">
        <v>0</v>
      </c>
      <c r="AN66" s="457">
        <v>0</v>
      </c>
      <c r="AO66" s="457">
        <v>0</v>
      </c>
      <c r="AP66" s="457">
        <v>0</v>
      </c>
      <c r="AQ66" s="457">
        <v>0</v>
      </c>
      <c r="AR66" s="457">
        <v>0</v>
      </c>
      <c r="AS66" s="457">
        <v>0</v>
      </c>
      <c r="AT66" s="457">
        <v>0</v>
      </c>
      <c r="AU66" s="457">
        <v>0</v>
      </c>
      <c r="AV66" s="457">
        <v>0</v>
      </c>
      <c r="AW66" s="457">
        <v>0</v>
      </c>
      <c r="AX66" s="457">
        <v>0</v>
      </c>
      <c r="AY66" s="457">
        <v>0</v>
      </c>
      <c r="AZ66" s="457">
        <v>0</v>
      </c>
      <c r="BA66" s="457">
        <v>447208</v>
      </c>
      <c r="BB66" s="457">
        <v>385305</v>
      </c>
      <c r="BC66" s="457">
        <v>61903</v>
      </c>
      <c r="BD66" s="457">
        <v>100622</v>
      </c>
      <c r="BE66" s="457">
        <v>86694</v>
      </c>
      <c r="BF66" s="457">
        <v>13928</v>
      </c>
      <c r="BG66" s="457">
        <v>11180</v>
      </c>
      <c r="BH66" s="457">
        <v>9633</v>
      </c>
      <c r="BI66" s="457">
        <v>1547</v>
      </c>
    </row>
    <row r="67" spans="1:61" ht="12.75" x14ac:dyDescent="0.2">
      <c r="A67" s="446">
        <v>60</v>
      </c>
      <c r="B67" s="447" t="s">
        <v>701</v>
      </c>
      <c r="C67" s="448" t="s">
        <v>1093</v>
      </c>
      <c r="D67" s="449" t="s">
        <v>1102</v>
      </c>
      <c r="E67" s="450" t="s">
        <v>700</v>
      </c>
      <c r="F67" s="457">
        <v>19072472</v>
      </c>
      <c r="G67" s="457">
        <v>0</v>
      </c>
      <c r="H67" s="457">
        <v>0</v>
      </c>
      <c r="I67" s="457">
        <v>19072472</v>
      </c>
      <c r="J67" s="457">
        <v>19229782</v>
      </c>
      <c r="K67" s="457">
        <v>0</v>
      </c>
      <c r="L67" s="457">
        <v>0</v>
      </c>
      <c r="M67" s="457">
        <v>19229782</v>
      </c>
      <c r="N67" s="457">
        <v>-157310</v>
      </c>
      <c r="O67" s="457">
        <v>0</v>
      </c>
      <c r="P67" s="457">
        <v>0</v>
      </c>
      <c r="Q67" s="457">
        <v>-157310</v>
      </c>
      <c r="R67" s="457">
        <v>-15890</v>
      </c>
      <c r="S67" s="457">
        <v>0</v>
      </c>
      <c r="T67" s="457">
        <v>0</v>
      </c>
      <c r="U67" s="457">
        <v>-15890</v>
      </c>
      <c r="V67" s="457">
        <v>-141420</v>
      </c>
      <c r="W67" s="457">
        <v>0</v>
      </c>
      <c r="X67" s="457">
        <v>0</v>
      </c>
      <c r="Y67" s="457">
        <v>-141420</v>
      </c>
      <c r="Z67" s="457">
        <v>75078</v>
      </c>
      <c r="AA67" s="457">
        <v>75078</v>
      </c>
      <c r="AB67" s="457">
        <v>0</v>
      </c>
      <c r="AC67" s="457">
        <v>0</v>
      </c>
      <c r="AD67" s="457">
        <v>0</v>
      </c>
      <c r="AE67" s="457">
        <v>0</v>
      </c>
      <c r="AF67" s="457">
        <v>0</v>
      </c>
      <c r="AG67" s="457">
        <v>0</v>
      </c>
      <c r="AH67" s="457">
        <v>0</v>
      </c>
      <c r="AI67" s="457">
        <v>0</v>
      </c>
      <c r="AJ67" s="457">
        <v>0</v>
      </c>
      <c r="AK67" s="457">
        <v>0</v>
      </c>
      <c r="AL67" s="457">
        <v>0</v>
      </c>
      <c r="AM67" s="457">
        <v>0</v>
      </c>
      <c r="AN67" s="457">
        <v>0</v>
      </c>
      <c r="AO67" s="457">
        <v>0</v>
      </c>
      <c r="AP67" s="457">
        <v>0</v>
      </c>
      <c r="AQ67" s="457">
        <v>0</v>
      </c>
      <c r="AR67" s="457">
        <v>0</v>
      </c>
      <c r="AS67" s="457">
        <v>0</v>
      </c>
      <c r="AT67" s="457">
        <v>0</v>
      </c>
      <c r="AU67" s="457">
        <v>0</v>
      </c>
      <c r="AV67" s="457">
        <v>0</v>
      </c>
      <c r="AW67" s="457">
        <v>0</v>
      </c>
      <c r="AX67" s="457">
        <v>0</v>
      </c>
      <c r="AY67" s="457">
        <v>0</v>
      </c>
      <c r="AZ67" s="457">
        <v>0</v>
      </c>
      <c r="BA67" s="457">
        <v>220655</v>
      </c>
      <c r="BB67" s="457">
        <v>190282</v>
      </c>
      <c r="BC67" s="457">
        <v>30373</v>
      </c>
      <c r="BD67" s="457">
        <v>49647</v>
      </c>
      <c r="BE67" s="457">
        <v>42814</v>
      </c>
      <c r="BF67" s="457">
        <v>6833</v>
      </c>
      <c r="BG67" s="457">
        <v>5516</v>
      </c>
      <c r="BH67" s="457">
        <v>4757</v>
      </c>
      <c r="BI67" s="457">
        <v>759</v>
      </c>
    </row>
    <row r="68" spans="1:61" ht="12.75" x14ac:dyDescent="0.2">
      <c r="A68" s="446">
        <v>61</v>
      </c>
      <c r="B68" s="447" t="s">
        <v>0</v>
      </c>
      <c r="C68" s="448" t="s">
        <v>1104</v>
      </c>
      <c r="D68" s="449" t="s">
        <v>1099</v>
      </c>
      <c r="E68" s="450" t="s">
        <v>702</v>
      </c>
      <c r="F68" s="457">
        <v>843371662</v>
      </c>
      <c r="G68" s="457">
        <v>0</v>
      </c>
      <c r="H68" s="457">
        <v>0</v>
      </c>
      <c r="I68" s="457">
        <v>843371662</v>
      </c>
      <c r="J68" s="457">
        <v>841859101</v>
      </c>
      <c r="K68" s="457">
        <v>0</v>
      </c>
      <c r="L68" s="457">
        <v>0</v>
      </c>
      <c r="M68" s="457">
        <v>841859101</v>
      </c>
      <c r="N68" s="457">
        <v>1512561</v>
      </c>
      <c r="O68" s="457">
        <v>0</v>
      </c>
      <c r="P68" s="457">
        <v>0</v>
      </c>
      <c r="Q68" s="457">
        <v>1512561</v>
      </c>
      <c r="R68" s="457">
        <v>314954</v>
      </c>
      <c r="S68" s="457">
        <v>0</v>
      </c>
      <c r="T68" s="457">
        <v>0</v>
      </c>
      <c r="U68" s="457">
        <v>314954</v>
      </c>
      <c r="V68" s="457">
        <v>1197607</v>
      </c>
      <c r="W68" s="457">
        <v>0</v>
      </c>
      <c r="X68" s="457">
        <v>0</v>
      </c>
      <c r="Y68" s="457">
        <v>1197607</v>
      </c>
      <c r="Z68" s="457">
        <v>1663453</v>
      </c>
      <c r="AA68" s="457">
        <v>1663453</v>
      </c>
      <c r="AB68" s="457">
        <v>0</v>
      </c>
      <c r="AC68" s="457">
        <v>0</v>
      </c>
      <c r="AD68" s="457">
        <v>0</v>
      </c>
      <c r="AE68" s="457">
        <v>0</v>
      </c>
      <c r="AF68" s="457">
        <v>0</v>
      </c>
      <c r="AG68" s="457">
        <v>0</v>
      </c>
      <c r="AH68" s="457">
        <v>0</v>
      </c>
      <c r="AI68" s="457">
        <v>0</v>
      </c>
      <c r="AJ68" s="457">
        <v>0</v>
      </c>
      <c r="AK68" s="457">
        <v>0</v>
      </c>
      <c r="AL68" s="457">
        <v>0</v>
      </c>
      <c r="AM68" s="457">
        <v>0</v>
      </c>
      <c r="AN68" s="457">
        <v>0</v>
      </c>
      <c r="AO68" s="457">
        <v>0</v>
      </c>
      <c r="AP68" s="457">
        <v>0</v>
      </c>
      <c r="AQ68" s="457">
        <v>0</v>
      </c>
      <c r="AR68" s="457">
        <v>0</v>
      </c>
      <c r="AS68" s="457">
        <v>0</v>
      </c>
      <c r="AT68" s="457">
        <v>0</v>
      </c>
      <c r="AU68" s="457">
        <v>0</v>
      </c>
      <c r="AV68" s="457">
        <v>0</v>
      </c>
      <c r="AW68" s="457">
        <v>0</v>
      </c>
      <c r="AX68" s="457">
        <v>0</v>
      </c>
      <c r="AY68" s="457">
        <v>0</v>
      </c>
      <c r="AZ68" s="457">
        <v>0</v>
      </c>
      <c r="BA68" s="457">
        <v>55262</v>
      </c>
      <c r="BB68" s="457">
        <v>47451</v>
      </c>
      <c r="BC68" s="457">
        <v>7811</v>
      </c>
      <c r="BD68" s="457">
        <v>36841</v>
      </c>
      <c r="BE68" s="457">
        <v>31634</v>
      </c>
      <c r="BF68" s="457">
        <v>5207</v>
      </c>
      <c r="BG68" s="457">
        <v>0</v>
      </c>
      <c r="BH68" s="457">
        <v>0</v>
      </c>
      <c r="BI68" s="457">
        <v>0</v>
      </c>
    </row>
    <row r="69" spans="1:61" ht="12.75" x14ac:dyDescent="0.2">
      <c r="A69" s="446">
        <v>62</v>
      </c>
      <c r="B69" s="447" t="s">
        <v>2</v>
      </c>
      <c r="C69" s="448" t="s">
        <v>1093</v>
      </c>
      <c r="D69" s="449" t="s">
        <v>1097</v>
      </c>
      <c r="E69" s="450" t="s">
        <v>1</v>
      </c>
      <c r="F69" s="457">
        <v>70082209</v>
      </c>
      <c r="G69" s="457">
        <v>0</v>
      </c>
      <c r="H69" s="457">
        <v>0</v>
      </c>
      <c r="I69" s="457">
        <v>70082209</v>
      </c>
      <c r="J69" s="457">
        <v>70396281</v>
      </c>
      <c r="K69" s="457">
        <v>0</v>
      </c>
      <c r="L69" s="457">
        <v>0</v>
      </c>
      <c r="M69" s="457">
        <v>70396281</v>
      </c>
      <c r="N69" s="457">
        <v>-314072</v>
      </c>
      <c r="O69" s="457">
        <v>0</v>
      </c>
      <c r="P69" s="457">
        <v>0</v>
      </c>
      <c r="Q69" s="457">
        <v>-314072</v>
      </c>
      <c r="R69" s="457">
        <v>54653</v>
      </c>
      <c r="S69" s="457">
        <v>0</v>
      </c>
      <c r="T69" s="457">
        <v>0</v>
      </c>
      <c r="U69" s="457">
        <v>54653</v>
      </c>
      <c r="V69" s="457">
        <v>-368725</v>
      </c>
      <c r="W69" s="457">
        <v>0</v>
      </c>
      <c r="X69" s="457">
        <v>0</v>
      </c>
      <c r="Y69" s="457">
        <v>-368725</v>
      </c>
      <c r="Z69" s="457">
        <v>240916</v>
      </c>
      <c r="AA69" s="457">
        <v>240916</v>
      </c>
      <c r="AB69" s="457">
        <v>0</v>
      </c>
      <c r="AC69" s="457">
        <v>0</v>
      </c>
      <c r="AD69" s="457">
        <v>0</v>
      </c>
      <c r="AE69" s="457">
        <v>0</v>
      </c>
      <c r="AF69" s="457">
        <v>0</v>
      </c>
      <c r="AG69" s="457">
        <v>0</v>
      </c>
      <c r="AH69" s="457">
        <v>0</v>
      </c>
      <c r="AI69" s="457">
        <v>0</v>
      </c>
      <c r="AJ69" s="457">
        <v>0</v>
      </c>
      <c r="AK69" s="457">
        <v>0</v>
      </c>
      <c r="AL69" s="457">
        <v>0</v>
      </c>
      <c r="AM69" s="457">
        <v>0</v>
      </c>
      <c r="AN69" s="457">
        <v>0</v>
      </c>
      <c r="AO69" s="457">
        <v>0</v>
      </c>
      <c r="AP69" s="457">
        <v>0</v>
      </c>
      <c r="AQ69" s="457">
        <v>0</v>
      </c>
      <c r="AR69" s="457">
        <v>0</v>
      </c>
      <c r="AS69" s="457">
        <v>0</v>
      </c>
      <c r="AT69" s="457">
        <v>0</v>
      </c>
      <c r="AU69" s="457">
        <v>0</v>
      </c>
      <c r="AV69" s="457">
        <v>0</v>
      </c>
      <c r="AW69" s="457">
        <v>0</v>
      </c>
      <c r="AX69" s="457">
        <v>0</v>
      </c>
      <c r="AY69" s="457">
        <v>0</v>
      </c>
      <c r="AZ69" s="457">
        <v>0</v>
      </c>
      <c r="BA69" s="457">
        <v>545069</v>
      </c>
      <c r="BB69" s="457">
        <v>464150</v>
      </c>
      <c r="BC69" s="457">
        <v>80919</v>
      </c>
      <c r="BD69" s="457">
        <v>122641</v>
      </c>
      <c r="BE69" s="457">
        <v>104434</v>
      </c>
      <c r="BF69" s="457">
        <v>18207</v>
      </c>
      <c r="BG69" s="457">
        <v>13627</v>
      </c>
      <c r="BH69" s="457">
        <v>11604</v>
      </c>
      <c r="BI69" s="457">
        <v>2023</v>
      </c>
    </row>
    <row r="70" spans="1:61" ht="12.75" x14ac:dyDescent="0.2">
      <c r="A70" s="446">
        <v>63</v>
      </c>
      <c r="B70" s="447" t="s">
        <v>4</v>
      </c>
      <c r="C70" s="448" t="s">
        <v>1093</v>
      </c>
      <c r="D70" s="449" t="s">
        <v>1095</v>
      </c>
      <c r="E70" s="450" t="s">
        <v>3</v>
      </c>
      <c r="F70" s="457">
        <v>44465992</v>
      </c>
      <c r="G70" s="457">
        <v>0</v>
      </c>
      <c r="H70" s="457">
        <v>0</v>
      </c>
      <c r="I70" s="457">
        <v>44465992</v>
      </c>
      <c r="J70" s="457">
        <v>44498837</v>
      </c>
      <c r="K70" s="457">
        <v>0</v>
      </c>
      <c r="L70" s="457">
        <v>0</v>
      </c>
      <c r="M70" s="457">
        <v>44498837</v>
      </c>
      <c r="N70" s="457">
        <v>-32845</v>
      </c>
      <c r="O70" s="457">
        <v>0</v>
      </c>
      <c r="P70" s="457">
        <v>0</v>
      </c>
      <c r="Q70" s="457">
        <v>-32845</v>
      </c>
      <c r="R70" s="457">
        <v>86015</v>
      </c>
      <c r="S70" s="457">
        <v>0</v>
      </c>
      <c r="T70" s="457">
        <v>0</v>
      </c>
      <c r="U70" s="457">
        <v>86015</v>
      </c>
      <c r="V70" s="457">
        <v>-118860</v>
      </c>
      <c r="W70" s="457">
        <v>0</v>
      </c>
      <c r="X70" s="457">
        <v>0</v>
      </c>
      <c r="Y70" s="457">
        <v>-118860</v>
      </c>
      <c r="Z70" s="457">
        <v>113008</v>
      </c>
      <c r="AA70" s="457">
        <v>113008</v>
      </c>
      <c r="AB70" s="457">
        <v>0</v>
      </c>
      <c r="AC70" s="457">
        <v>0</v>
      </c>
      <c r="AD70" s="457">
        <v>0</v>
      </c>
      <c r="AE70" s="457">
        <v>0</v>
      </c>
      <c r="AF70" s="457">
        <v>0</v>
      </c>
      <c r="AG70" s="457">
        <v>0</v>
      </c>
      <c r="AH70" s="457">
        <v>0</v>
      </c>
      <c r="AI70" s="457">
        <v>358</v>
      </c>
      <c r="AJ70" s="457">
        <v>0</v>
      </c>
      <c r="AK70" s="457">
        <v>358</v>
      </c>
      <c r="AL70" s="457">
        <v>0</v>
      </c>
      <c r="AM70" s="457">
        <v>0</v>
      </c>
      <c r="AN70" s="457">
        <v>0</v>
      </c>
      <c r="AO70" s="457">
        <v>0</v>
      </c>
      <c r="AP70" s="457">
        <v>0</v>
      </c>
      <c r="AQ70" s="457">
        <v>0</v>
      </c>
      <c r="AR70" s="457">
        <v>0</v>
      </c>
      <c r="AS70" s="457">
        <v>0</v>
      </c>
      <c r="AT70" s="457">
        <v>0</v>
      </c>
      <c r="AU70" s="457">
        <v>0</v>
      </c>
      <c r="AV70" s="457">
        <v>0</v>
      </c>
      <c r="AW70" s="457">
        <v>0</v>
      </c>
      <c r="AX70" s="457">
        <v>0</v>
      </c>
      <c r="AY70" s="457">
        <v>0</v>
      </c>
      <c r="AZ70" s="457">
        <v>0</v>
      </c>
      <c r="BA70" s="457">
        <v>258455</v>
      </c>
      <c r="BB70" s="457">
        <v>223080</v>
      </c>
      <c r="BC70" s="457">
        <v>35375</v>
      </c>
      <c r="BD70" s="457">
        <v>64614</v>
      </c>
      <c r="BE70" s="457">
        <v>55770</v>
      </c>
      <c r="BF70" s="457">
        <v>8844</v>
      </c>
      <c r="BG70" s="457">
        <v>0</v>
      </c>
      <c r="BH70" s="457">
        <v>0</v>
      </c>
      <c r="BI70" s="457">
        <v>0</v>
      </c>
    </row>
    <row r="71" spans="1:61" ht="12.75" x14ac:dyDescent="0.2">
      <c r="A71" s="446">
        <v>64</v>
      </c>
      <c r="B71" s="447" t="s">
        <v>6</v>
      </c>
      <c r="C71" s="448" t="s">
        <v>1093</v>
      </c>
      <c r="D71" s="449" t="s">
        <v>1096</v>
      </c>
      <c r="E71" s="450" t="s">
        <v>5</v>
      </c>
      <c r="F71" s="457">
        <v>32634092</v>
      </c>
      <c r="G71" s="457">
        <v>0</v>
      </c>
      <c r="H71" s="457">
        <v>0</v>
      </c>
      <c r="I71" s="457">
        <v>32634092</v>
      </c>
      <c r="J71" s="457">
        <v>32228879</v>
      </c>
      <c r="K71" s="457">
        <v>0</v>
      </c>
      <c r="L71" s="457">
        <v>0</v>
      </c>
      <c r="M71" s="457">
        <v>32228879</v>
      </c>
      <c r="N71" s="457">
        <v>405213</v>
      </c>
      <c r="O71" s="457">
        <v>0</v>
      </c>
      <c r="P71" s="457">
        <v>0</v>
      </c>
      <c r="Q71" s="457">
        <v>405213</v>
      </c>
      <c r="R71" s="457">
        <v>-364611</v>
      </c>
      <c r="S71" s="457">
        <v>0</v>
      </c>
      <c r="T71" s="457">
        <v>0</v>
      </c>
      <c r="U71" s="457">
        <v>-364611</v>
      </c>
      <c r="V71" s="457">
        <v>769824</v>
      </c>
      <c r="W71" s="457">
        <v>0</v>
      </c>
      <c r="X71" s="457">
        <v>0</v>
      </c>
      <c r="Y71" s="457">
        <v>769824</v>
      </c>
      <c r="Z71" s="457">
        <v>86849</v>
      </c>
      <c r="AA71" s="457">
        <v>86849</v>
      </c>
      <c r="AB71" s="457">
        <v>0</v>
      </c>
      <c r="AC71" s="457">
        <v>0</v>
      </c>
      <c r="AD71" s="457">
        <v>0</v>
      </c>
      <c r="AE71" s="457">
        <v>0</v>
      </c>
      <c r="AF71" s="457">
        <v>0</v>
      </c>
      <c r="AG71" s="457">
        <v>0</v>
      </c>
      <c r="AH71" s="457">
        <v>0</v>
      </c>
      <c r="AI71" s="457">
        <v>0</v>
      </c>
      <c r="AJ71" s="457">
        <v>0</v>
      </c>
      <c r="AK71" s="457">
        <v>0</v>
      </c>
      <c r="AL71" s="457">
        <v>0</v>
      </c>
      <c r="AM71" s="457">
        <v>0</v>
      </c>
      <c r="AN71" s="457">
        <v>0</v>
      </c>
      <c r="AO71" s="457">
        <v>0</v>
      </c>
      <c r="AP71" s="457">
        <v>0</v>
      </c>
      <c r="AQ71" s="457">
        <v>0</v>
      </c>
      <c r="AR71" s="457">
        <v>0</v>
      </c>
      <c r="AS71" s="457">
        <v>0</v>
      </c>
      <c r="AT71" s="457">
        <v>0</v>
      </c>
      <c r="AU71" s="457">
        <v>0</v>
      </c>
      <c r="AV71" s="457">
        <v>0</v>
      </c>
      <c r="AW71" s="457">
        <v>0</v>
      </c>
      <c r="AX71" s="457">
        <v>0</v>
      </c>
      <c r="AY71" s="457">
        <v>0</v>
      </c>
      <c r="AZ71" s="457">
        <v>0</v>
      </c>
      <c r="BA71" s="457">
        <v>200548</v>
      </c>
      <c r="BB71" s="457">
        <v>78047</v>
      </c>
      <c r="BC71" s="457">
        <v>122501</v>
      </c>
      <c r="BD71" s="457">
        <v>50137</v>
      </c>
      <c r="BE71" s="457">
        <v>19512</v>
      </c>
      <c r="BF71" s="457">
        <v>30625</v>
      </c>
      <c r="BG71" s="457">
        <v>0</v>
      </c>
      <c r="BH71" s="457">
        <v>0</v>
      </c>
      <c r="BI71" s="457">
        <v>0</v>
      </c>
    </row>
    <row r="72" spans="1:61" ht="12.75" x14ac:dyDescent="0.2">
      <c r="A72" s="446">
        <v>65</v>
      </c>
      <c r="B72" s="447" t="s">
        <v>8</v>
      </c>
      <c r="C72" s="448" t="s">
        <v>794</v>
      </c>
      <c r="D72" s="449" t="s">
        <v>1102</v>
      </c>
      <c r="E72" s="450" t="s">
        <v>7</v>
      </c>
      <c r="F72" s="457">
        <v>196301513</v>
      </c>
      <c r="G72" s="457">
        <v>0</v>
      </c>
      <c r="H72" s="457">
        <v>587066</v>
      </c>
      <c r="I72" s="457">
        <v>196888579</v>
      </c>
      <c r="J72" s="457">
        <v>195291995</v>
      </c>
      <c r="K72" s="457">
        <v>0</v>
      </c>
      <c r="L72" s="457">
        <v>587060</v>
      </c>
      <c r="M72" s="457">
        <v>195879055</v>
      </c>
      <c r="N72" s="457">
        <v>1009518</v>
      </c>
      <c r="O72" s="457">
        <v>0</v>
      </c>
      <c r="P72" s="457">
        <v>6</v>
      </c>
      <c r="Q72" s="457">
        <v>1009524</v>
      </c>
      <c r="R72" s="457">
        <v>1964527</v>
      </c>
      <c r="S72" s="457">
        <v>0</v>
      </c>
      <c r="T72" s="457">
        <v>0</v>
      </c>
      <c r="U72" s="457">
        <v>1964527</v>
      </c>
      <c r="V72" s="457">
        <v>-955009</v>
      </c>
      <c r="W72" s="457">
        <v>0</v>
      </c>
      <c r="X72" s="457">
        <v>6</v>
      </c>
      <c r="Y72" s="457">
        <v>-955003</v>
      </c>
      <c r="Z72" s="457">
        <v>1101516</v>
      </c>
      <c r="AA72" s="457">
        <v>1101516</v>
      </c>
      <c r="AB72" s="457">
        <v>0</v>
      </c>
      <c r="AC72" s="457">
        <v>0</v>
      </c>
      <c r="AD72" s="457">
        <v>0</v>
      </c>
      <c r="AE72" s="457">
        <v>0</v>
      </c>
      <c r="AF72" s="457">
        <v>0</v>
      </c>
      <c r="AG72" s="457">
        <v>0</v>
      </c>
      <c r="AH72" s="457">
        <v>0</v>
      </c>
      <c r="AI72" s="457">
        <v>136761</v>
      </c>
      <c r="AJ72" s="457">
        <v>0</v>
      </c>
      <c r="AK72" s="457">
        <v>136761</v>
      </c>
      <c r="AL72" s="457">
        <v>0</v>
      </c>
      <c r="AM72" s="457">
        <v>0</v>
      </c>
      <c r="AN72" s="457">
        <v>0</v>
      </c>
      <c r="AO72" s="457">
        <v>139268</v>
      </c>
      <c r="AP72" s="457">
        <v>114348</v>
      </c>
      <c r="AQ72" s="457">
        <v>24920</v>
      </c>
      <c r="AR72" s="457">
        <v>139268</v>
      </c>
      <c r="AS72" s="457">
        <v>114348</v>
      </c>
      <c r="AT72" s="457">
        <v>24920</v>
      </c>
      <c r="AU72" s="457">
        <v>0</v>
      </c>
      <c r="AV72" s="457">
        <v>0</v>
      </c>
      <c r="AW72" s="457">
        <v>0</v>
      </c>
      <c r="AX72" s="457">
        <v>0</v>
      </c>
      <c r="AY72" s="457">
        <v>0</v>
      </c>
      <c r="AZ72" s="457">
        <v>0</v>
      </c>
      <c r="BA72" s="457">
        <v>5141596</v>
      </c>
      <c r="BB72" s="457">
        <v>4247426</v>
      </c>
      <c r="BC72" s="457">
        <v>894170</v>
      </c>
      <c r="BD72" s="457">
        <v>0</v>
      </c>
      <c r="BE72" s="457">
        <v>0</v>
      </c>
      <c r="BF72" s="457">
        <v>0</v>
      </c>
      <c r="BG72" s="457">
        <v>0</v>
      </c>
      <c r="BH72" s="457">
        <v>0</v>
      </c>
      <c r="BI72" s="457">
        <v>0</v>
      </c>
    </row>
    <row r="73" spans="1:61" ht="12.75" x14ac:dyDescent="0.2">
      <c r="A73" s="446">
        <v>66</v>
      </c>
      <c r="B73" s="447" t="s">
        <v>10</v>
      </c>
      <c r="C73" s="448" t="s">
        <v>1093</v>
      </c>
      <c r="D73" s="449" t="s">
        <v>1102</v>
      </c>
      <c r="E73" s="450" t="s">
        <v>9</v>
      </c>
      <c r="F73" s="457">
        <v>28590555</v>
      </c>
      <c r="G73" s="457">
        <v>0</v>
      </c>
      <c r="H73" s="457">
        <v>0</v>
      </c>
      <c r="I73" s="457">
        <v>28590555</v>
      </c>
      <c r="J73" s="457">
        <v>28424970</v>
      </c>
      <c r="K73" s="457">
        <v>0</v>
      </c>
      <c r="L73" s="457">
        <v>0</v>
      </c>
      <c r="M73" s="457">
        <v>28424970</v>
      </c>
      <c r="N73" s="457">
        <v>165585</v>
      </c>
      <c r="O73" s="457">
        <v>0</v>
      </c>
      <c r="P73" s="457">
        <v>0</v>
      </c>
      <c r="Q73" s="457">
        <v>165585</v>
      </c>
      <c r="R73" s="457">
        <v>348750</v>
      </c>
      <c r="S73" s="457">
        <v>0</v>
      </c>
      <c r="T73" s="457">
        <v>0</v>
      </c>
      <c r="U73" s="457">
        <v>348750</v>
      </c>
      <c r="V73" s="457">
        <v>-183165</v>
      </c>
      <c r="W73" s="457">
        <v>0</v>
      </c>
      <c r="X73" s="457">
        <v>0</v>
      </c>
      <c r="Y73" s="457">
        <v>-183165</v>
      </c>
      <c r="Z73" s="457">
        <v>179896</v>
      </c>
      <c r="AA73" s="457">
        <v>179896</v>
      </c>
      <c r="AB73" s="457">
        <v>0</v>
      </c>
      <c r="AC73" s="457">
        <v>0</v>
      </c>
      <c r="AD73" s="457">
        <v>0</v>
      </c>
      <c r="AE73" s="457">
        <v>0</v>
      </c>
      <c r="AF73" s="457">
        <v>0</v>
      </c>
      <c r="AG73" s="457">
        <v>0</v>
      </c>
      <c r="AH73" s="457">
        <v>0</v>
      </c>
      <c r="AI73" s="457">
        <v>0</v>
      </c>
      <c r="AJ73" s="457">
        <v>0</v>
      </c>
      <c r="AK73" s="457">
        <v>0</v>
      </c>
      <c r="AL73" s="457">
        <v>0</v>
      </c>
      <c r="AM73" s="457">
        <v>0</v>
      </c>
      <c r="AN73" s="457">
        <v>0</v>
      </c>
      <c r="AO73" s="457">
        <v>0</v>
      </c>
      <c r="AP73" s="457">
        <v>0</v>
      </c>
      <c r="AQ73" s="457">
        <v>0</v>
      </c>
      <c r="AR73" s="457">
        <v>0</v>
      </c>
      <c r="AS73" s="457">
        <v>0</v>
      </c>
      <c r="AT73" s="457">
        <v>0</v>
      </c>
      <c r="AU73" s="457">
        <v>0</v>
      </c>
      <c r="AV73" s="457">
        <v>0</v>
      </c>
      <c r="AW73" s="457">
        <v>0</v>
      </c>
      <c r="AX73" s="457">
        <v>0</v>
      </c>
      <c r="AY73" s="457">
        <v>0</v>
      </c>
      <c r="AZ73" s="457">
        <v>0</v>
      </c>
      <c r="BA73" s="457">
        <v>501469</v>
      </c>
      <c r="BB73" s="457">
        <v>426782</v>
      </c>
      <c r="BC73" s="457">
        <v>74687</v>
      </c>
      <c r="BD73" s="457">
        <v>125367</v>
      </c>
      <c r="BE73" s="457">
        <v>106696</v>
      </c>
      <c r="BF73" s="457">
        <v>18671</v>
      </c>
      <c r="BG73" s="457">
        <v>0</v>
      </c>
      <c r="BH73" s="457">
        <v>0</v>
      </c>
      <c r="BI73" s="457">
        <v>0</v>
      </c>
    </row>
    <row r="74" spans="1:61" ht="12.75" x14ac:dyDescent="0.2">
      <c r="A74" s="446">
        <v>67</v>
      </c>
      <c r="B74" s="447" t="s">
        <v>12</v>
      </c>
      <c r="C74" s="448" t="s">
        <v>1100</v>
      </c>
      <c r="D74" s="449" t="s">
        <v>1103</v>
      </c>
      <c r="E74" s="450" t="s">
        <v>11</v>
      </c>
      <c r="F74" s="457">
        <v>116286146</v>
      </c>
      <c r="G74" s="457">
        <v>0</v>
      </c>
      <c r="H74" s="457">
        <v>0</v>
      </c>
      <c r="I74" s="457">
        <v>116286146</v>
      </c>
      <c r="J74" s="457">
        <v>116903914</v>
      </c>
      <c r="K74" s="457">
        <v>0</v>
      </c>
      <c r="L74" s="457">
        <v>0</v>
      </c>
      <c r="M74" s="457">
        <v>116903914</v>
      </c>
      <c r="N74" s="457">
        <v>-617768</v>
      </c>
      <c r="O74" s="457">
        <v>0</v>
      </c>
      <c r="P74" s="457">
        <v>0</v>
      </c>
      <c r="Q74" s="457">
        <v>-617768</v>
      </c>
      <c r="R74" s="457">
        <v>20039</v>
      </c>
      <c r="S74" s="457">
        <v>0</v>
      </c>
      <c r="T74" s="457">
        <v>0</v>
      </c>
      <c r="U74" s="457">
        <v>20039</v>
      </c>
      <c r="V74" s="457">
        <v>-637807</v>
      </c>
      <c r="W74" s="457">
        <v>0</v>
      </c>
      <c r="X74" s="457">
        <v>0</v>
      </c>
      <c r="Y74" s="457">
        <v>-637807</v>
      </c>
      <c r="Z74" s="457">
        <v>379768</v>
      </c>
      <c r="AA74" s="457">
        <v>379768</v>
      </c>
      <c r="AB74" s="457">
        <v>0</v>
      </c>
      <c r="AC74" s="457">
        <v>0</v>
      </c>
      <c r="AD74" s="457">
        <v>0</v>
      </c>
      <c r="AE74" s="457">
        <v>0</v>
      </c>
      <c r="AF74" s="457">
        <v>0</v>
      </c>
      <c r="AG74" s="457">
        <v>0</v>
      </c>
      <c r="AH74" s="457">
        <v>0</v>
      </c>
      <c r="AI74" s="457">
        <v>0</v>
      </c>
      <c r="AJ74" s="457">
        <v>0</v>
      </c>
      <c r="AK74" s="457">
        <v>0</v>
      </c>
      <c r="AL74" s="457">
        <v>0</v>
      </c>
      <c r="AM74" s="457">
        <v>0</v>
      </c>
      <c r="AN74" s="457">
        <v>0</v>
      </c>
      <c r="AO74" s="457">
        <v>0</v>
      </c>
      <c r="AP74" s="457">
        <v>0</v>
      </c>
      <c r="AQ74" s="457">
        <v>0</v>
      </c>
      <c r="AR74" s="457">
        <v>0</v>
      </c>
      <c r="AS74" s="457">
        <v>0</v>
      </c>
      <c r="AT74" s="457">
        <v>0</v>
      </c>
      <c r="AU74" s="457">
        <v>0</v>
      </c>
      <c r="AV74" s="457">
        <v>0</v>
      </c>
      <c r="AW74" s="457">
        <v>0</v>
      </c>
      <c r="AX74" s="457">
        <v>0</v>
      </c>
      <c r="AY74" s="457">
        <v>0</v>
      </c>
      <c r="AZ74" s="457">
        <v>0</v>
      </c>
      <c r="BA74" s="457">
        <v>1195519</v>
      </c>
      <c r="BB74" s="457">
        <v>1000852</v>
      </c>
      <c r="BC74" s="457">
        <v>194667</v>
      </c>
      <c r="BD74" s="457">
        <v>0</v>
      </c>
      <c r="BE74" s="457">
        <v>0</v>
      </c>
      <c r="BF74" s="457">
        <v>0</v>
      </c>
      <c r="BG74" s="457">
        <v>24398</v>
      </c>
      <c r="BH74" s="457">
        <v>20426</v>
      </c>
      <c r="BI74" s="457">
        <v>3972</v>
      </c>
    </row>
    <row r="75" spans="1:61" ht="12.75" x14ac:dyDescent="0.2">
      <c r="A75" s="446">
        <v>68</v>
      </c>
      <c r="B75" s="447" t="s">
        <v>14</v>
      </c>
      <c r="C75" s="448" t="s">
        <v>1093</v>
      </c>
      <c r="D75" s="449" t="s">
        <v>1101</v>
      </c>
      <c r="E75" s="450" t="s">
        <v>13</v>
      </c>
      <c r="F75" s="457">
        <v>19214546</v>
      </c>
      <c r="G75" s="457">
        <v>0</v>
      </c>
      <c r="H75" s="457">
        <v>0</v>
      </c>
      <c r="I75" s="457">
        <v>19214546</v>
      </c>
      <c r="J75" s="457">
        <v>19232476</v>
      </c>
      <c r="K75" s="457">
        <v>0</v>
      </c>
      <c r="L75" s="457">
        <v>0</v>
      </c>
      <c r="M75" s="457">
        <v>19232476</v>
      </c>
      <c r="N75" s="457">
        <v>-17930</v>
      </c>
      <c r="O75" s="457">
        <v>0</v>
      </c>
      <c r="P75" s="457">
        <v>0</v>
      </c>
      <c r="Q75" s="457">
        <v>-17930</v>
      </c>
      <c r="R75" s="457">
        <v>47768</v>
      </c>
      <c r="S75" s="457">
        <v>0</v>
      </c>
      <c r="T75" s="457">
        <v>0</v>
      </c>
      <c r="U75" s="457">
        <v>47768</v>
      </c>
      <c r="V75" s="457">
        <v>-65698</v>
      </c>
      <c r="W75" s="457">
        <v>0</v>
      </c>
      <c r="X75" s="457">
        <v>0</v>
      </c>
      <c r="Y75" s="457">
        <v>-65698</v>
      </c>
      <c r="Z75" s="457">
        <v>119382</v>
      </c>
      <c r="AA75" s="457">
        <v>119382</v>
      </c>
      <c r="AB75" s="457">
        <v>0</v>
      </c>
      <c r="AC75" s="457">
        <v>0</v>
      </c>
      <c r="AD75" s="457">
        <v>0</v>
      </c>
      <c r="AE75" s="457">
        <v>0</v>
      </c>
      <c r="AF75" s="457">
        <v>0</v>
      </c>
      <c r="AG75" s="457">
        <v>0</v>
      </c>
      <c r="AH75" s="457">
        <v>0</v>
      </c>
      <c r="AI75" s="457">
        <v>0</v>
      </c>
      <c r="AJ75" s="457">
        <v>0</v>
      </c>
      <c r="AK75" s="457">
        <v>0</v>
      </c>
      <c r="AL75" s="457">
        <v>0</v>
      </c>
      <c r="AM75" s="457">
        <v>0</v>
      </c>
      <c r="AN75" s="457">
        <v>0</v>
      </c>
      <c r="AO75" s="457">
        <v>0</v>
      </c>
      <c r="AP75" s="457">
        <v>0</v>
      </c>
      <c r="AQ75" s="457">
        <v>0</v>
      </c>
      <c r="AR75" s="457">
        <v>0</v>
      </c>
      <c r="AS75" s="457">
        <v>0</v>
      </c>
      <c r="AT75" s="457">
        <v>0</v>
      </c>
      <c r="AU75" s="457">
        <v>0</v>
      </c>
      <c r="AV75" s="457">
        <v>0</v>
      </c>
      <c r="AW75" s="457">
        <v>0</v>
      </c>
      <c r="AX75" s="457">
        <v>0</v>
      </c>
      <c r="AY75" s="457">
        <v>0</v>
      </c>
      <c r="AZ75" s="457">
        <v>0</v>
      </c>
      <c r="BA75" s="457">
        <v>411458</v>
      </c>
      <c r="BB75" s="457">
        <v>238482</v>
      </c>
      <c r="BC75" s="457">
        <v>172976</v>
      </c>
      <c r="BD75" s="457">
        <v>92578</v>
      </c>
      <c r="BE75" s="457">
        <v>53659</v>
      </c>
      <c r="BF75" s="457">
        <v>38919</v>
      </c>
      <c r="BG75" s="457">
        <v>10286</v>
      </c>
      <c r="BH75" s="457">
        <v>5962</v>
      </c>
      <c r="BI75" s="457">
        <v>4324</v>
      </c>
    </row>
    <row r="76" spans="1:61" ht="12.75" x14ac:dyDescent="0.2">
      <c r="A76" s="446">
        <v>69</v>
      </c>
      <c r="B76" s="447" t="s">
        <v>16</v>
      </c>
      <c r="C76" s="448" t="s">
        <v>1093</v>
      </c>
      <c r="D76" s="449" t="s">
        <v>1094</v>
      </c>
      <c r="E76" s="450" t="s">
        <v>15</v>
      </c>
      <c r="F76" s="457">
        <v>112082470</v>
      </c>
      <c r="G76" s="457">
        <v>0</v>
      </c>
      <c r="H76" s="457">
        <v>0</v>
      </c>
      <c r="I76" s="457">
        <v>112082470</v>
      </c>
      <c r="J76" s="457">
        <v>112686297</v>
      </c>
      <c r="K76" s="457">
        <v>0</v>
      </c>
      <c r="L76" s="457">
        <v>0</v>
      </c>
      <c r="M76" s="457">
        <v>112686297</v>
      </c>
      <c r="N76" s="457">
        <v>-603827</v>
      </c>
      <c r="O76" s="457">
        <v>0</v>
      </c>
      <c r="P76" s="457">
        <v>0</v>
      </c>
      <c r="Q76" s="457">
        <v>-603827</v>
      </c>
      <c r="R76" s="457">
        <v>-30219</v>
      </c>
      <c r="S76" s="457">
        <v>0</v>
      </c>
      <c r="T76" s="457">
        <v>0</v>
      </c>
      <c r="U76" s="457">
        <v>-30219</v>
      </c>
      <c r="V76" s="457">
        <v>-573608</v>
      </c>
      <c r="W76" s="457">
        <v>0</v>
      </c>
      <c r="X76" s="457">
        <v>0</v>
      </c>
      <c r="Y76" s="457">
        <v>-573608</v>
      </c>
      <c r="Z76" s="457">
        <v>215934</v>
      </c>
      <c r="AA76" s="457">
        <v>215934</v>
      </c>
      <c r="AB76" s="457">
        <v>0</v>
      </c>
      <c r="AC76" s="457">
        <v>0</v>
      </c>
      <c r="AD76" s="457">
        <v>0</v>
      </c>
      <c r="AE76" s="457">
        <v>0</v>
      </c>
      <c r="AF76" s="457">
        <v>0</v>
      </c>
      <c r="AG76" s="457">
        <v>0</v>
      </c>
      <c r="AH76" s="457">
        <v>0</v>
      </c>
      <c r="AI76" s="457">
        <v>0</v>
      </c>
      <c r="AJ76" s="457">
        <v>0</v>
      </c>
      <c r="AK76" s="457">
        <v>0</v>
      </c>
      <c r="AL76" s="457">
        <v>0</v>
      </c>
      <c r="AM76" s="457">
        <v>0</v>
      </c>
      <c r="AN76" s="457">
        <v>0</v>
      </c>
      <c r="AO76" s="457">
        <v>0</v>
      </c>
      <c r="AP76" s="457">
        <v>0</v>
      </c>
      <c r="AQ76" s="457">
        <v>0</v>
      </c>
      <c r="AR76" s="457">
        <v>0</v>
      </c>
      <c r="AS76" s="457">
        <v>0</v>
      </c>
      <c r="AT76" s="457">
        <v>0</v>
      </c>
      <c r="AU76" s="457">
        <v>0</v>
      </c>
      <c r="AV76" s="457">
        <v>0</v>
      </c>
      <c r="AW76" s="457">
        <v>0</v>
      </c>
      <c r="AX76" s="457">
        <v>0</v>
      </c>
      <c r="AY76" s="457">
        <v>0</v>
      </c>
      <c r="AZ76" s="457">
        <v>0</v>
      </c>
      <c r="BA76" s="457">
        <v>143794</v>
      </c>
      <c r="BB76" s="457">
        <v>127426</v>
      </c>
      <c r="BC76" s="457">
        <v>16368</v>
      </c>
      <c r="BD76" s="457">
        <v>35949</v>
      </c>
      <c r="BE76" s="457">
        <v>31856</v>
      </c>
      <c r="BF76" s="457">
        <v>4093</v>
      </c>
      <c r="BG76" s="457">
        <v>0</v>
      </c>
      <c r="BH76" s="457">
        <v>0</v>
      </c>
      <c r="BI76" s="457">
        <v>0</v>
      </c>
    </row>
    <row r="77" spans="1:61" ht="12.75" x14ac:dyDescent="0.2">
      <c r="A77" s="446">
        <v>70</v>
      </c>
      <c r="B77" s="447" t="s">
        <v>18</v>
      </c>
      <c r="C77" s="448" t="s">
        <v>1098</v>
      </c>
      <c r="D77" s="449" t="s">
        <v>1099</v>
      </c>
      <c r="E77" s="450" t="s">
        <v>17</v>
      </c>
      <c r="F77" s="457">
        <v>-250899</v>
      </c>
      <c r="G77" s="457">
        <v>0</v>
      </c>
      <c r="H77" s="457">
        <v>0</v>
      </c>
      <c r="I77" s="457">
        <v>-250899</v>
      </c>
      <c r="J77" s="457">
        <v>193040</v>
      </c>
      <c r="K77" s="457">
        <v>0</v>
      </c>
      <c r="L77" s="457">
        <v>0</v>
      </c>
      <c r="M77" s="457">
        <v>193040</v>
      </c>
      <c r="N77" s="457">
        <v>-443939</v>
      </c>
      <c r="O77" s="457">
        <v>0</v>
      </c>
      <c r="P77" s="457">
        <v>0</v>
      </c>
      <c r="Q77" s="457">
        <v>-443939</v>
      </c>
      <c r="R77" s="457">
        <v>-316338</v>
      </c>
      <c r="S77" s="457">
        <v>0</v>
      </c>
      <c r="T77" s="457">
        <v>0</v>
      </c>
      <c r="U77" s="457">
        <v>-316338</v>
      </c>
      <c r="V77" s="457">
        <v>-127601</v>
      </c>
      <c r="W77" s="457">
        <v>0</v>
      </c>
      <c r="X77" s="457">
        <v>0</v>
      </c>
      <c r="Y77" s="457">
        <v>-127601</v>
      </c>
      <c r="Z77" s="457">
        <v>435172</v>
      </c>
      <c r="AA77" s="457">
        <v>435172</v>
      </c>
      <c r="AB77" s="457">
        <v>0</v>
      </c>
      <c r="AC77" s="457">
        <v>0</v>
      </c>
      <c r="AD77" s="457">
        <v>0</v>
      </c>
      <c r="AE77" s="457">
        <v>0</v>
      </c>
      <c r="AF77" s="457">
        <v>0</v>
      </c>
      <c r="AG77" s="457">
        <v>0</v>
      </c>
      <c r="AH77" s="457">
        <v>0</v>
      </c>
      <c r="AI77" s="457">
        <v>0</v>
      </c>
      <c r="AJ77" s="457">
        <v>0</v>
      </c>
      <c r="AK77" s="457">
        <v>0</v>
      </c>
      <c r="AL77" s="457">
        <v>0</v>
      </c>
      <c r="AM77" s="457">
        <v>0</v>
      </c>
      <c r="AN77" s="457">
        <v>0</v>
      </c>
      <c r="AO77" s="457">
        <v>0</v>
      </c>
      <c r="AP77" s="457">
        <v>0</v>
      </c>
      <c r="AQ77" s="457">
        <v>0</v>
      </c>
      <c r="AR77" s="457">
        <v>0</v>
      </c>
      <c r="AS77" s="457">
        <v>0</v>
      </c>
      <c r="AT77" s="457">
        <v>0</v>
      </c>
      <c r="AU77" s="457">
        <v>0</v>
      </c>
      <c r="AV77" s="457">
        <v>0</v>
      </c>
      <c r="AW77" s="457">
        <v>0</v>
      </c>
      <c r="AX77" s="457">
        <v>0</v>
      </c>
      <c r="AY77" s="457">
        <v>0</v>
      </c>
      <c r="AZ77" s="457">
        <v>0</v>
      </c>
      <c r="BA77" s="457">
        <v>1623924</v>
      </c>
      <c r="BB77" s="457">
        <v>682773</v>
      </c>
      <c r="BC77" s="457">
        <v>941151</v>
      </c>
      <c r="BD77" s="457">
        <v>1082616</v>
      </c>
      <c r="BE77" s="457">
        <v>455182</v>
      </c>
      <c r="BF77" s="457">
        <v>627434</v>
      </c>
      <c r="BG77" s="457">
        <v>0</v>
      </c>
      <c r="BH77" s="457">
        <v>0</v>
      </c>
      <c r="BI77" s="457">
        <v>0</v>
      </c>
    </row>
    <row r="78" spans="1:61" ht="12.75" x14ac:dyDescent="0.2">
      <c r="A78" s="446">
        <v>71</v>
      </c>
      <c r="B78" s="447" t="s">
        <v>20</v>
      </c>
      <c r="C78" s="448" t="s">
        <v>1093</v>
      </c>
      <c r="D78" s="449" t="s">
        <v>1097</v>
      </c>
      <c r="E78" s="450" t="s">
        <v>19</v>
      </c>
      <c r="F78" s="457">
        <v>43299</v>
      </c>
      <c r="G78" s="457">
        <v>0</v>
      </c>
      <c r="H78" s="457">
        <v>0</v>
      </c>
      <c r="I78" s="457">
        <v>43299</v>
      </c>
      <c r="J78" s="457">
        <v>987294</v>
      </c>
      <c r="K78" s="457">
        <v>0</v>
      </c>
      <c r="L78" s="457">
        <v>0</v>
      </c>
      <c r="M78" s="457">
        <v>987294</v>
      </c>
      <c r="N78" s="457">
        <v>-943995</v>
      </c>
      <c r="O78" s="457">
        <v>0</v>
      </c>
      <c r="P78" s="457">
        <v>0</v>
      </c>
      <c r="Q78" s="457">
        <v>-943995</v>
      </c>
      <c r="R78" s="457">
        <v>-536167</v>
      </c>
      <c r="S78" s="457">
        <v>0</v>
      </c>
      <c r="T78" s="457">
        <v>0</v>
      </c>
      <c r="U78" s="457">
        <v>-536167</v>
      </c>
      <c r="V78" s="457">
        <v>-407828</v>
      </c>
      <c r="W78" s="457">
        <v>0</v>
      </c>
      <c r="X78" s="457">
        <v>0</v>
      </c>
      <c r="Y78" s="457">
        <v>-407828</v>
      </c>
      <c r="Z78" s="457">
        <v>218506</v>
      </c>
      <c r="AA78" s="457">
        <v>218506</v>
      </c>
      <c r="AB78" s="457">
        <v>0</v>
      </c>
      <c r="AC78" s="457">
        <v>0</v>
      </c>
      <c r="AD78" s="457">
        <v>0</v>
      </c>
      <c r="AE78" s="457">
        <v>0</v>
      </c>
      <c r="AF78" s="457">
        <v>0</v>
      </c>
      <c r="AG78" s="457">
        <v>0</v>
      </c>
      <c r="AH78" s="457">
        <v>0</v>
      </c>
      <c r="AI78" s="457">
        <v>0</v>
      </c>
      <c r="AJ78" s="457">
        <v>0</v>
      </c>
      <c r="AK78" s="457">
        <v>0</v>
      </c>
      <c r="AL78" s="457">
        <v>0</v>
      </c>
      <c r="AM78" s="457">
        <v>0</v>
      </c>
      <c r="AN78" s="457">
        <v>0</v>
      </c>
      <c r="AO78" s="457">
        <v>0</v>
      </c>
      <c r="AP78" s="457">
        <v>0</v>
      </c>
      <c r="AQ78" s="457">
        <v>0</v>
      </c>
      <c r="AR78" s="457">
        <v>0</v>
      </c>
      <c r="AS78" s="457">
        <v>0</v>
      </c>
      <c r="AT78" s="457">
        <v>0</v>
      </c>
      <c r="AU78" s="457">
        <v>0</v>
      </c>
      <c r="AV78" s="457">
        <v>0</v>
      </c>
      <c r="AW78" s="457">
        <v>0</v>
      </c>
      <c r="AX78" s="457">
        <v>0</v>
      </c>
      <c r="AY78" s="457">
        <v>0</v>
      </c>
      <c r="AZ78" s="457">
        <v>0</v>
      </c>
      <c r="BA78" s="457">
        <v>407209</v>
      </c>
      <c r="BB78" s="457">
        <v>162940</v>
      </c>
      <c r="BC78" s="457">
        <v>244269</v>
      </c>
      <c r="BD78" s="457">
        <v>101802</v>
      </c>
      <c r="BE78" s="457">
        <v>40735</v>
      </c>
      <c r="BF78" s="457">
        <v>61067</v>
      </c>
      <c r="BG78" s="457">
        <v>0</v>
      </c>
      <c r="BH78" s="457">
        <v>0</v>
      </c>
      <c r="BI78" s="457">
        <v>0</v>
      </c>
    </row>
    <row r="79" spans="1:61" ht="12.75" x14ac:dyDescent="0.2">
      <c r="A79" s="446">
        <v>72</v>
      </c>
      <c r="B79" s="447" t="s">
        <v>22</v>
      </c>
      <c r="C79" s="448" t="s">
        <v>794</v>
      </c>
      <c r="D79" s="449" t="s">
        <v>1105</v>
      </c>
      <c r="E79" s="450" t="s">
        <v>714</v>
      </c>
      <c r="F79" s="457">
        <v>32529446.300000001</v>
      </c>
      <c r="G79" s="457">
        <v>0</v>
      </c>
      <c r="H79" s="457">
        <v>0</v>
      </c>
      <c r="I79" s="457">
        <v>32529446.300000001</v>
      </c>
      <c r="J79" s="457">
        <v>33584525.600000001</v>
      </c>
      <c r="K79" s="457">
        <v>0</v>
      </c>
      <c r="L79" s="457">
        <v>0</v>
      </c>
      <c r="M79" s="457">
        <v>33584525.600000001</v>
      </c>
      <c r="N79" s="457">
        <v>-1055079.2</v>
      </c>
      <c r="O79" s="457">
        <v>0</v>
      </c>
      <c r="P79" s="457">
        <v>0</v>
      </c>
      <c r="Q79" s="457">
        <v>-1055079.2</v>
      </c>
      <c r="R79" s="457">
        <v>-23259</v>
      </c>
      <c r="S79" s="457">
        <v>0</v>
      </c>
      <c r="T79" s="457">
        <v>0</v>
      </c>
      <c r="U79" s="457">
        <v>-23259</v>
      </c>
      <c r="V79" s="457">
        <v>-1031820</v>
      </c>
      <c r="W79" s="457">
        <v>0</v>
      </c>
      <c r="X79" s="457">
        <v>0</v>
      </c>
      <c r="Y79" s="457">
        <v>-1031820</v>
      </c>
      <c r="Z79" s="457">
        <v>148432</v>
      </c>
      <c r="AA79" s="457">
        <v>148432</v>
      </c>
      <c r="AB79" s="457">
        <v>0</v>
      </c>
      <c r="AC79" s="457">
        <v>0</v>
      </c>
      <c r="AD79" s="457">
        <v>0</v>
      </c>
      <c r="AE79" s="457">
        <v>0</v>
      </c>
      <c r="AF79" s="457">
        <v>0</v>
      </c>
      <c r="AG79" s="457">
        <v>0</v>
      </c>
      <c r="AH79" s="457">
        <v>0</v>
      </c>
      <c r="AI79" s="457">
        <v>0</v>
      </c>
      <c r="AJ79" s="457">
        <v>0</v>
      </c>
      <c r="AK79" s="457">
        <v>0</v>
      </c>
      <c r="AL79" s="457">
        <v>0</v>
      </c>
      <c r="AM79" s="457">
        <v>0</v>
      </c>
      <c r="AN79" s="457">
        <v>0</v>
      </c>
      <c r="AO79" s="457">
        <v>0</v>
      </c>
      <c r="AP79" s="457">
        <v>0</v>
      </c>
      <c r="AQ79" s="457">
        <v>0</v>
      </c>
      <c r="AR79" s="457">
        <v>0</v>
      </c>
      <c r="AS79" s="457">
        <v>0</v>
      </c>
      <c r="AT79" s="457">
        <v>0</v>
      </c>
      <c r="AU79" s="457">
        <v>0</v>
      </c>
      <c r="AV79" s="457">
        <v>0</v>
      </c>
      <c r="AW79" s="457">
        <v>0</v>
      </c>
      <c r="AX79" s="457">
        <v>0</v>
      </c>
      <c r="AY79" s="457">
        <v>0</v>
      </c>
      <c r="AZ79" s="457">
        <v>0</v>
      </c>
      <c r="BA79" s="457">
        <v>504475</v>
      </c>
      <c r="BB79" s="457">
        <v>437284</v>
      </c>
      <c r="BC79" s="457">
        <v>67191</v>
      </c>
      <c r="BD79" s="457">
        <v>0</v>
      </c>
      <c r="BE79" s="457">
        <v>0</v>
      </c>
      <c r="BF79" s="457">
        <v>0</v>
      </c>
      <c r="BG79" s="457">
        <v>10295</v>
      </c>
      <c r="BH79" s="457">
        <v>8924</v>
      </c>
      <c r="BI79" s="457">
        <v>1371</v>
      </c>
    </row>
    <row r="80" spans="1:61" ht="12.75" x14ac:dyDescent="0.2">
      <c r="A80" s="446">
        <v>73</v>
      </c>
      <c r="B80" s="447" t="s">
        <v>24</v>
      </c>
      <c r="C80" s="448" t="s">
        <v>1093</v>
      </c>
      <c r="D80" s="449" t="s">
        <v>1094</v>
      </c>
      <c r="E80" s="450" t="s">
        <v>23</v>
      </c>
      <c r="F80" s="457">
        <v>86146299</v>
      </c>
      <c r="G80" s="457">
        <v>0</v>
      </c>
      <c r="H80" s="457">
        <v>0</v>
      </c>
      <c r="I80" s="457">
        <v>86146299</v>
      </c>
      <c r="J80" s="457">
        <v>86521857</v>
      </c>
      <c r="K80" s="457">
        <v>0</v>
      </c>
      <c r="L80" s="457">
        <v>0</v>
      </c>
      <c r="M80" s="457">
        <v>86521857</v>
      </c>
      <c r="N80" s="457">
        <v>-375558</v>
      </c>
      <c r="O80" s="457">
        <v>0</v>
      </c>
      <c r="P80" s="457">
        <v>0</v>
      </c>
      <c r="Q80" s="457">
        <v>-375558</v>
      </c>
      <c r="R80" s="457">
        <v>32765</v>
      </c>
      <c r="S80" s="457">
        <v>0</v>
      </c>
      <c r="T80" s="457">
        <v>0</v>
      </c>
      <c r="U80" s="457">
        <v>32765</v>
      </c>
      <c r="V80" s="457">
        <v>-408323</v>
      </c>
      <c r="W80" s="457">
        <v>0</v>
      </c>
      <c r="X80" s="457">
        <v>0</v>
      </c>
      <c r="Y80" s="457">
        <v>-408323</v>
      </c>
      <c r="Z80" s="457">
        <v>175930</v>
      </c>
      <c r="AA80" s="457">
        <v>175930</v>
      </c>
      <c r="AB80" s="457">
        <v>0</v>
      </c>
      <c r="AC80" s="457">
        <v>0</v>
      </c>
      <c r="AD80" s="457">
        <v>0</v>
      </c>
      <c r="AE80" s="457">
        <v>0</v>
      </c>
      <c r="AF80" s="457">
        <v>0</v>
      </c>
      <c r="AG80" s="457">
        <v>0</v>
      </c>
      <c r="AH80" s="457">
        <v>0</v>
      </c>
      <c r="AI80" s="457">
        <v>0</v>
      </c>
      <c r="AJ80" s="457">
        <v>0</v>
      </c>
      <c r="AK80" s="457">
        <v>0</v>
      </c>
      <c r="AL80" s="457">
        <v>0</v>
      </c>
      <c r="AM80" s="457">
        <v>0</v>
      </c>
      <c r="AN80" s="457">
        <v>0</v>
      </c>
      <c r="AO80" s="457">
        <v>0</v>
      </c>
      <c r="AP80" s="457">
        <v>0</v>
      </c>
      <c r="AQ80" s="457">
        <v>0</v>
      </c>
      <c r="AR80" s="457">
        <v>0</v>
      </c>
      <c r="AS80" s="457">
        <v>0</v>
      </c>
      <c r="AT80" s="457">
        <v>0</v>
      </c>
      <c r="AU80" s="457">
        <v>0</v>
      </c>
      <c r="AV80" s="457">
        <v>0</v>
      </c>
      <c r="AW80" s="457">
        <v>0</v>
      </c>
      <c r="AX80" s="457">
        <v>0</v>
      </c>
      <c r="AY80" s="457">
        <v>0</v>
      </c>
      <c r="AZ80" s="457">
        <v>0</v>
      </c>
      <c r="BA80" s="457">
        <v>267261</v>
      </c>
      <c r="BB80" s="457">
        <v>234464</v>
      </c>
      <c r="BC80" s="457">
        <v>32797</v>
      </c>
      <c r="BD80" s="457">
        <v>60134</v>
      </c>
      <c r="BE80" s="457">
        <v>52754</v>
      </c>
      <c r="BF80" s="457">
        <v>7380</v>
      </c>
      <c r="BG80" s="457">
        <v>6682</v>
      </c>
      <c r="BH80" s="457">
        <v>5862</v>
      </c>
      <c r="BI80" s="457">
        <v>820</v>
      </c>
    </row>
    <row r="81" spans="1:61" ht="12.75" x14ac:dyDescent="0.2">
      <c r="A81" s="446">
        <v>74</v>
      </c>
      <c r="B81" s="447" t="s">
        <v>26</v>
      </c>
      <c r="C81" s="448" t="s">
        <v>1093</v>
      </c>
      <c r="D81" s="449" t="s">
        <v>1096</v>
      </c>
      <c r="E81" s="450" t="s">
        <v>25</v>
      </c>
      <c r="F81" s="457">
        <v>38209872</v>
      </c>
      <c r="G81" s="457">
        <v>0</v>
      </c>
      <c r="H81" s="457">
        <v>0</v>
      </c>
      <c r="I81" s="457">
        <v>38209872</v>
      </c>
      <c r="J81" s="457">
        <v>38677554</v>
      </c>
      <c r="K81" s="457">
        <v>0</v>
      </c>
      <c r="L81" s="457">
        <v>0</v>
      </c>
      <c r="M81" s="457">
        <v>38677554</v>
      </c>
      <c r="N81" s="457">
        <v>-467682</v>
      </c>
      <c r="O81" s="457">
        <v>0</v>
      </c>
      <c r="P81" s="457">
        <v>0</v>
      </c>
      <c r="Q81" s="457">
        <v>-467682</v>
      </c>
      <c r="R81" s="457">
        <v>41222</v>
      </c>
      <c r="S81" s="457">
        <v>0</v>
      </c>
      <c r="T81" s="457">
        <v>0</v>
      </c>
      <c r="U81" s="457">
        <v>41222</v>
      </c>
      <c r="V81" s="457">
        <v>-508904</v>
      </c>
      <c r="W81" s="457">
        <v>0</v>
      </c>
      <c r="X81" s="457">
        <v>0</v>
      </c>
      <c r="Y81" s="457">
        <v>-508904</v>
      </c>
      <c r="Z81" s="457">
        <v>116811</v>
      </c>
      <c r="AA81" s="457">
        <v>116811</v>
      </c>
      <c r="AB81" s="457">
        <v>0</v>
      </c>
      <c r="AC81" s="457">
        <v>0</v>
      </c>
      <c r="AD81" s="457">
        <v>0</v>
      </c>
      <c r="AE81" s="457">
        <v>0</v>
      </c>
      <c r="AF81" s="457">
        <v>0</v>
      </c>
      <c r="AG81" s="457">
        <v>0</v>
      </c>
      <c r="AH81" s="457">
        <v>0</v>
      </c>
      <c r="AI81" s="457">
        <v>155972</v>
      </c>
      <c r="AJ81" s="457">
        <v>0</v>
      </c>
      <c r="AK81" s="457">
        <v>155972</v>
      </c>
      <c r="AL81" s="457">
        <v>0</v>
      </c>
      <c r="AM81" s="457">
        <v>0</v>
      </c>
      <c r="AN81" s="457">
        <v>0</v>
      </c>
      <c r="AO81" s="457">
        <v>0</v>
      </c>
      <c r="AP81" s="457">
        <v>0</v>
      </c>
      <c r="AQ81" s="457">
        <v>0</v>
      </c>
      <c r="AR81" s="457">
        <v>0</v>
      </c>
      <c r="AS81" s="457">
        <v>0</v>
      </c>
      <c r="AT81" s="457">
        <v>0</v>
      </c>
      <c r="AU81" s="457">
        <v>0</v>
      </c>
      <c r="AV81" s="457">
        <v>0</v>
      </c>
      <c r="AW81" s="457">
        <v>0</v>
      </c>
      <c r="AX81" s="457">
        <v>0</v>
      </c>
      <c r="AY81" s="457">
        <v>0</v>
      </c>
      <c r="AZ81" s="457">
        <v>0</v>
      </c>
      <c r="BA81" s="457">
        <v>285196</v>
      </c>
      <c r="BB81" s="457">
        <v>227428</v>
      </c>
      <c r="BC81" s="457">
        <v>57768</v>
      </c>
      <c r="BD81" s="457">
        <v>71299</v>
      </c>
      <c r="BE81" s="457">
        <v>56857</v>
      </c>
      <c r="BF81" s="457">
        <v>14442</v>
      </c>
      <c r="BG81" s="457">
        <v>0</v>
      </c>
      <c r="BH81" s="457">
        <v>0</v>
      </c>
      <c r="BI81" s="457">
        <v>0</v>
      </c>
    </row>
    <row r="82" spans="1:61" ht="12.75" x14ac:dyDescent="0.2">
      <c r="A82" s="446">
        <v>75</v>
      </c>
      <c r="B82" s="447" t="s">
        <v>28</v>
      </c>
      <c r="C82" s="448" t="s">
        <v>794</v>
      </c>
      <c r="D82" s="449" t="s">
        <v>1096</v>
      </c>
      <c r="E82" s="450" t="s">
        <v>715</v>
      </c>
      <c r="F82" s="457">
        <v>85765001</v>
      </c>
      <c r="G82" s="457">
        <v>0</v>
      </c>
      <c r="H82" s="457">
        <v>0</v>
      </c>
      <c r="I82" s="457">
        <v>85765001</v>
      </c>
      <c r="J82" s="457">
        <v>86243840</v>
      </c>
      <c r="K82" s="457">
        <v>0</v>
      </c>
      <c r="L82" s="457">
        <v>0</v>
      </c>
      <c r="M82" s="457">
        <v>86243840</v>
      </c>
      <c r="N82" s="457">
        <v>-478839</v>
      </c>
      <c r="O82" s="457">
        <v>0</v>
      </c>
      <c r="P82" s="457">
        <v>0</v>
      </c>
      <c r="Q82" s="457">
        <v>-478839</v>
      </c>
      <c r="R82" s="457">
        <v>80408</v>
      </c>
      <c r="S82" s="457">
        <v>0</v>
      </c>
      <c r="T82" s="457">
        <v>0</v>
      </c>
      <c r="U82" s="457">
        <v>80408</v>
      </c>
      <c r="V82" s="457">
        <v>-559247</v>
      </c>
      <c r="W82" s="457">
        <v>0</v>
      </c>
      <c r="X82" s="457">
        <v>0</v>
      </c>
      <c r="Y82" s="457">
        <v>-559247</v>
      </c>
      <c r="Z82" s="457">
        <v>314703</v>
      </c>
      <c r="AA82" s="457">
        <v>314703</v>
      </c>
      <c r="AB82" s="457">
        <v>0</v>
      </c>
      <c r="AC82" s="457">
        <v>0</v>
      </c>
      <c r="AD82" s="457">
        <v>0</v>
      </c>
      <c r="AE82" s="457">
        <v>0</v>
      </c>
      <c r="AF82" s="457">
        <v>0</v>
      </c>
      <c r="AG82" s="457">
        <v>0</v>
      </c>
      <c r="AH82" s="457">
        <v>0</v>
      </c>
      <c r="AI82" s="457">
        <v>0</v>
      </c>
      <c r="AJ82" s="457">
        <v>0</v>
      </c>
      <c r="AK82" s="457">
        <v>0</v>
      </c>
      <c r="AL82" s="457">
        <v>0</v>
      </c>
      <c r="AM82" s="457">
        <v>0</v>
      </c>
      <c r="AN82" s="457">
        <v>0</v>
      </c>
      <c r="AO82" s="457">
        <v>0</v>
      </c>
      <c r="AP82" s="457">
        <v>0</v>
      </c>
      <c r="AQ82" s="457">
        <v>0</v>
      </c>
      <c r="AR82" s="457">
        <v>0</v>
      </c>
      <c r="AS82" s="457">
        <v>0</v>
      </c>
      <c r="AT82" s="457">
        <v>0</v>
      </c>
      <c r="AU82" s="457">
        <v>0</v>
      </c>
      <c r="AV82" s="457">
        <v>0</v>
      </c>
      <c r="AW82" s="457">
        <v>0</v>
      </c>
      <c r="AX82" s="457">
        <v>0</v>
      </c>
      <c r="AY82" s="457">
        <v>0</v>
      </c>
      <c r="AZ82" s="457">
        <v>0</v>
      </c>
      <c r="BA82" s="457">
        <v>929402</v>
      </c>
      <c r="BB82" s="457">
        <v>790156</v>
      </c>
      <c r="BC82" s="457">
        <v>139246</v>
      </c>
      <c r="BD82" s="457">
        <v>0</v>
      </c>
      <c r="BE82" s="457">
        <v>0</v>
      </c>
      <c r="BF82" s="457">
        <v>0</v>
      </c>
      <c r="BG82" s="457">
        <v>18967</v>
      </c>
      <c r="BH82" s="457">
        <v>16126</v>
      </c>
      <c r="BI82" s="457">
        <v>2841</v>
      </c>
    </row>
    <row r="83" spans="1:61" ht="12.75" x14ac:dyDescent="0.2">
      <c r="A83" s="446">
        <v>76</v>
      </c>
      <c r="B83" s="447" t="s">
        <v>30</v>
      </c>
      <c r="C83" s="448" t="s">
        <v>1093</v>
      </c>
      <c r="D83" s="449" t="s">
        <v>1096</v>
      </c>
      <c r="E83" s="450" t="s">
        <v>29</v>
      </c>
      <c r="F83" s="457">
        <v>17231026</v>
      </c>
      <c r="G83" s="457">
        <v>0</v>
      </c>
      <c r="H83" s="457">
        <v>0</v>
      </c>
      <c r="I83" s="457">
        <v>17231026</v>
      </c>
      <c r="J83" s="457">
        <v>17206820</v>
      </c>
      <c r="K83" s="457">
        <v>0</v>
      </c>
      <c r="L83" s="457">
        <v>0</v>
      </c>
      <c r="M83" s="457">
        <v>17206820</v>
      </c>
      <c r="N83" s="457">
        <v>24206</v>
      </c>
      <c r="O83" s="457">
        <v>0</v>
      </c>
      <c r="P83" s="457">
        <v>0</v>
      </c>
      <c r="Q83" s="457">
        <v>24206</v>
      </c>
      <c r="R83" s="457">
        <v>76496</v>
      </c>
      <c r="S83" s="457">
        <v>0</v>
      </c>
      <c r="T83" s="457">
        <v>0</v>
      </c>
      <c r="U83" s="457">
        <v>76496</v>
      </c>
      <c r="V83" s="457">
        <v>-52290</v>
      </c>
      <c r="W83" s="457">
        <v>0</v>
      </c>
      <c r="X83" s="457">
        <v>0</v>
      </c>
      <c r="Y83" s="457">
        <v>-52290</v>
      </c>
      <c r="Z83" s="457">
        <v>146324</v>
      </c>
      <c r="AA83" s="457">
        <v>146324</v>
      </c>
      <c r="AB83" s="457">
        <v>0</v>
      </c>
      <c r="AC83" s="457">
        <v>0</v>
      </c>
      <c r="AD83" s="457">
        <v>0</v>
      </c>
      <c r="AE83" s="457">
        <v>0</v>
      </c>
      <c r="AF83" s="457">
        <v>0</v>
      </c>
      <c r="AG83" s="457">
        <v>0</v>
      </c>
      <c r="AH83" s="457">
        <v>0</v>
      </c>
      <c r="AI83" s="457">
        <v>0</v>
      </c>
      <c r="AJ83" s="457">
        <v>0</v>
      </c>
      <c r="AK83" s="457">
        <v>0</v>
      </c>
      <c r="AL83" s="457">
        <v>0</v>
      </c>
      <c r="AM83" s="457">
        <v>0</v>
      </c>
      <c r="AN83" s="457">
        <v>0</v>
      </c>
      <c r="AO83" s="457">
        <v>0</v>
      </c>
      <c r="AP83" s="457">
        <v>0</v>
      </c>
      <c r="AQ83" s="457">
        <v>0</v>
      </c>
      <c r="AR83" s="457">
        <v>0</v>
      </c>
      <c r="AS83" s="457">
        <v>0</v>
      </c>
      <c r="AT83" s="457">
        <v>0</v>
      </c>
      <c r="AU83" s="457">
        <v>0</v>
      </c>
      <c r="AV83" s="457">
        <v>0</v>
      </c>
      <c r="AW83" s="457">
        <v>0</v>
      </c>
      <c r="AX83" s="457">
        <v>0</v>
      </c>
      <c r="AY83" s="457">
        <v>0</v>
      </c>
      <c r="AZ83" s="457">
        <v>0</v>
      </c>
      <c r="BA83" s="457">
        <v>492283</v>
      </c>
      <c r="BB83" s="457">
        <v>396939</v>
      </c>
      <c r="BC83" s="457">
        <v>95344</v>
      </c>
      <c r="BD83" s="457">
        <v>110764</v>
      </c>
      <c r="BE83" s="457">
        <v>89311</v>
      </c>
      <c r="BF83" s="457">
        <v>21453</v>
      </c>
      <c r="BG83" s="457">
        <v>12307</v>
      </c>
      <c r="BH83" s="457">
        <v>9923</v>
      </c>
      <c r="BI83" s="457">
        <v>2384</v>
      </c>
    </row>
    <row r="84" spans="1:61" ht="12.75" x14ac:dyDescent="0.2">
      <c r="A84" s="446">
        <v>77</v>
      </c>
      <c r="B84" s="447" t="s">
        <v>32</v>
      </c>
      <c r="C84" s="448" t="s">
        <v>1100</v>
      </c>
      <c r="D84" s="449" t="s">
        <v>1101</v>
      </c>
      <c r="E84" s="450" t="s">
        <v>31</v>
      </c>
      <c r="F84" s="457">
        <v>105123790</v>
      </c>
      <c r="G84" s="457">
        <v>0</v>
      </c>
      <c r="H84" s="457">
        <v>0</v>
      </c>
      <c r="I84" s="457">
        <v>105123790</v>
      </c>
      <c r="J84" s="457">
        <v>105481996</v>
      </c>
      <c r="K84" s="457">
        <v>0</v>
      </c>
      <c r="L84" s="457">
        <v>0</v>
      </c>
      <c r="M84" s="457">
        <v>105481996</v>
      </c>
      <c r="N84" s="457">
        <v>-358206</v>
      </c>
      <c r="O84" s="457">
        <v>0</v>
      </c>
      <c r="P84" s="457">
        <v>0</v>
      </c>
      <c r="Q84" s="457">
        <v>-358206</v>
      </c>
      <c r="R84" s="457">
        <v>114639</v>
      </c>
      <c r="S84" s="457">
        <v>0</v>
      </c>
      <c r="T84" s="457">
        <v>0</v>
      </c>
      <c r="U84" s="457">
        <v>114639</v>
      </c>
      <c r="V84" s="457">
        <v>-472845</v>
      </c>
      <c r="W84" s="457">
        <v>0</v>
      </c>
      <c r="X84" s="457">
        <v>0</v>
      </c>
      <c r="Y84" s="457">
        <v>-472845</v>
      </c>
      <c r="Z84" s="457">
        <v>367877</v>
      </c>
      <c r="AA84" s="457">
        <v>367877</v>
      </c>
      <c r="AB84" s="457">
        <v>0</v>
      </c>
      <c r="AC84" s="457">
        <v>0</v>
      </c>
      <c r="AD84" s="457">
        <v>0</v>
      </c>
      <c r="AE84" s="457">
        <v>0</v>
      </c>
      <c r="AF84" s="457">
        <v>0</v>
      </c>
      <c r="AG84" s="457">
        <v>0</v>
      </c>
      <c r="AH84" s="457">
        <v>0</v>
      </c>
      <c r="AI84" s="457">
        <v>0</v>
      </c>
      <c r="AJ84" s="457">
        <v>0</v>
      </c>
      <c r="AK84" s="457">
        <v>0</v>
      </c>
      <c r="AL84" s="457">
        <v>0</v>
      </c>
      <c r="AM84" s="457">
        <v>0</v>
      </c>
      <c r="AN84" s="457">
        <v>0</v>
      </c>
      <c r="AO84" s="457">
        <v>0</v>
      </c>
      <c r="AP84" s="457">
        <v>0</v>
      </c>
      <c r="AQ84" s="457">
        <v>0</v>
      </c>
      <c r="AR84" s="457">
        <v>0</v>
      </c>
      <c r="AS84" s="457">
        <v>0</v>
      </c>
      <c r="AT84" s="457">
        <v>0</v>
      </c>
      <c r="AU84" s="457">
        <v>0</v>
      </c>
      <c r="AV84" s="457">
        <v>0</v>
      </c>
      <c r="AW84" s="457">
        <v>0</v>
      </c>
      <c r="AX84" s="457">
        <v>0</v>
      </c>
      <c r="AY84" s="457">
        <v>0</v>
      </c>
      <c r="AZ84" s="457">
        <v>0</v>
      </c>
      <c r="BA84" s="457">
        <v>1358668</v>
      </c>
      <c r="BB84" s="457">
        <v>1162609</v>
      </c>
      <c r="BC84" s="457">
        <v>196059</v>
      </c>
      <c r="BD84" s="457">
        <v>0</v>
      </c>
      <c r="BE84" s="457">
        <v>0</v>
      </c>
      <c r="BF84" s="457">
        <v>0</v>
      </c>
      <c r="BG84" s="457">
        <v>27728</v>
      </c>
      <c r="BH84" s="457">
        <v>23727</v>
      </c>
      <c r="BI84" s="457">
        <v>4001</v>
      </c>
    </row>
    <row r="85" spans="1:61" ht="12.75" x14ac:dyDescent="0.2">
      <c r="A85" s="446">
        <v>78</v>
      </c>
      <c r="B85" s="447" t="s">
        <v>39</v>
      </c>
      <c r="C85" s="448" t="s">
        <v>1093</v>
      </c>
      <c r="D85" s="449" t="s">
        <v>1094</v>
      </c>
      <c r="E85" s="450" t="s">
        <v>38</v>
      </c>
      <c r="F85" s="457">
        <v>33705324.799999997</v>
      </c>
      <c r="G85" s="457">
        <v>0</v>
      </c>
      <c r="H85" s="457">
        <v>0</v>
      </c>
      <c r="I85" s="457">
        <v>33705324.799999997</v>
      </c>
      <c r="J85" s="457">
        <v>34391709</v>
      </c>
      <c r="K85" s="457">
        <v>0</v>
      </c>
      <c r="L85" s="457">
        <v>0</v>
      </c>
      <c r="M85" s="457">
        <v>34391709</v>
      </c>
      <c r="N85" s="457">
        <v>-686384.16</v>
      </c>
      <c r="O85" s="457">
        <v>0</v>
      </c>
      <c r="P85" s="457">
        <v>0</v>
      </c>
      <c r="Q85" s="457">
        <v>-686384.16</v>
      </c>
      <c r="R85" s="457">
        <v>-311296</v>
      </c>
      <c r="S85" s="457">
        <v>0</v>
      </c>
      <c r="T85" s="457">
        <v>0</v>
      </c>
      <c r="U85" s="457">
        <v>-311296</v>
      </c>
      <c r="V85" s="457">
        <v>-375088</v>
      </c>
      <c r="W85" s="457">
        <v>0</v>
      </c>
      <c r="X85" s="457">
        <v>0</v>
      </c>
      <c r="Y85" s="457">
        <v>-375088</v>
      </c>
      <c r="Z85" s="457">
        <v>151686</v>
      </c>
      <c r="AA85" s="457">
        <v>151686</v>
      </c>
      <c r="AB85" s="457">
        <v>0</v>
      </c>
      <c r="AC85" s="457">
        <v>0</v>
      </c>
      <c r="AD85" s="457">
        <v>0</v>
      </c>
      <c r="AE85" s="457">
        <v>0</v>
      </c>
      <c r="AF85" s="457">
        <v>0</v>
      </c>
      <c r="AG85" s="457">
        <v>0</v>
      </c>
      <c r="AH85" s="457">
        <v>0</v>
      </c>
      <c r="AI85" s="457">
        <v>0</v>
      </c>
      <c r="AJ85" s="457">
        <v>0</v>
      </c>
      <c r="AK85" s="457">
        <v>0</v>
      </c>
      <c r="AL85" s="457">
        <v>0</v>
      </c>
      <c r="AM85" s="457">
        <v>0</v>
      </c>
      <c r="AN85" s="457">
        <v>0</v>
      </c>
      <c r="AO85" s="457">
        <v>870740</v>
      </c>
      <c r="AP85" s="457">
        <v>37550</v>
      </c>
      <c r="AQ85" s="457">
        <v>833190</v>
      </c>
      <c r="AR85" s="457">
        <v>696592</v>
      </c>
      <c r="AS85" s="457">
        <v>30040</v>
      </c>
      <c r="AT85" s="457">
        <v>666552</v>
      </c>
      <c r="AU85" s="457">
        <v>156733</v>
      </c>
      <c r="AV85" s="457">
        <v>6759</v>
      </c>
      <c r="AW85" s="457">
        <v>149974</v>
      </c>
      <c r="AX85" s="457">
        <v>17415</v>
      </c>
      <c r="AY85" s="457">
        <v>751</v>
      </c>
      <c r="AZ85" s="457">
        <v>16664</v>
      </c>
      <c r="BA85" s="457">
        <v>425989</v>
      </c>
      <c r="BB85" s="457">
        <v>349807</v>
      </c>
      <c r="BC85" s="457">
        <v>76182</v>
      </c>
      <c r="BD85" s="457">
        <v>95848</v>
      </c>
      <c r="BE85" s="457">
        <v>78707</v>
      </c>
      <c r="BF85" s="457">
        <v>17141</v>
      </c>
      <c r="BG85" s="457">
        <v>10650</v>
      </c>
      <c r="BH85" s="457">
        <v>8745</v>
      </c>
      <c r="BI85" s="457">
        <v>1905</v>
      </c>
    </row>
    <row r="86" spans="1:61" ht="12.75" x14ac:dyDescent="0.2">
      <c r="A86" s="446">
        <v>79</v>
      </c>
      <c r="B86" s="447" t="s">
        <v>41</v>
      </c>
      <c r="C86" s="448" t="s">
        <v>1100</v>
      </c>
      <c r="D86" s="449" t="s">
        <v>1103</v>
      </c>
      <c r="E86" s="450" t="s">
        <v>40</v>
      </c>
      <c r="F86" s="457">
        <v>92797377</v>
      </c>
      <c r="G86" s="457">
        <v>0</v>
      </c>
      <c r="H86" s="457">
        <v>0</v>
      </c>
      <c r="I86" s="457">
        <v>92797377</v>
      </c>
      <c r="J86" s="457">
        <v>93294397</v>
      </c>
      <c r="K86" s="457">
        <v>0</v>
      </c>
      <c r="L86" s="457">
        <v>0</v>
      </c>
      <c r="M86" s="457">
        <v>93294397</v>
      </c>
      <c r="N86" s="457">
        <v>-497020</v>
      </c>
      <c r="O86" s="457">
        <v>0</v>
      </c>
      <c r="P86" s="457">
        <v>0</v>
      </c>
      <c r="Q86" s="457">
        <v>-497020</v>
      </c>
      <c r="R86" s="457">
        <v>99037</v>
      </c>
      <c r="S86" s="457">
        <v>0</v>
      </c>
      <c r="T86" s="457">
        <v>0</v>
      </c>
      <c r="U86" s="457">
        <v>99037</v>
      </c>
      <c r="V86" s="457">
        <v>-596057</v>
      </c>
      <c r="W86" s="457">
        <v>0</v>
      </c>
      <c r="X86" s="457">
        <v>0</v>
      </c>
      <c r="Y86" s="457">
        <v>-596057</v>
      </c>
      <c r="Z86" s="457">
        <v>439101</v>
      </c>
      <c r="AA86" s="457">
        <v>439101</v>
      </c>
      <c r="AB86" s="457">
        <v>0</v>
      </c>
      <c r="AC86" s="457">
        <v>0</v>
      </c>
      <c r="AD86" s="457">
        <v>0</v>
      </c>
      <c r="AE86" s="457">
        <v>0</v>
      </c>
      <c r="AF86" s="457">
        <v>0</v>
      </c>
      <c r="AG86" s="457">
        <v>0</v>
      </c>
      <c r="AH86" s="457">
        <v>0</v>
      </c>
      <c r="AI86" s="457">
        <v>0</v>
      </c>
      <c r="AJ86" s="457">
        <v>0</v>
      </c>
      <c r="AK86" s="457">
        <v>0</v>
      </c>
      <c r="AL86" s="457">
        <v>0</v>
      </c>
      <c r="AM86" s="457">
        <v>0</v>
      </c>
      <c r="AN86" s="457">
        <v>0</v>
      </c>
      <c r="AO86" s="457">
        <v>0</v>
      </c>
      <c r="AP86" s="457">
        <v>0</v>
      </c>
      <c r="AQ86" s="457">
        <v>0</v>
      </c>
      <c r="AR86" s="457">
        <v>0</v>
      </c>
      <c r="AS86" s="457">
        <v>0</v>
      </c>
      <c r="AT86" s="457">
        <v>0</v>
      </c>
      <c r="AU86" s="457">
        <v>0</v>
      </c>
      <c r="AV86" s="457">
        <v>0</v>
      </c>
      <c r="AW86" s="457">
        <v>0</v>
      </c>
      <c r="AX86" s="457">
        <v>0</v>
      </c>
      <c r="AY86" s="457">
        <v>0</v>
      </c>
      <c r="AZ86" s="457">
        <v>0</v>
      </c>
      <c r="BA86" s="457">
        <v>1539500</v>
      </c>
      <c r="BB86" s="457">
        <v>1298562</v>
      </c>
      <c r="BC86" s="457">
        <v>240938</v>
      </c>
      <c r="BD86" s="457">
        <v>0</v>
      </c>
      <c r="BE86" s="457">
        <v>0</v>
      </c>
      <c r="BF86" s="457">
        <v>0</v>
      </c>
      <c r="BG86" s="457">
        <v>31418</v>
      </c>
      <c r="BH86" s="457">
        <v>26501</v>
      </c>
      <c r="BI86" s="457">
        <v>4917</v>
      </c>
    </row>
    <row r="87" spans="1:61" ht="12.75" x14ac:dyDescent="0.2">
      <c r="A87" s="446">
        <v>80</v>
      </c>
      <c r="B87" s="447" t="s">
        <v>43</v>
      </c>
      <c r="C87" s="448" t="s">
        <v>794</v>
      </c>
      <c r="D87" s="449" t="s">
        <v>1105</v>
      </c>
      <c r="E87" s="450" t="s">
        <v>42</v>
      </c>
      <c r="F87" s="457">
        <v>112379328</v>
      </c>
      <c r="G87" s="457">
        <v>0</v>
      </c>
      <c r="H87" s="457">
        <v>0</v>
      </c>
      <c r="I87" s="457">
        <v>112379328</v>
      </c>
      <c r="J87" s="457">
        <v>113180593</v>
      </c>
      <c r="K87" s="457">
        <v>0</v>
      </c>
      <c r="L87" s="457">
        <v>0</v>
      </c>
      <c r="M87" s="457">
        <v>113180593</v>
      </c>
      <c r="N87" s="457">
        <v>-801265</v>
      </c>
      <c r="O87" s="457">
        <v>0</v>
      </c>
      <c r="P87" s="457">
        <v>0</v>
      </c>
      <c r="Q87" s="457">
        <v>-801265</v>
      </c>
      <c r="R87" s="457">
        <v>347571</v>
      </c>
      <c r="S87" s="457">
        <v>0</v>
      </c>
      <c r="T87" s="457">
        <v>0</v>
      </c>
      <c r="U87" s="457">
        <v>347571</v>
      </c>
      <c r="V87" s="457">
        <v>-1148836</v>
      </c>
      <c r="W87" s="457">
        <v>0</v>
      </c>
      <c r="X87" s="457">
        <v>0</v>
      </c>
      <c r="Y87" s="457">
        <v>-1148836</v>
      </c>
      <c r="Z87" s="457">
        <v>603811</v>
      </c>
      <c r="AA87" s="457">
        <v>603811</v>
      </c>
      <c r="AB87" s="457">
        <v>0</v>
      </c>
      <c r="AC87" s="457">
        <v>0</v>
      </c>
      <c r="AD87" s="457">
        <v>0</v>
      </c>
      <c r="AE87" s="457">
        <v>0</v>
      </c>
      <c r="AF87" s="457">
        <v>0</v>
      </c>
      <c r="AG87" s="457">
        <v>0</v>
      </c>
      <c r="AH87" s="457">
        <v>0</v>
      </c>
      <c r="AI87" s="457">
        <v>7579</v>
      </c>
      <c r="AJ87" s="457">
        <v>0</v>
      </c>
      <c r="AK87" s="457">
        <v>7579</v>
      </c>
      <c r="AL87" s="457">
        <v>0</v>
      </c>
      <c r="AM87" s="457">
        <v>0</v>
      </c>
      <c r="AN87" s="457">
        <v>0</v>
      </c>
      <c r="AO87" s="457">
        <v>0</v>
      </c>
      <c r="AP87" s="457">
        <v>0</v>
      </c>
      <c r="AQ87" s="457">
        <v>0</v>
      </c>
      <c r="AR87" s="457">
        <v>0</v>
      </c>
      <c r="AS87" s="457">
        <v>0</v>
      </c>
      <c r="AT87" s="457">
        <v>0</v>
      </c>
      <c r="AU87" s="457">
        <v>0</v>
      </c>
      <c r="AV87" s="457">
        <v>0</v>
      </c>
      <c r="AW87" s="457">
        <v>0</v>
      </c>
      <c r="AX87" s="457">
        <v>0</v>
      </c>
      <c r="AY87" s="457">
        <v>0</v>
      </c>
      <c r="AZ87" s="457">
        <v>0</v>
      </c>
      <c r="BA87" s="457">
        <v>2190823</v>
      </c>
      <c r="BB87" s="457">
        <v>1856974</v>
      </c>
      <c r="BC87" s="457">
        <v>333849</v>
      </c>
      <c r="BD87" s="457">
        <v>0</v>
      </c>
      <c r="BE87" s="457">
        <v>0</v>
      </c>
      <c r="BF87" s="457">
        <v>0</v>
      </c>
      <c r="BG87" s="457">
        <v>44711</v>
      </c>
      <c r="BH87" s="457">
        <v>37897</v>
      </c>
      <c r="BI87" s="457">
        <v>6814</v>
      </c>
    </row>
    <row r="88" spans="1:61" ht="12.75" x14ac:dyDescent="0.2">
      <c r="A88" s="446">
        <v>81</v>
      </c>
      <c r="B88" s="447" t="s">
        <v>45</v>
      </c>
      <c r="C88" s="448" t="s">
        <v>1098</v>
      </c>
      <c r="D88" s="449" t="s">
        <v>1099</v>
      </c>
      <c r="E88" s="450" t="s">
        <v>44</v>
      </c>
      <c r="F88" s="457">
        <v>162268156</v>
      </c>
      <c r="G88" s="457">
        <v>0</v>
      </c>
      <c r="H88" s="457">
        <v>0</v>
      </c>
      <c r="I88" s="457">
        <v>162268156</v>
      </c>
      <c r="J88" s="457">
        <v>162717068</v>
      </c>
      <c r="K88" s="457">
        <v>0</v>
      </c>
      <c r="L88" s="457">
        <v>0</v>
      </c>
      <c r="M88" s="457">
        <v>162717068</v>
      </c>
      <c r="N88" s="457">
        <v>-448911.06</v>
      </c>
      <c r="O88" s="457">
        <v>0</v>
      </c>
      <c r="P88" s="457">
        <v>0</v>
      </c>
      <c r="Q88" s="457">
        <v>-448911.06</v>
      </c>
      <c r="R88" s="457">
        <v>103464</v>
      </c>
      <c r="S88" s="457">
        <v>0</v>
      </c>
      <c r="T88" s="457">
        <v>0</v>
      </c>
      <c r="U88" s="457">
        <v>103464</v>
      </c>
      <c r="V88" s="457">
        <v>-552375</v>
      </c>
      <c r="W88" s="457">
        <v>0</v>
      </c>
      <c r="X88" s="457">
        <v>0</v>
      </c>
      <c r="Y88" s="457">
        <v>-552375</v>
      </c>
      <c r="Z88" s="457">
        <v>556870</v>
      </c>
      <c r="AA88" s="457">
        <v>493133</v>
      </c>
      <c r="AB88" s="457">
        <v>63737</v>
      </c>
      <c r="AC88" s="457">
        <v>0</v>
      </c>
      <c r="AD88" s="457">
        <v>0</v>
      </c>
      <c r="AE88" s="457">
        <v>0</v>
      </c>
      <c r="AF88" s="457">
        <v>0</v>
      </c>
      <c r="AG88" s="457">
        <v>0</v>
      </c>
      <c r="AH88" s="457">
        <v>0</v>
      </c>
      <c r="AI88" s="457">
        <v>0</v>
      </c>
      <c r="AJ88" s="457">
        <v>0</v>
      </c>
      <c r="AK88" s="457">
        <v>0</v>
      </c>
      <c r="AL88" s="457">
        <v>0</v>
      </c>
      <c r="AM88" s="457">
        <v>0</v>
      </c>
      <c r="AN88" s="457">
        <v>0</v>
      </c>
      <c r="AO88" s="457">
        <v>0</v>
      </c>
      <c r="AP88" s="457">
        <v>0</v>
      </c>
      <c r="AQ88" s="457">
        <v>0</v>
      </c>
      <c r="AR88" s="457">
        <v>0</v>
      </c>
      <c r="AS88" s="457">
        <v>0</v>
      </c>
      <c r="AT88" s="457">
        <v>0</v>
      </c>
      <c r="AU88" s="457">
        <v>0</v>
      </c>
      <c r="AV88" s="457">
        <v>0</v>
      </c>
      <c r="AW88" s="457">
        <v>0</v>
      </c>
      <c r="AX88" s="457">
        <v>0</v>
      </c>
      <c r="AY88" s="457">
        <v>0</v>
      </c>
      <c r="AZ88" s="457">
        <v>0</v>
      </c>
      <c r="BA88" s="457">
        <v>621388</v>
      </c>
      <c r="BB88" s="457">
        <v>510797</v>
      </c>
      <c r="BC88" s="457">
        <v>110591</v>
      </c>
      <c r="BD88" s="457">
        <v>414259</v>
      </c>
      <c r="BE88" s="457">
        <v>340531</v>
      </c>
      <c r="BF88" s="457">
        <v>73728</v>
      </c>
      <c r="BG88" s="457">
        <v>0</v>
      </c>
      <c r="BH88" s="457">
        <v>0</v>
      </c>
      <c r="BI88" s="457">
        <v>0</v>
      </c>
    </row>
    <row r="89" spans="1:61" ht="12.75" x14ac:dyDescent="0.2">
      <c r="A89" s="446">
        <v>82</v>
      </c>
      <c r="B89" s="447" t="s">
        <v>47</v>
      </c>
      <c r="C89" s="448" t="s">
        <v>1093</v>
      </c>
      <c r="D89" s="449" t="s">
        <v>1097</v>
      </c>
      <c r="E89" s="450" t="s">
        <v>46</v>
      </c>
      <c r="F89" s="457">
        <v>17060836</v>
      </c>
      <c r="G89" s="457">
        <v>0</v>
      </c>
      <c r="H89" s="457">
        <v>0</v>
      </c>
      <c r="I89" s="457">
        <v>17060836</v>
      </c>
      <c r="J89" s="457">
        <v>17263258</v>
      </c>
      <c r="K89" s="457">
        <v>0</v>
      </c>
      <c r="L89" s="457">
        <v>0</v>
      </c>
      <c r="M89" s="457">
        <v>17263258</v>
      </c>
      <c r="N89" s="457">
        <v>-202422</v>
      </c>
      <c r="O89" s="457">
        <v>0</v>
      </c>
      <c r="P89" s="457">
        <v>0</v>
      </c>
      <c r="Q89" s="457">
        <v>-202422</v>
      </c>
      <c r="R89" s="457">
        <v>39976.1</v>
      </c>
      <c r="S89" s="457">
        <v>0</v>
      </c>
      <c r="T89" s="457">
        <v>0</v>
      </c>
      <c r="U89" s="457">
        <v>39976</v>
      </c>
      <c r="V89" s="457">
        <v>-242398</v>
      </c>
      <c r="W89" s="457">
        <v>0</v>
      </c>
      <c r="X89" s="457">
        <v>0</v>
      </c>
      <c r="Y89" s="457">
        <v>-242398</v>
      </c>
      <c r="Z89" s="457">
        <v>92008</v>
      </c>
      <c r="AA89" s="457">
        <v>92008</v>
      </c>
      <c r="AB89" s="457">
        <v>0</v>
      </c>
      <c r="AC89" s="457">
        <v>0</v>
      </c>
      <c r="AD89" s="457">
        <v>0</v>
      </c>
      <c r="AE89" s="457">
        <v>0</v>
      </c>
      <c r="AF89" s="457">
        <v>0</v>
      </c>
      <c r="AG89" s="457">
        <v>0</v>
      </c>
      <c r="AH89" s="457">
        <v>0</v>
      </c>
      <c r="AI89" s="457">
        <v>0</v>
      </c>
      <c r="AJ89" s="457">
        <v>0</v>
      </c>
      <c r="AK89" s="457">
        <v>0</v>
      </c>
      <c r="AL89" s="457">
        <v>0</v>
      </c>
      <c r="AM89" s="457">
        <v>0</v>
      </c>
      <c r="AN89" s="457">
        <v>0</v>
      </c>
      <c r="AO89" s="457">
        <v>0</v>
      </c>
      <c r="AP89" s="457">
        <v>0</v>
      </c>
      <c r="AQ89" s="457">
        <v>0</v>
      </c>
      <c r="AR89" s="457">
        <v>0</v>
      </c>
      <c r="AS89" s="457">
        <v>0</v>
      </c>
      <c r="AT89" s="457">
        <v>0</v>
      </c>
      <c r="AU89" s="457">
        <v>0</v>
      </c>
      <c r="AV89" s="457">
        <v>0</v>
      </c>
      <c r="AW89" s="457">
        <v>0</v>
      </c>
      <c r="AX89" s="457">
        <v>0</v>
      </c>
      <c r="AY89" s="457">
        <v>0</v>
      </c>
      <c r="AZ89" s="457">
        <v>0</v>
      </c>
      <c r="BA89" s="457">
        <v>291033</v>
      </c>
      <c r="BB89" s="457">
        <v>254089</v>
      </c>
      <c r="BC89" s="457">
        <v>36944</v>
      </c>
      <c r="BD89" s="457">
        <v>65482</v>
      </c>
      <c r="BE89" s="457">
        <v>57170</v>
      </c>
      <c r="BF89" s="457">
        <v>8312</v>
      </c>
      <c r="BG89" s="457">
        <v>7276</v>
      </c>
      <c r="BH89" s="457">
        <v>6352</v>
      </c>
      <c r="BI89" s="457">
        <v>924</v>
      </c>
    </row>
    <row r="90" spans="1:61" ht="12.75" x14ac:dyDescent="0.2">
      <c r="A90" s="446">
        <v>83</v>
      </c>
      <c r="B90" s="447" t="s">
        <v>49</v>
      </c>
      <c r="C90" s="448" t="s">
        <v>1093</v>
      </c>
      <c r="D90" s="449" t="s">
        <v>1102</v>
      </c>
      <c r="E90" s="450" t="s">
        <v>48</v>
      </c>
      <c r="F90" s="457">
        <v>39088141.899999999</v>
      </c>
      <c r="G90" s="457">
        <v>0</v>
      </c>
      <c r="H90" s="457">
        <v>0</v>
      </c>
      <c r="I90" s="457">
        <v>39088141.899999999</v>
      </c>
      <c r="J90" s="457">
        <v>38916297</v>
      </c>
      <c r="K90" s="457">
        <v>0</v>
      </c>
      <c r="L90" s="457">
        <v>0</v>
      </c>
      <c r="M90" s="457">
        <v>38916297</v>
      </c>
      <c r="N90" s="457">
        <v>171844.91</v>
      </c>
      <c r="O90" s="457">
        <v>0</v>
      </c>
      <c r="P90" s="457">
        <v>0</v>
      </c>
      <c r="Q90" s="457">
        <v>171844.91</v>
      </c>
      <c r="R90" s="457">
        <v>494496</v>
      </c>
      <c r="S90" s="457">
        <v>0</v>
      </c>
      <c r="T90" s="457">
        <v>0</v>
      </c>
      <c r="U90" s="457">
        <v>494496</v>
      </c>
      <c r="V90" s="457">
        <v>-322651</v>
      </c>
      <c r="W90" s="457">
        <v>0</v>
      </c>
      <c r="X90" s="457">
        <v>0</v>
      </c>
      <c r="Y90" s="457">
        <v>-322651</v>
      </c>
      <c r="Z90" s="457">
        <v>227639</v>
      </c>
      <c r="AA90" s="457">
        <v>227639</v>
      </c>
      <c r="AB90" s="457">
        <v>0</v>
      </c>
      <c r="AC90" s="457">
        <v>0</v>
      </c>
      <c r="AD90" s="457">
        <v>0</v>
      </c>
      <c r="AE90" s="457">
        <v>0</v>
      </c>
      <c r="AF90" s="457">
        <v>0</v>
      </c>
      <c r="AG90" s="457">
        <v>0</v>
      </c>
      <c r="AH90" s="457">
        <v>0</v>
      </c>
      <c r="AI90" s="457">
        <v>0</v>
      </c>
      <c r="AJ90" s="457">
        <v>14322</v>
      </c>
      <c r="AK90" s="457">
        <v>-14322</v>
      </c>
      <c r="AL90" s="457">
        <v>0</v>
      </c>
      <c r="AM90" s="457">
        <v>0</v>
      </c>
      <c r="AN90" s="457">
        <v>0</v>
      </c>
      <c r="AO90" s="457">
        <v>0</v>
      </c>
      <c r="AP90" s="457">
        <v>0</v>
      </c>
      <c r="AQ90" s="457">
        <v>0</v>
      </c>
      <c r="AR90" s="457">
        <v>0</v>
      </c>
      <c r="AS90" s="457">
        <v>0</v>
      </c>
      <c r="AT90" s="457">
        <v>0</v>
      </c>
      <c r="AU90" s="457">
        <v>0</v>
      </c>
      <c r="AV90" s="457">
        <v>0</v>
      </c>
      <c r="AW90" s="457">
        <v>0</v>
      </c>
      <c r="AX90" s="457">
        <v>0</v>
      </c>
      <c r="AY90" s="457">
        <v>0</v>
      </c>
      <c r="AZ90" s="457">
        <v>0</v>
      </c>
      <c r="BA90" s="457">
        <v>774366</v>
      </c>
      <c r="BB90" s="457">
        <v>656822</v>
      </c>
      <c r="BC90" s="457">
        <v>117544</v>
      </c>
      <c r="BD90" s="457">
        <v>174232</v>
      </c>
      <c r="BE90" s="457">
        <v>147785</v>
      </c>
      <c r="BF90" s="457">
        <v>26447</v>
      </c>
      <c r="BG90" s="457">
        <v>19359</v>
      </c>
      <c r="BH90" s="457">
        <v>16421</v>
      </c>
      <c r="BI90" s="457">
        <v>2938</v>
      </c>
    </row>
    <row r="91" spans="1:61" ht="12.75" x14ac:dyDescent="0.2">
      <c r="A91" s="446">
        <v>84</v>
      </c>
      <c r="B91" s="447" t="s">
        <v>51</v>
      </c>
      <c r="C91" s="448" t="s">
        <v>1093</v>
      </c>
      <c r="D91" s="449" t="s">
        <v>1102</v>
      </c>
      <c r="E91" s="450" t="s">
        <v>50</v>
      </c>
      <c r="F91" s="457">
        <v>24127099</v>
      </c>
      <c r="G91" s="457">
        <v>0</v>
      </c>
      <c r="H91" s="457">
        <v>0</v>
      </c>
      <c r="I91" s="457">
        <v>24127099</v>
      </c>
      <c r="J91" s="457">
        <v>24175048</v>
      </c>
      <c r="K91" s="457">
        <v>0</v>
      </c>
      <c r="L91" s="457">
        <v>0</v>
      </c>
      <c r="M91" s="457">
        <v>24175048</v>
      </c>
      <c r="N91" s="457">
        <v>-47949</v>
      </c>
      <c r="O91" s="457">
        <v>0</v>
      </c>
      <c r="P91" s="457">
        <v>0</v>
      </c>
      <c r="Q91" s="457">
        <v>-47949</v>
      </c>
      <c r="R91" s="457">
        <v>-47098</v>
      </c>
      <c r="S91" s="457">
        <v>0</v>
      </c>
      <c r="T91" s="457">
        <v>0</v>
      </c>
      <c r="U91" s="457">
        <v>-47098</v>
      </c>
      <c r="V91" s="457">
        <v>-851</v>
      </c>
      <c r="W91" s="457">
        <v>0</v>
      </c>
      <c r="X91" s="457">
        <v>0</v>
      </c>
      <c r="Y91" s="457">
        <v>-851</v>
      </c>
      <c r="Z91" s="457">
        <v>108712</v>
      </c>
      <c r="AA91" s="457">
        <v>108712</v>
      </c>
      <c r="AB91" s="457">
        <v>0</v>
      </c>
      <c r="AC91" s="457">
        <v>0</v>
      </c>
      <c r="AD91" s="457">
        <v>0</v>
      </c>
      <c r="AE91" s="457">
        <v>0</v>
      </c>
      <c r="AF91" s="457">
        <v>0</v>
      </c>
      <c r="AG91" s="457">
        <v>0</v>
      </c>
      <c r="AH91" s="457">
        <v>0</v>
      </c>
      <c r="AI91" s="457">
        <v>0</v>
      </c>
      <c r="AJ91" s="457">
        <v>0</v>
      </c>
      <c r="AK91" s="457">
        <v>0</v>
      </c>
      <c r="AL91" s="457">
        <v>0</v>
      </c>
      <c r="AM91" s="457">
        <v>0</v>
      </c>
      <c r="AN91" s="457">
        <v>0</v>
      </c>
      <c r="AO91" s="457">
        <v>0</v>
      </c>
      <c r="AP91" s="457">
        <v>0</v>
      </c>
      <c r="AQ91" s="457">
        <v>0</v>
      </c>
      <c r="AR91" s="457">
        <v>0</v>
      </c>
      <c r="AS91" s="457">
        <v>0</v>
      </c>
      <c r="AT91" s="457">
        <v>0</v>
      </c>
      <c r="AU91" s="457">
        <v>0</v>
      </c>
      <c r="AV91" s="457">
        <v>0</v>
      </c>
      <c r="AW91" s="457">
        <v>0</v>
      </c>
      <c r="AX91" s="457">
        <v>0</v>
      </c>
      <c r="AY91" s="457">
        <v>0</v>
      </c>
      <c r="AZ91" s="457">
        <v>0</v>
      </c>
      <c r="BA91" s="457">
        <v>370446</v>
      </c>
      <c r="BB91" s="457">
        <v>311000</v>
      </c>
      <c r="BC91" s="457">
        <v>59446</v>
      </c>
      <c r="BD91" s="457">
        <v>83350</v>
      </c>
      <c r="BE91" s="457">
        <v>69975</v>
      </c>
      <c r="BF91" s="457">
        <v>13375</v>
      </c>
      <c r="BG91" s="457">
        <v>9261</v>
      </c>
      <c r="BH91" s="457">
        <v>7775</v>
      </c>
      <c r="BI91" s="457">
        <v>1486</v>
      </c>
    </row>
    <row r="92" spans="1:61" ht="12.75" x14ac:dyDescent="0.2">
      <c r="A92" s="446">
        <v>85</v>
      </c>
      <c r="B92" s="447" t="s">
        <v>53</v>
      </c>
      <c r="C92" s="448" t="s">
        <v>1093</v>
      </c>
      <c r="D92" s="449" t="s">
        <v>1094</v>
      </c>
      <c r="E92" s="450" t="s">
        <v>52</v>
      </c>
      <c r="F92" s="457">
        <v>31973870</v>
      </c>
      <c r="G92" s="457">
        <v>0</v>
      </c>
      <c r="H92" s="457">
        <v>0</v>
      </c>
      <c r="I92" s="457">
        <v>31973870</v>
      </c>
      <c r="J92" s="457">
        <v>32022463</v>
      </c>
      <c r="K92" s="457">
        <v>0</v>
      </c>
      <c r="L92" s="457">
        <v>0</v>
      </c>
      <c r="M92" s="457">
        <v>32022463</v>
      </c>
      <c r="N92" s="457">
        <v>-48593</v>
      </c>
      <c r="O92" s="457">
        <v>0</v>
      </c>
      <c r="P92" s="457">
        <v>0</v>
      </c>
      <c r="Q92" s="457">
        <v>-48593</v>
      </c>
      <c r="R92" s="457">
        <v>83764</v>
      </c>
      <c r="S92" s="457">
        <v>0</v>
      </c>
      <c r="T92" s="457">
        <v>0</v>
      </c>
      <c r="U92" s="457">
        <v>83764</v>
      </c>
      <c r="V92" s="457">
        <v>-132357</v>
      </c>
      <c r="W92" s="457">
        <v>0</v>
      </c>
      <c r="X92" s="457">
        <v>0</v>
      </c>
      <c r="Y92" s="457">
        <v>-132357</v>
      </c>
      <c r="Z92" s="457">
        <v>151002</v>
      </c>
      <c r="AA92" s="457">
        <v>151002</v>
      </c>
      <c r="AB92" s="457">
        <v>0</v>
      </c>
      <c r="AC92" s="457">
        <v>0</v>
      </c>
      <c r="AD92" s="457">
        <v>0</v>
      </c>
      <c r="AE92" s="457">
        <v>0</v>
      </c>
      <c r="AF92" s="457">
        <v>0</v>
      </c>
      <c r="AG92" s="457">
        <v>0</v>
      </c>
      <c r="AH92" s="457">
        <v>0</v>
      </c>
      <c r="AI92" s="457">
        <v>0</v>
      </c>
      <c r="AJ92" s="457">
        <v>0</v>
      </c>
      <c r="AK92" s="457">
        <v>0</v>
      </c>
      <c r="AL92" s="457">
        <v>0</v>
      </c>
      <c r="AM92" s="457">
        <v>0</v>
      </c>
      <c r="AN92" s="457">
        <v>0</v>
      </c>
      <c r="AO92" s="457">
        <v>0</v>
      </c>
      <c r="AP92" s="457">
        <v>0</v>
      </c>
      <c r="AQ92" s="457">
        <v>0</v>
      </c>
      <c r="AR92" s="457">
        <v>0</v>
      </c>
      <c r="AS92" s="457">
        <v>0</v>
      </c>
      <c r="AT92" s="457">
        <v>0</v>
      </c>
      <c r="AU92" s="457">
        <v>0</v>
      </c>
      <c r="AV92" s="457">
        <v>0</v>
      </c>
      <c r="AW92" s="457">
        <v>0</v>
      </c>
      <c r="AX92" s="457">
        <v>0</v>
      </c>
      <c r="AY92" s="457">
        <v>0</v>
      </c>
      <c r="AZ92" s="457">
        <v>0</v>
      </c>
      <c r="BA92" s="457">
        <v>468371</v>
      </c>
      <c r="BB92" s="457">
        <v>204505</v>
      </c>
      <c r="BC92" s="457">
        <v>263866</v>
      </c>
      <c r="BD92" s="457">
        <v>105384</v>
      </c>
      <c r="BE92" s="457">
        <v>46014</v>
      </c>
      <c r="BF92" s="457">
        <v>59370</v>
      </c>
      <c r="BG92" s="457">
        <v>11709</v>
      </c>
      <c r="BH92" s="457">
        <v>5113</v>
      </c>
      <c r="BI92" s="457">
        <v>6596</v>
      </c>
    </row>
    <row r="93" spans="1:61" ht="12.75" x14ac:dyDescent="0.2">
      <c r="A93" s="446">
        <v>86</v>
      </c>
      <c r="B93" s="447" t="s">
        <v>55</v>
      </c>
      <c r="C93" s="448" t="s">
        <v>1093</v>
      </c>
      <c r="D93" s="449" t="s">
        <v>1097</v>
      </c>
      <c r="E93" s="450" t="s">
        <v>54</v>
      </c>
      <c r="F93" s="457">
        <v>51775617</v>
      </c>
      <c r="G93" s="457">
        <v>0</v>
      </c>
      <c r="H93" s="457">
        <v>0</v>
      </c>
      <c r="I93" s="457">
        <v>51775617</v>
      </c>
      <c r="J93" s="457">
        <v>52281252</v>
      </c>
      <c r="K93" s="457">
        <v>0</v>
      </c>
      <c r="L93" s="457">
        <v>0</v>
      </c>
      <c r="M93" s="457">
        <v>52281252</v>
      </c>
      <c r="N93" s="457">
        <v>-505635</v>
      </c>
      <c r="O93" s="457">
        <v>0</v>
      </c>
      <c r="P93" s="457">
        <v>0</v>
      </c>
      <c r="Q93" s="457">
        <v>-505635</v>
      </c>
      <c r="R93" s="457">
        <v>112414</v>
      </c>
      <c r="S93" s="457">
        <v>0</v>
      </c>
      <c r="T93" s="457">
        <v>0</v>
      </c>
      <c r="U93" s="457">
        <v>112414</v>
      </c>
      <c r="V93" s="457">
        <v>-618049</v>
      </c>
      <c r="W93" s="457">
        <v>0</v>
      </c>
      <c r="X93" s="457">
        <v>0</v>
      </c>
      <c r="Y93" s="457">
        <v>-618049</v>
      </c>
      <c r="Z93" s="457">
        <v>196026</v>
      </c>
      <c r="AA93" s="457">
        <v>196026</v>
      </c>
      <c r="AB93" s="457">
        <v>0</v>
      </c>
      <c r="AC93" s="457">
        <v>0</v>
      </c>
      <c r="AD93" s="457">
        <v>0</v>
      </c>
      <c r="AE93" s="457">
        <v>0</v>
      </c>
      <c r="AF93" s="457">
        <v>0</v>
      </c>
      <c r="AG93" s="457">
        <v>0</v>
      </c>
      <c r="AH93" s="457">
        <v>0</v>
      </c>
      <c r="AI93" s="457">
        <v>0</v>
      </c>
      <c r="AJ93" s="457">
        <v>0</v>
      </c>
      <c r="AK93" s="457">
        <v>0</v>
      </c>
      <c r="AL93" s="457">
        <v>0</v>
      </c>
      <c r="AM93" s="457">
        <v>0</v>
      </c>
      <c r="AN93" s="457">
        <v>0</v>
      </c>
      <c r="AO93" s="457">
        <v>0</v>
      </c>
      <c r="AP93" s="457">
        <v>0</v>
      </c>
      <c r="AQ93" s="457">
        <v>0</v>
      </c>
      <c r="AR93" s="457">
        <v>0</v>
      </c>
      <c r="AS93" s="457">
        <v>0</v>
      </c>
      <c r="AT93" s="457">
        <v>0</v>
      </c>
      <c r="AU93" s="457">
        <v>0</v>
      </c>
      <c r="AV93" s="457">
        <v>0</v>
      </c>
      <c r="AW93" s="457">
        <v>0</v>
      </c>
      <c r="AX93" s="457">
        <v>0</v>
      </c>
      <c r="AY93" s="457">
        <v>0</v>
      </c>
      <c r="AZ93" s="457">
        <v>0</v>
      </c>
      <c r="BA93" s="457">
        <v>484089</v>
      </c>
      <c r="BB93" s="457">
        <v>395062</v>
      </c>
      <c r="BC93" s="457">
        <v>89027</v>
      </c>
      <c r="BD93" s="457">
        <v>121022</v>
      </c>
      <c r="BE93" s="457">
        <v>98765</v>
      </c>
      <c r="BF93" s="457">
        <v>22257</v>
      </c>
      <c r="BG93" s="457">
        <v>0</v>
      </c>
      <c r="BH93" s="457">
        <v>0</v>
      </c>
      <c r="BI93" s="457">
        <v>0</v>
      </c>
    </row>
    <row r="94" spans="1:61" ht="12.75" x14ac:dyDescent="0.2">
      <c r="A94" s="446">
        <v>87</v>
      </c>
      <c r="B94" s="447" t="s">
        <v>57</v>
      </c>
      <c r="C94" s="448" t="s">
        <v>1093</v>
      </c>
      <c r="D94" s="449" t="s">
        <v>1096</v>
      </c>
      <c r="E94" s="450" t="s">
        <v>56</v>
      </c>
      <c r="F94" s="457">
        <v>33194359</v>
      </c>
      <c r="G94" s="457">
        <v>0</v>
      </c>
      <c r="H94" s="457">
        <v>0</v>
      </c>
      <c r="I94" s="457">
        <v>33194359</v>
      </c>
      <c r="J94" s="457">
        <v>33130376</v>
      </c>
      <c r="K94" s="457">
        <v>0</v>
      </c>
      <c r="L94" s="457">
        <v>0</v>
      </c>
      <c r="M94" s="457">
        <v>33130376</v>
      </c>
      <c r="N94" s="457">
        <v>63983</v>
      </c>
      <c r="O94" s="457">
        <v>0</v>
      </c>
      <c r="P94" s="457">
        <v>0</v>
      </c>
      <c r="Q94" s="457">
        <v>63983</v>
      </c>
      <c r="R94" s="457">
        <v>127704</v>
      </c>
      <c r="S94" s="457">
        <v>0</v>
      </c>
      <c r="T94" s="457">
        <v>0</v>
      </c>
      <c r="U94" s="457">
        <v>127704</v>
      </c>
      <c r="V94" s="457">
        <v>-63721</v>
      </c>
      <c r="W94" s="457">
        <v>0</v>
      </c>
      <c r="X94" s="457">
        <v>0</v>
      </c>
      <c r="Y94" s="457">
        <v>-63721</v>
      </c>
      <c r="Z94" s="457">
        <v>270768</v>
      </c>
      <c r="AA94" s="457">
        <v>270768</v>
      </c>
      <c r="AB94" s="457">
        <v>0</v>
      </c>
      <c r="AC94" s="457">
        <v>0</v>
      </c>
      <c r="AD94" s="457">
        <v>0</v>
      </c>
      <c r="AE94" s="457">
        <v>0</v>
      </c>
      <c r="AF94" s="457">
        <v>0</v>
      </c>
      <c r="AG94" s="457">
        <v>0</v>
      </c>
      <c r="AH94" s="457">
        <v>0</v>
      </c>
      <c r="AI94" s="457">
        <v>0</v>
      </c>
      <c r="AJ94" s="457">
        <v>0</v>
      </c>
      <c r="AK94" s="457">
        <v>0</v>
      </c>
      <c r="AL94" s="457">
        <v>0</v>
      </c>
      <c r="AM94" s="457">
        <v>0</v>
      </c>
      <c r="AN94" s="457">
        <v>0</v>
      </c>
      <c r="AO94" s="457">
        <v>0</v>
      </c>
      <c r="AP94" s="457">
        <v>0</v>
      </c>
      <c r="AQ94" s="457">
        <v>0</v>
      </c>
      <c r="AR94" s="457">
        <v>0</v>
      </c>
      <c r="AS94" s="457">
        <v>0</v>
      </c>
      <c r="AT94" s="457">
        <v>0</v>
      </c>
      <c r="AU94" s="457">
        <v>0</v>
      </c>
      <c r="AV94" s="457">
        <v>0</v>
      </c>
      <c r="AW94" s="457">
        <v>0</v>
      </c>
      <c r="AX94" s="457">
        <v>0</v>
      </c>
      <c r="AY94" s="457">
        <v>0</v>
      </c>
      <c r="AZ94" s="457">
        <v>0</v>
      </c>
      <c r="BA94" s="457">
        <v>854501</v>
      </c>
      <c r="BB94" s="457">
        <v>740913</v>
      </c>
      <c r="BC94" s="457">
        <v>113588</v>
      </c>
      <c r="BD94" s="457">
        <v>213625</v>
      </c>
      <c r="BE94" s="457">
        <v>185228</v>
      </c>
      <c r="BF94" s="457">
        <v>28397</v>
      </c>
      <c r="BG94" s="457">
        <v>0</v>
      </c>
      <c r="BH94" s="457">
        <v>0</v>
      </c>
      <c r="BI94" s="457">
        <v>0</v>
      </c>
    </row>
    <row r="95" spans="1:61" ht="12.75" x14ac:dyDescent="0.2">
      <c r="A95" s="446">
        <v>88</v>
      </c>
      <c r="B95" s="447" t="s">
        <v>59</v>
      </c>
      <c r="C95" s="448" t="s">
        <v>1093</v>
      </c>
      <c r="D95" s="449" t="s">
        <v>1096</v>
      </c>
      <c r="E95" s="450" t="s">
        <v>58</v>
      </c>
      <c r="F95" s="457">
        <v>20789821</v>
      </c>
      <c r="G95" s="457">
        <v>0</v>
      </c>
      <c r="H95" s="457">
        <v>0</v>
      </c>
      <c r="I95" s="457">
        <v>20789821</v>
      </c>
      <c r="J95" s="457">
        <v>21033491</v>
      </c>
      <c r="K95" s="457">
        <v>0</v>
      </c>
      <c r="L95" s="457">
        <v>0</v>
      </c>
      <c r="M95" s="457">
        <v>21033491</v>
      </c>
      <c r="N95" s="457">
        <v>-243670</v>
      </c>
      <c r="O95" s="457">
        <v>0</v>
      </c>
      <c r="P95" s="457">
        <v>0</v>
      </c>
      <c r="Q95" s="457">
        <v>-243670</v>
      </c>
      <c r="R95" s="457">
        <v>1612</v>
      </c>
      <c r="S95" s="457">
        <v>0</v>
      </c>
      <c r="T95" s="457">
        <v>0</v>
      </c>
      <c r="U95" s="457">
        <v>1612</v>
      </c>
      <c r="V95" s="457">
        <v>-245282</v>
      </c>
      <c r="W95" s="457">
        <v>0</v>
      </c>
      <c r="X95" s="457">
        <v>0</v>
      </c>
      <c r="Y95" s="457">
        <v>-245282</v>
      </c>
      <c r="Z95" s="457">
        <v>99141</v>
      </c>
      <c r="AA95" s="457">
        <v>99141</v>
      </c>
      <c r="AB95" s="457">
        <v>0</v>
      </c>
      <c r="AC95" s="457">
        <v>0</v>
      </c>
      <c r="AD95" s="457">
        <v>0</v>
      </c>
      <c r="AE95" s="457">
        <v>0</v>
      </c>
      <c r="AF95" s="457">
        <v>0</v>
      </c>
      <c r="AG95" s="457">
        <v>0</v>
      </c>
      <c r="AH95" s="457">
        <v>0</v>
      </c>
      <c r="AI95" s="457">
        <v>0</v>
      </c>
      <c r="AJ95" s="457">
        <v>0</v>
      </c>
      <c r="AK95" s="457">
        <v>0</v>
      </c>
      <c r="AL95" s="457">
        <v>0</v>
      </c>
      <c r="AM95" s="457">
        <v>0</v>
      </c>
      <c r="AN95" s="457">
        <v>0</v>
      </c>
      <c r="AO95" s="457">
        <v>0</v>
      </c>
      <c r="AP95" s="457">
        <v>0</v>
      </c>
      <c r="AQ95" s="457">
        <v>0</v>
      </c>
      <c r="AR95" s="457">
        <v>0</v>
      </c>
      <c r="AS95" s="457">
        <v>0</v>
      </c>
      <c r="AT95" s="457">
        <v>0</v>
      </c>
      <c r="AU95" s="457">
        <v>0</v>
      </c>
      <c r="AV95" s="457">
        <v>0</v>
      </c>
      <c r="AW95" s="457">
        <v>0</v>
      </c>
      <c r="AX95" s="457">
        <v>0</v>
      </c>
      <c r="AY95" s="457">
        <v>0</v>
      </c>
      <c r="AZ95" s="457">
        <v>0</v>
      </c>
      <c r="BA95" s="457">
        <v>348629</v>
      </c>
      <c r="BB95" s="457">
        <v>360477</v>
      </c>
      <c r="BC95" s="457">
        <v>-11848</v>
      </c>
      <c r="BD95" s="457">
        <v>87157</v>
      </c>
      <c r="BE95" s="457">
        <v>90119</v>
      </c>
      <c r="BF95" s="457">
        <v>-2962</v>
      </c>
      <c r="BG95" s="457">
        <v>0</v>
      </c>
      <c r="BH95" s="457">
        <v>0</v>
      </c>
      <c r="BI95" s="457">
        <v>0</v>
      </c>
    </row>
    <row r="96" spans="1:61" ht="12.75" x14ac:dyDescent="0.2">
      <c r="A96" s="446">
        <v>89</v>
      </c>
      <c r="B96" s="447" t="s">
        <v>61</v>
      </c>
      <c r="C96" s="448" t="s">
        <v>794</v>
      </c>
      <c r="D96" s="449" t="s">
        <v>1101</v>
      </c>
      <c r="E96" s="450" t="s">
        <v>716</v>
      </c>
      <c r="F96" s="457">
        <v>92609562</v>
      </c>
      <c r="G96" s="457">
        <v>0</v>
      </c>
      <c r="H96" s="457">
        <v>0</v>
      </c>
      <c r="I96" s="457">
        <v>92609562</v>
      </c>
      <c r="J96" s="457">
        <v>91037592</v>
      </c>
      <c r="K96" s="457">
        <v>0</v>
      </c>
      <c r="L96" s="457">
        <v>9970.94</v>
      </c>
      <c r="M96" s="457">
        <v>91047562.900000006</v>
      </c>
      <c r="N96" s="457">
        <v>1571970</v>
      </c>
      <c r="O96" s="457">
        <v>0</v>
      </c>
      <c r="P96" s="457">
        <v>-9970.94</v>
      </c>
      <c r="Q96" s="457">
        <v>1561999.06</v>
      </c>
      <c r="R96" s="457">
        <v>1577112</v>
      </c>
      <c r="S96" s="457">
        <v>0</v>
      </c>
      <c r="T96" s="457">
        <v>-9971</v>
      </c>
      <c r="U96" s="457">
        <v>1567141</v>
      </c>
      <c r="V96" s="457">
        <v>-5142</v>
      </c>
      <c r="W96" s="457">
        <v>0</v>
      </c>
      <c r="X96" s="457">
        <v>0</v>
      </c>
      <c r="Y96" s="457">
        <v>-5142</v>
      </c>
      <c r="Z96" s="457">
        <v>434464</v>
      </c>
      <c r="AA96" s="457">
        <v>434464</v>
      </c>
      <c r="AB96" s="457">
        <v>0</v>
      </c>
      <c r="AC96" s="457">
        <v>0</v>
      </c>
      <c r="AD96" s="457">
        <v>0</v>
      </c>
      <c r="AE96" s="457">
        <v>0</v>
      </c>
      <c r="AF96" s="457">
        <v>0</v>
      </c>
      <c r="AG96" s="457">
        <v>0</v>
      </c>
      <c r="AH96" s="457">
        <v>0</v>
      </c>
      <c r="AI96" s="457">
        <v>879893</v>
      </c>
      <c r="AJ96" s="457">
        <v>344673</v>
      </c>
      <c r="AK96" s="457">
        <v>535220</v>
      </c>
      <c r="AL96" s="457">
        <v>0</v>
      </c>
      <c r="AM96" s="457">
        <v>0</v>
      </c>
      <c r="AN96" s="457">
        <v>0</v>
      </c>
      <c r="AO96" s="457">
        <v>179013</v>
      </c>
      <c r="AP96" s="457">
        <v>150019</v>
      </c>
      <c r="AQ96" s="457">
        <v>28994</v>
      </c>
      <c r="AR96" s="457">
        <v>177516</v>
      </c>
      <c r="AS96" s="457">
        <v>0</v>
      </c>
      <c r="AT96" s="457">
        <v>177516</v>
      </c>
      <c r="AU96" s="457">
        <v>0</v>
      </c>
      <c r="AV96" s="457">
        <v>0</v>
      </c>
      <c r="AW96" s="457">
        <v>0</v>
      </c>
      <c r="AX96" s="457">
        <v>1497</v>
      </c>
      <c r="AY96" s="457">
        <v>0</v>
      </c>
      <c r="AZ96" s="457">
        <v>1497</v>
      </c>
      <c r="BA96" s="457">
        <v>1745125</v>
      </c>
      <c r="BB96" s="457">
        <v>1438803</v>
      </c>
      <c r="BC96" s="457">
        <v>306322</v>
      </c>
      <c r="BD96" s="457">
        <v>0</v>
      </c>
      <c r="BE96" s="457">
        <v>0</v>
      </c>
      <c r="BF96" s="457">
        <v>0</v>
      </c>
      <c r="BG96" s="457">
        <v>35615</v>
      </c>
      <c r="BH96" s="457">
        <v>29363</v>
      </c>
      <c r="BI96" s="457">
        <v>6252</v>
      </c>
    </row>
    <row r="97" spans="1:61" ht="12.75" x14ac:dyDescent="0.2">
      <c r="A97" s="446">
        <v>90</v>
      </c>
      <c r="B97" s="447" t="s">
        <v>63</v>
      </c>
      <c r="C97" s="448" t="s">
        <v>1093</v>
      </c>
      <c r="D97" s="449" t="s">
        <v>1103</v>
      </c>
      <c r="E97" s="450" t="s">
        <v>62</v>
      </c>
      <c r="F97" s="457">
        <v>53015560</v>
      </c>
      <c r="G97" s="457">
        <v>0</v>
      </c>
      <c r="H97" s="457">
        <v>0</v>
      </c>
      <c r="I97" s="457">
        <v>53015560</v>
      </c>
      <c r="J97" s="457">
        <v>53261979</v>
      </c>
      <c r="K97" s="457">
        <v>0</v>
      </c>
      <c r="L97" s="457">
        <v>0</v>
      </c>
      <c r="M97" s="457">
        <v>53261979</v>
      </c>
      <c r="N97" s="457">
        <v>-246419</v>
      </c>
      <c r="O97" s="457">
        <v>0</v>
      </c>
      <c r="P97" s="457">
        <v>0</v>
      </c>
      <c r="Q97" s="457">
        <v>-246419</v>
      </c>
      <c r="R97" s="457">
        <v>11738</v>
      </c>
      <c r="S97" s="457">
        <v>0</v>
      </c>
      <c r="T97" s="457">
        <v>0</v>
      </c>
      <c r="U97" s="457">
        <v>11738</v>
      </c>
      <c r="V97" s="457">
        <v>-258157</v>
      </c>
      <c r="W97" s="457">
        <v>0</v>
      </c>
      <c r="X97" s="457">
        <v>0</v>
      </c>
      <c r="Y97" s="457">
        <v>-258157</v>
      </c>
      <c r="Z97" s="457">
        <v>181017</v>
      </c>
      <c r="AA97" s="457">
        <v>181017</v>
      </c>
      <c r="AB97" s="457">
        <v>0</v>
      </c>
      <c r="AC97" s="457">
        <v>0</v>
      </c>
      <c r="AD97" s="457">
        <v>0</v>
      </c>
      <c r="AE97" s="457">
        <v>0</v>
      </c>
      <c r="AF97" s="457">
        <v>0</v>
      </c>
      <c r="AG97" s="457">
        <v>0</v>
      </c>
      <c r="AH97" s="457">
        <v>0</v>
      </c>
      <c r="AI97" s="457">
        <v>0</v>
      </c>
      <c r="AJ97" s="457">
        <v>0</v>
      </c>
      <c r="AK97" s="457">
        <v>0</v>
      </c>
      <c r="AL97" s="457">
        <v>0</v>
      </c>
      <c r="AM97" s="457">
        <v>0</v>
      </c>
      <c r="AN97" s="457">
        <v>0</v>
      </c>
      <c r="AO97" s="457">
        <v>0</v>
      </c>
      <c r="AP97" s="457">
        <v>0</v>
      </c>
      <c r="AQ97" s="457">
        <v>0</v>
      </c>
      <c r="AR97" s="457">
        <v>0</v>
      </c>
      <c r="AS97" s="457">
        <v>0</v>
      </c>
      <c r="AT97" s="457">
        <v>0</v>
      </c>
      <c r="AU97" s="457">
        <v>0</v>
      </c>
      <c r="AV97" s="457">
        <v>0</v>
      </c>
      <c r="AW97" s="457">
        <v>0</v>
      </c>
      <c r="AX97" s="457">
        <v>0</v>
      </c>
      <c r="AY97" s="457">
        <v>0</v>
      </c>
      <c r="AZ97" s="457">
        <v>0</v>
      </c>
      <c r="BA97" s="457">
        <v>475529</v>
      </c>
      <c r="BB97" s="457">
        <v>197195</v>
      </c>
      <c r="BC97" s="457">
        <v>278334</v>
      </c>
      <c r="BD97" s="457">
        <v>106994</v>
      </c>
      <c r="BE97" s="457">
        <v>44369</v>
      </c>
      <c r="BF97" s="457">
        <v>62625</v>
      </c>
      <c r="BG97" s="457">
        <v>11888</v>
      </c>
      <c r="BH97" s="457">
        <v>4930</v>
      </c>
      <c r="BI97" s="457">
        <v>6958</v>
      </c>
    </row>
    <row r="98" spans="1:61" ht="12.75" x14ac:dyDescent="0.2">
      <c r="A98" s="446">
        <v>91</v>
      </c>
      <c r="B98" s="447" t="s">
        <v>65</v>
      </c>
      <c r="C98" s="448" t="s">
        <v>1093</v>
      </c>
      <c r="D98" s="449" t="s">
        <v>1094</v>
      </c>
      <c r="E98" s="450" t="s">
        <v>64</v>
      </c>
      <c r="F98" s="457">
        <v>32947187</v>
      </c>
      <c r="G98" s="457">
        <v>0</v>
      </c>
      <c r="H98" s="457">
        <v>0</v>
      </c>
      <c r="I98" s="457">
        <v>32947187</v>
      </c>
      <c r="J98" s="457">
        <v>32870547</v>
      </c>
      <c r="K98" s="457">
        <v>0</v>
      </c>
      <c r="L98" s="457">
        <v>0</v>
      </c>
      <c r="M98" s="457">
        <v>32870547</v>
      </c>
      <c r="N98" s="457">
        <v>76640</v>
      </c>
      <c r="O98" s="457">
        <v>0</v>
      </c>
      <c r="P98" s="457">
        <v>0</v>
      </c>
      <c r="Q98" s="457">
        <v>76640</v>
      </c>
      <c r="R98" s="457">
        <v>-35236</v>
      </c>
      <c r="S98" s="457">
        <v>0</v>
      </c>
      <c r="T98" s="457">
        <v>0</v>
      </c>
      <c r="U98" s="457">
        <v>-35236</v>
      </c>
      <c r="V98" s="457">
        <v>111876</v>
      </c>
      <c r="W98" s="457">
        <v>0</v>
      </c>
      <c r="X98" s="457">
        <v>0</v>
      </c>
      <c r="Y98" s="457">
        <v>111876</v>
      </c>
      <c r="Z98" s="457">
        <v>127360</v>
      </c>
      <c r="AA98" s="457">
        <v>127360</v>
      </c>
      <c r="AB98" s="457">
        <v>0</v>
      </c>
      <c r="AC98" s="457">
        <v>0</v>
      </c>
      <c r="AD98" s="457">
        <v>0</v>
      </c>
      <c r="AE98" s="457">
        <v>0</v>
      </c>
      <c r="AF98" s="457">
        <v>0</v>
      </c>
      <c r="AG98" s="457">
        <v>0</v>
      </c>
      <c r="AH98" s="457">
        <v>0</v>
      </c>
      <c r="AI98" s="457">
        <v>0</v>
      </c>
      <c r="AJ98" s="457">
        <v>0</v>
      </c>
      <c r="AK98" s="457">
        <v>0</v>
      </c>
      <c r="AL98" s="457">
        <v>0</v>
      </c>
      <c r="AM98" s="457">
        <v>0</v>
      </c>
      <c r="AN98" s="457">
        <v>0</v>
      </c>
      <c r="AO98" s="457">
        <v>0</v>
      </c>
      <c r="AP98" s="457">
        <v>0</v>
      </c>
      <c r="AQ98" s="457">
        <v>0</v>
      </c>
      <c r="AR98" s="457">
        <v>0</v>
      </c>
      <c r="AS98" s="457">
        <v>0</v>
      </c>
      <c r="AT98" s="457">
        <v>0</v>
      </c>
      <c r="AU98" s="457">
        <v>0</v>
      </c>
      <c r="AV98" s="457">
        <v>0</v>
      </c>
      <c r="AW98" s="457">
        <v>0</v>
      </c>
      <c r="AX98" s="457">
        <v>0</v>
      </c>
      <c r="AY98" s="457">
        <v>0</v>
      </c>
      <c r="AZ98" s="457">
        <v>0</v>
      </c>
      <c r="BA98" s="457">
        <v>375725</v>
      </c>
      <c r="BB98" s="457">
        <v>316082</v>
      </c>
      <c r="BC98" s="457">
        <v>59643</v>
      </c>
      <c r="BD98" s="457">
        <v>84538</v>
      </c>
      <c r="BE98" s="457">
        <v>71118</v>
      </c>
      <c r="BF98" s="457">
        <v>13420</v>
      </c>
      <c r="BG98" s="457">
        <v>9393</v>
      </c>
      <c r="BH98" s="457">
        <v>7902</v>
      </c>
      <c r="BI98" s="457">
        <v>1491</v>
      </c>
    </row>
    <row r="99" spans="1:61" ht="12.75" x14ac:dyDescent="0.2">
      <c r="A99" s="446">
        <v>92</v>
      </c>
      <c r="B99" s="447" t="s">
        <v>67</v>
      </c>
      <c r="C99" s="448" t="s">
        <v>1093</v>
      </c>
      <c r="D99" s="449" t="s">
        <v>1094</v>
      </c>
      <c r="E99" s="450" t="s">
        <v>66</v>
      </c>
      <c r="F99" s="457">
        <v>54315809</v>
      </c>
      <c r="G99" s="457">
        <v>0</v>
      </c>
      <c r="H99" s="457">
        <v>0</v>
      </c>
      <c r="I99" s="457">
        <v>54315809</v>
      </c>
      <c r="J99" s="457">
        <v>54616607</v>
      </c>
      <c r="K99" s="457">
        <v>0</v>
      </c>
      <c r="L99" s="457">
        <v>0</v>
      </c>
      <c r="M99" s="457">
        <v>54616607</v>
      </c>
      <c r="N99" s="457">
        <v>-300798</v>
      </c>
      <c r="O99" s="457">
        <v>0</v>
      </c>
      <c r="P99" s="457">
        <v>0</v>
      </c>
      <c r="Q99" s="457">
        <v>-300798</v>
      </c>
      <c r="R99" s="457">
        <v>87196</v>
      </c>
      <c r="S99" s="457">
        <v>0</v>
      </c>
      <c r="T99" s="457">
        <v>0</v>
      </c>
      <c r="U99" s="457">
        <v>87196</v>
      </c>
      <c r="V99" s="457">
        <v>-387994</v>
      </c>
      <c r="W99" s="457">
        <v>0</v>
      </c>
      <c r="X99" s="457">
        <v>0</v>
      </c>
      <c r="Y99" s="457">
        <v>-387994</v>
      </c>
      <c r="Z99" s="457">
        <v>151492</v>
      </c>
      <c r="AA99" s="457">
        <v>151492</v>
      </c>
      <c r="AB99" s="457">
        <v>0</v>
      </c>
      <c r="AC99" s="457">
        <v>0</v>
      </c>
      <c r="AD99" s="457">
        <v>0</v>
      </c>
      <c r="AE99" s="457">
        <v>0</v>
      </c>
      <c r="AF99" s="457">
        <v>0</v>
      </c>
      <c r="AG99" s="457">
        <v>0</v>
      </c>
      <c r="AH99" s="457">
        <v>0</v>
      </c>
      <c r="AI99" s="457">
        <v>0</v>
      </c>
      <c r="AJ99" s="457">
        <v>0</v>
      </c>
      <c r="AK99" s="457">
        <v>0</v>
      </c>
      <c r="AL99" s="457">
        <v>0</v>
      </c>
      <c r="AM99" s="457">
        <v>0</v>
      </c>
      <c r="AN99" s="457">
        <v>0</v>
      </c>
      <c r="AO99" s="457">
        <v>0</v>
      </c>
      <c r="AP99" s="457">
        <v>0</v>
      </c>
      <c r="AQ99" s="457">
        <v>0</v>
      </c>
      <c r="AR99" s="457">
        <v>0</v>
      </c>
      <c r="AS99" s="457">
        <v>0</v>
      </c>
      <c r="AT99" s="457">
        <v>0</v>
      </c>
      <c r="AU99" s="457">
        <v>0</v>
      </c>
      <c r="AV99" s="457">
        <v>0</v>
      </c>
      <c r="AW99" s="457">
        <v>0</v>
      </c>
      <c r="AX99" s="457">
        <v>0</v>
      </c>
      <c r="AY99" s="457">
        <v>0</v>
      </c>
      <c r="AZ99" s="457">
        <v>0</v>
      </c>
      <c r="BA99" s="457">
        <v>299400</v>
      </c>
      <c r="BB99" s="457">
        <v>258343</v>
      </c>
      <c r="BC99" s="457">
        <v>41057</v>
      </c>
      <c r="BD99" s="457">
        <v>67365</v>
      </c>
      <c r="BE99" s="457">
        <v>58127</v>
      </c>
      <c r="BF99" s="457">
        <v>9238</v>
      </c>
      <c r="BG99" s="457">
        <v>7485</v>
      </c>
      <c r="BH99" s="457">
        <v>6459</v>
      </c>
      <c r="BI99" s="457">
        <v>1026</v>
      </c>
    </row>
    <row r="100" spans="1:61" ht="12.75" x14ac:dyDescent="0.2">
      <c r="A100" s="446">
        <v>93</v>
      </c>
      <c r="B100" s="447" t="s">
        <v>69</v>
      </c>
      <c r="C100" s="448" t="s">
        <v>1093</v>
      </c>
      <c r="D100" s="449" t="s">
        <v>1095</v>
      </c>
      <c r="E100" s="450" t="s">
        <v>68</v>
      </c>
      <c r="F100" s="457">
        <v>20572719</v>
      </c>
      <c r="G100" s="457">
        <v>0</v>
      </c>
      <c r="H100" s="457">
        <v>0</v>
      </c>
      <c r="I100" s="457">
        <v>20572719</v>
      </c>
      <c r="J100" s="457">
        <v>20523837.899999999</v>
      </c>
      <c r="K100" s="457">
        <v>0</v>
      </c>
      <c r="L100" s="457">
        <v>0</v>
      </c>
      <c r="M100" s="457">
        <v>20523837.899999999</v>
      </c>
      <c r="N100" s="457">
        <v>48881.05</v>
      </c>
      <c r="O100" s="457">
        <v>0</v>
      </c>
      <c r="P100" s="457">
        <v>0</v>
      </c>
      <c r="Q100" s="457">
        <v>48881.05</v>
      </c>
      <c r="R100" s="457">
        <v>181144</v>
      </c>
      <c r="S100" s="457">
        <v>0</v>
      </c>
      <c r="T100" s="457">
        <v>0</v>
      </c>
      <c r="U100" s="457">
        <v>181144</v>
      </c>
      <c r="V100" s="457">
        <v>-132263</v>
      </c>
      <c r="W100" s="457">
        <v>0</v>
      </c>
      <c r="X100" s="457">
        <v>0</v>
      </c>
      <c r="Y100" s="457">
        <v>-132263</v>
      </c>
      <c r="Z100" s="457">
        <v>127959</v>
      </c>
      <c r="AA100" s="457">
        <v>127959</v>
      </c>
      <c r="AB100" s="457">
        <v>0</v>
      </c>
      <c r="AC100" s="457">
        <v>0</v>
      </c>
      <c r="AD100" s="457">
        <v>0</v>
      </c>
      <c r="AE100" s="457">
        <v>0</v>
      </c>
      <c r="AF100" s="457">
        <v>0</v>
      </c>
      <c r="AG100" s="457">
        <v>0</v>
      </c>
      <c r="AH100" s="457">
        <v>0</v>
      </c>
      <c r="AI100" s="457">
        <v>0</v>
      </c>
      <c r="AJ100" s="457">
        <v>0</v>
      </c>
      <c r="AK100" s="457">
        <v>0</v>
      </c>
      <c r="AL100" s="457">
        <v>0</v>
      </c>
      <c r="AM100" s="457">
        <v>0</v>
      </c>
      <c r="AN100" s="457">
        <v>0</v>
      </c>
      <c r="AO100" s="457">
        <v>0</v>
      </c>
      <c r="AP100" s="457">
        <v>0</v>
      </c>
      <c r="AQ100" s="457">
        <v>0</v>
      </c>
      <c r="AR100" s="457">
        <v>0</v>
      </c>
      <c r="AS100" s="457">
        <v>0</v>
      </c>
      <c r="AT100" s="457">
        <v>0</v>
      </c>
      <c r="AU100" s="457">
        <v>0</v>
      </c>
      <c r="AV100" s="457">
        <v>0</v>
      </c>
      <c r="AW100" s="457">
        <v>0</v>
      </c>
      <c r="AX100" s="457">
        <v>0</v>
      </c>
      <c r="AY100" s="457">
        <v>0</v>
      </c>
      <c r="AZ100" s="457">
        <v>0</v>
      </c>
      <c r="BA100" s="457">
        <v>396034</v>
      </c>
      <c r="BB100" s="457">
        <v>342141</v>
      </c>
      <c r="BC100" s="457">
        <v>53893</v>
      </c>
      <c r="BD100" s="457">
        <v>99009</v>
      </c>
      <c r="BE100" s="457">
        <v>85535</v>
      </c>
      <c r="BF100" s="457">
        <v>13474</v>
      </c>
      <c r="BG100" s="457">
        <v>0</v>
      </c>
      <c r="BH100" s="457">
        <v>0</v>
      </c>
      <c r="BI100" s="457">
        <v>0</v>
      </c>
    </row>
    <row r="101" spans="1:61" ht="12.75" x14ac:dyDescent="0.2">
      <c r="A101" s="446">
        <v>94</v>
      </c>
      <c r="B101" s="447" t="s">
        <v>71</v>
      </c>
      <c r="C101" s="448" t="s">
        <v>1093</v>
      </c>
      <c r="D101" s="449" t="s">
        <v>1094</v>
      </c>
      <c r="E101" s="450" t="s">
        <v>70</v>
      </c>
      <c r="F101" s="457">
        <v>53544275</v>
      </c>
      <c r="G101" s="457">
        <v>0</v>
      </c>
      <c r="H101" s="457">
        <v>0</v>
      </c>
      <c r="I101" s="457">
        <v>53544275</v>
      </c>
      <c r="J101" s="457">
        <v>53593946</v>
      </c>
      <c r="K101" s="457">
        <v>0</v>
      </c>
      <c r="L101" s="457">
        <v>0</v>
      </c>
      <c r="M101" s="457">
        <v>53593946</v>
      </c>
      <c r="N101" s="457">
        <v>-49671</v>
      </c>
      <c r="O101" s="457">
        <v>0</v>
      </c>
      <c r="P101" s="457">
        <v>0</v>
      </c>
      <c r="Q101" s="457">
        <v>-49671</v>
      </c>
      <c r="R101" s="457">
        <v>46292</v>
      </c>
      <c r="S101" s="457">
        <v>0</v>
      </c>
      <c r="T101" s="457">
        <v>0</v>
      </c>
      <c r="U101" s="457">
        <v>46292</v>
      </c>
      <c r="V101" s="457">
        <v>-95963</v>
      </c>
      <c r="W101" s="457">
        <v>0</v>
      </c>
      <c r="X101" s="457">
        <v>0</v>
      </c>
      <c r="Y101" s="457">
        <v>-95963</v>
      </c>
      <c r="Z101" s="457">
        <v>183258</v>
      </c>
      <c r="AA101" s="457">
        <v>183258</v>
      </c>
      <c r="AB101" s="457">
        <v>0</v>
      </c>
      <c r="AC101" s="457">
        <v>0</v>
      </c>
      <c r="AD101" s="457">
        <v>0</v>
      </c>
      <c r="AE101" s="457">
        <v>0</v>
      </c>
      <c r="AF101" s="457">
        <v>0</v>
      </c>
      <c r="AG101" s="457">
        <v>0</v>
      </c>
      <c r="AH101" s="457">
        <v>0</v>
      </c>
      <c r="AI101" s="457">
        <v>0</v>
      </c>
      <c r="AJ101" s="457">
        <v>0</v>
      </c>
      <c r="AK101" s="457">
        <v>0</v>
      </c>
      <c r="AL101" s="457">
        <v>0</v>
      </c>
      <c r="AM101" s="457">
        <v>0</v>
      </c>
      <c r="AN101" s="457">
        <v>0</v>
      </c>
      <c r="AO101" s="457">
        <v>0</v>
      </c>
      <c r="AP101" s="457">
        <v>0</v>
      </c>
      <c r="AQ101" s="457">
        <v>0</v>
      </c>
      <c r="AR101" s="457">
        <v>0</v>
      </c>
      <c r="AS101" s="457">
        <v>0</v>
      </c>
      <c r="AT101" s="457">
        <v>0</v>
      </c>
      <c r="AU101" s="457">
        <v>0</v>
      </c>
      <c r="AV101" s="457">
        <v>0</v>
      </c>
      <c r="AW101" s="457">
        <v>0</v>
      </c>
      <c r="AX101" s="457">
        <v>0</v>
      </c>
      <c r="AY101" s="457">
        <v>0</v>
      </c>
      <c r="AZ101" s="457">
        <v>0</v>
      </c>
      <c r="BA101" s="457">
        <v>356887</v>
      </c>
      <c r="BB101" s="457">
        <v>298697</v>
      </c>
      <c r="BC101" s="457">
        <v>58190</v>
      </c>
      <c r="BD101" s="457">
        <v>89222</v>
      </c>
      <c r="BE101" s="457">
        <v>74674</v>
      </c>
      <c r="BF101" s="457">
        <v>14548</v>
      </c>
      <c r="BG101" s="457">
        <v>0</v>
      </c>
      <c r="BH101" s="457">
        <v>0</v>
      </c>
      <c r="BI101" s="457">
        <v>0</v>
      </c>
    </row>
    <row r="102" spans="1:61" ht="12.75" x14ac:dyDescent="0.2">
      <c r="A102" s="446">
        <v>95</v>
      </c>
      <c r="B102" s="447" t="s">
        <v>73</v>
      </c>
      <c r="C102" s="448" t="s">
        <v>1098</v>
      </c>
      <c r="D102" s="449" t="s">
        <v>1099</v>
      </c>
      <c r="E102" s="450" t="s">
        <v>72</v>
      </c>
      <c r="F102" s="457">
        <v>107411249</v>
      </c>
      <c r="G102" s="457">
        <v>0</v>
      </c>
      <c r="H102" s="457">
        <v>0</v>
      </c>
      <c r="I102" s="457">
        <v>107411249</v>
      </c>
      <c r="J102" s="457">
        <v>106397925</v>
      </c>
      <c r="K102" s="457">
        <v>0</v>
      </c>
      <c r="L102" s="457">
        <v>0</v>
      </c>
      <c r="M102" s="457">
        <v>106397925</v>
      </c>
      <c r="N102" s="457">
        <v>1013324</v>
      </c>
      <c r="O102" s="457">
        <v>0</v>
      </c>
      <c r="P102" s="457">
        <v>0</v>
      </c>
      <c r="Q102" s="457">
        <v>1013324</v>
      </c>
      <c r="R102" s="457">
        <v>843424</v>
      </c>
      <c r="S102" s="457">
        <v>0</v>
      </c>
      <c r="T102" s="457">
        <v>0</v>
      </c>
      <c r="U102" s="457">
        <v>843424</v>
      </c>
      <c r="V102" s="457">
        <v>169900</v>
      </c>
      <c r="W102" s="457">
        <v>0</v>
      </c>
      <c r="X102" s="457">
        <v>0</v>
      </c>
      <c r="Y102" s="457">
        <v>169900</v>
      </c>
      <c r="Z102" s="457">
        <v>350511</v>
      </c>
      <c r="AA102" s="457">
        <v>350511</v>
      </c>
      <c r="AB102" s="457">
        <v>0</v>
      </c>
      <c r="AC102" s="457">
        <v>0</v>
      </c>
      <c r="AD102" s="457">
        <v>0</v>
      </c>
      <c r="AE102" s="457">
        <v>0</v>
      </c>
      <c r="AF102" s="457">
        <v>0</v>
      </c>
      <c r="AG102" s="457">
        <v>0</v>
      </c>
      <c r="AH102" s="457">
        <v>0</v>
      </c>
      <c r="AI102" s="457">
        <v>0</v>
      </c>
      <c r="AJ102" s="457">
        <v>0</v>
      </c>
      <c r="AK102" s="457">
        <v>0</v>
      </c>
      <c r="AL102" s="457">
        <v>0</v>
      </c>
      <c r="AM102" s="457">
        <v>0</v>
      </c>
      <c r="AN102" s="457">
        <v>0</v>
      </c>
      <c r="AO102" s="457">
        <v>0</v>
      </c>
      <c r="AP102" s="457">
        <v>0</v>
      </c>
      <c r="AQ102" s="457">
        <v>0</v>
      </c>
      <c r="AR102" s="457">
        <v>0</v>
      </c>
      <c r="AS102" s="457">
        <v>0</v>
      </c>
      <c r="AT102" s="457">
        <v>0</v>
      </c>
      <c r="AU102" s="457">
        <v>0</v>
      </c>
      <c r="AV102" s="457">
        <v>0</v>
      </c>
      <c r="AW102" s="457">
        <v>0</v>
      </c>
      <c r="AX102" s="457">
        <v>0</v>
      </c>
      <c r="AY102" s="457">
        <v>0</v>
      </c>
      <c r="AZ102" s="457">
        <v>0</v>
      </c>
      <c r="BA102" s="457">
        <v>548123</v>
      </c>
      <c r="BB102" s="457">
        <v>476131</v>
      </c>
      <c r="BC102" s="457">
        <v>71992</v>
      </c>
      <c r="BD102" s="457">
        <v>365415</v>
      </c>
      <c r="BE102" s="457">
        <v>317420</v>
      </c>
      <c r="BF102" s="457">
        <v>47995</v>
      </c>
      <c r="BG102" s="457">
        <v>0</v>
      </c>
      <c r="BH102" s="457">
        <v>0</v>
      </c>
      <c r="BI102" s="457">
        <v>0</v>
      </c>
    </row>
    <row r="103" spans="1:61" ht="12.75" x14ac:dyDescent="0.2">
      <c r="A103" s="446">
        <v>96</v>
      </c>
      <c r="B103" s="447" t="s">
        <v>75</v>
      </c>
      <c r="C103" s="448" t="s">
        <v>1093</v>
      </c>
      <c r="D103" s="449" t="s">
        <v>1097</v>
      </c>
      <c r="E103" s="450" t="s">
        <v>74</v>
      </c>
      <c r="F103" s="457">
        <v>32937187</v>
      </c>
      <c r="G103" s="457">
        <v>0</v>
      </c>
      <c r="H103" s="457">
        <v>0</v>
      </c>
      <c r="I103" s="457">
        <v>32937187</v>
      </c>
      <c r="J103" s="457">
        <v>32979130</v>
      </c>
      <c r="K103" s="457">
        <v>0</v>
      </c>
      <c r="L103" s="457">
        <v>0</v>
      </c>
      <c r="M103" s="457">
        <v>32979130</v>
      </c>
      <c r="N103" s="457">
        <v>-41943</v>
      </c>
      <c r="O103" s="457">
        <v>0</v>
      </c>
      <c r="P103" s="457">
        <v>0</v>
      </c>
      <c r="Q103" s="457">
        <v>-41943</v>
      </c>
      <c r="R103" s="457">
        <v>207363</v>
      </c>
      <c r="S103" s="457">
        <v>0</v>
      </c>
      <c r="T103" s="457">
        <v>0</v>
      </c>
      <c r="U103" s="457">
        <v>207363</v>
      </c>
      <c r="V103" s="457">
        <v>-249306</v>
      </c>
      <c r="W103" s="457">
        <v>0</v>
      </c>
      <c r="X103" s="457">
        <v>0</v>
      </c>
      <c r="Y103" s="457">
        <v>-249306</v>
      </c>
      <c r="Z103" s="457">
        <v>171117</v>
      </c>
      <c r="AA103" s="457">
        <v>171117</v>
      </c>
      <c r="AB103" s="457">
        <v>0</v>
      </c>
      <c r="AC103" s="457">
        <v>0</v>
      </c>
      <c r="AD103" s="457">
        <v>0</v>
      </c>
      <c r="AE103" s="457">
        <v>0</v>
      </c>
      <c r="AF103" s="457">
        <v>0</v>
      </c>
      <c r="AG103" s="457">
        <v>0</v>
      </c>
      <c r="AH103" s="457">
        <v>0</v>
      </c>
      <c r="AI103" s="457">
        <v>0</v>
      </c>
      <c r="AJ103" s="457">
        <v>0</v>
      </c>
      <c r="AK103" s="457">
        <v>0</v>
      </c>
      <c r="AL103" s="457">
        <v>0</v>
      </c>
      <c r="AM103" s="457">
        <v>0</v>
      </c>
      <c r="AN103" s="457">
        <v>0</v>
      </c>
      <c r="AO103" s="457">
        <v>0</v>
      </c>
      <c r="AP103" s="457">
        <v>0</v>
      </c>
      <c r="AQ103" s="457">
        <v>0</v>
      </c>
      <c r="AR103" s="457">
        <v>0</v>
      </c>
      <c r="AS103" s="457">
        <v>0</v>
      </c>
      <c r="AT103" s="457">
        <v>0</v>
      </c>
      <c r="AU103" s="457">
        <v>0</v>
      </c>
      <c r="AV103" s="457">
        <v>0</v>
      </c>
      <c r="AW103" s="457">
        <v>0</v>
      </c>
      <c r="AX103" s="457">
        <v>0</v>
      </c>
      <c r="AY103" s="457">
        <v>0</v>
      </c>
      <c r="AZ103" s="457">
        <v>0</v>
      </c>
      <c r="BA103" s="457">
        <v>446249</v>
      </c>
      <c r="BB103" s="457">
        <v>374888</v>
      </c>
      <c r="BC103" s="457">
        <v>71361</v>
      </c>
      <c r="BD103" s="457">
        <v>100406</v>
      </c>
      <c r="BE103" s="457">
        <v>84350</v>
      </c>
      <c r="BF103" s="457">
        <v>16056</v>
      </c>
      <c r="BG103" s="457">
        <v>11156</v>
      </c>
      <c r="BH103" s="457">
        <v>9372</v>
      </c>
      <c r="BI103" s="457">
        <v>1784</v>
      </c>
    </row>
    <row r="104" spans="1:61" ht="12.75" x14ac:dyDescent="0.2">
      <c r="A104" s="446">
        <v>97</v>
      </c>
      <c r="B104" s="447" t="s">
        <v>77</v>
      </c>
      <c r="C104" s="448" t="s">
        <v>1093</v>
      </c>
      <c r="D104" s="449" t="s">
        <v>1094</v>
      </c>
      <c r="E104" s="450" t="s">
        <v>1112</v>
      </c>
      <c r="F104" s="457">
        <v>22860235</v>
      </c>
      <c r="G104" s="457">
        <v>0</v>
      </c>
      <c r="H104" s="457">
        <v>0</v>
      </c>
      <c r="I104" s="457">
        <v>22860235</v>
      </c>
      <c r="J104" s="457">
        <v>23036483</v>
      </c>
      <c r="K104" s="457">
        <v>0</v>
      </c>
      <c r="L104" s="457">
        <v>0</v>
      </c>
      <c r="M104" s="457">
        <v>23036483</v>
      </c>
      <c r="N104" s="457">
        <v>-176248</v>
      </c>
      <c r="O104" s="457">
        <v>0</v>
      </c>
      <c r="P104" s="457">
        <v>0</v>
      </c>
      <c r="Q104" s="457">
        <v>-176248</v>
      </c>
      <c r="R104" s="457">
        <v>39120</v>
      </c>
      <c r="S104" s="457">
        <v>0</v>
      </c>
      <c r="T104" s="457">
        <v>0</v>
      </c>
      <c r="U104" s="457">
        <v>39120</v>
      </c>
      <c r="V104" s="457">
        <v>-215368</v>
      </c>
      <c r="W104" s="457">
        <v>0</v>
      </c>
      <c r="X104" s="457">
        <v>0</v>
      </c>
      <c r="Y104" s="457">
        <v>-215368</v>
      </c>
      <c r="Z104" s="457">
        <v>87849</v>
      </c>
      <c r="AA104" s="457">
        <v>87849</v>
      </c>
      <c r="AB104" s="457">
        <v>0</v>
      </c>
      <c r="AC104" s="457">
        <v>0</v>
      </c>
      <c r="AD104" s="457">
        <v>0</v>
      </c>
      <c r="AE104" s="457">
        <v>0</v>
      </c>
      <c r="AF104" s="457">
        <v>0</v>
      </c>
      <c r="AG104" s="457">
        <v>0</v>
      </c>
      <c r="AH104" s="457">
        <v>0</v>
      </c>
      <c r="AI104" s="457">
        <v>0</v>
      </c>
      <c r="AJ104" s="457">
        <v>0</v>
      </c>
      <c r="AK104" s="457">
        <v>0</v>
      </c>
      <c r="AL104" s="457">
        <v>0</v>
      </c>
      <c r="AM104" s="457">
        <v>0</v>
      </c>
      <c r="AN104" s="457">
        <v>0</v>
      </c>
      <c r="AO104" s="457">
        <v>0</v>
      </c>
      <c r="AP104" s="457">
        <v>0</v>
      </c>
      <c r="AQ104" s="457">
        <v>0</v>
      </c>
      <c r="AR104" s="457">
        <v>0</v>
      </c>
      <c r="AS104" s="457">
        <v>0</v>
      </c>
      <c r="AT104" s="457">
        <v>0</v>
      </c>
      <c r="AU104" s="457">
        <v>0</v>
      </c>
      <c r="AV104" s="457">
        <v>0</v>
      </c>
      <c r="AW104" s="457">
        <v>0</v>
      </c>
      <c r="AX104" s="457">
        <v>0</v>
      </c>
      <c r="AY104" s="457">
        <v>0</v>
      </c>
      <c r="AZ104" s="457">
        <v>0</v>
      </c>
      <c r="BA104" s="457">
        <v>191269</v>
      </c>
      <c r="BB104" s="457">
        <v>157936</v>
      </c>
      <c r="BC104" s="457">
        <v>33333</v>
      </c>
      <c r="BD104" s="457">
        <v>47817</v>
      </c>
      <c r="BE104" s="457">
        <v>39484</v>
      </c>
      <c r="BF104" s="457">
        <v>8333</v>
      </c>
      <c r="BG104" s="457">
        <v>0</v>
      </c>
      <c r="BH104" s="457">
        <v>0</v>
      </c>
      <c r="BI104" s="457">
        <v>0</v>
      </c>
    </row>
    <row r="105" spans="1:61" ht="12.75" x14ac:dyDescent="0.2">
      <c r="A105" s="446">
        <v>98</v>
      </c>
      <c r="B105" s="447" t="s">
        <v>79</v>
      </c>
      <c r="C105" s="448" t="s">
        <v>1093</v>
      </c>
      <c r="D105" s="449" t="s">
        <v>1096</v>
      </c>
      <c r="E105" s="450" t="s">
        <v>78</v>
      </c>
      <c r="F105" s="457">
        <v>29621405</v>
      </c>
      <c r="G105" s="457">
        <v>0</v>
      </c>
      <c r="H105" s="457">
        <v>0</v>
      </c>
      <c r="I105" s="457">
        <v>29621405</v>
      </c>
      <c r="J105" s="457">
        <v>29574409</v>
      </c>
      <c r="K105" s="457">
        <v>0</v>
      </c>
      <c r="L105" s="457">
        <v>0</v>
      </c>
      <c r="M105" s="457">
        <v>29574409</v>
      </c>
      <c r="N105" s="457">
        <v>46996</v>
      </c>
      <c r="O105" s="457">
        <v>0</v>
      </c>
      <c r="P105" s="457">
        <v>0</v>
      </c>
      <c r="Q105" s="457">
        <v>46996</v>
      </c>
      <c r="R105" s="457">
        <v>-7140</v>
      </c>
      <c r="S105" s="457">
        <v>0</v>
      </c>
      <c r="T105" s="457">
        <v>0</v>
      </c>
      <c r="U105" s="457">
        <v>-7140</v>
      </c>
      <c r="V105" s="457">
        <v>54136</v>
      </c>
      <c r="W105" s="457">
        <v>0</v>
      </c>
      <c r="X105" s="457">
        <v>0</v>
      </c>
      <c r="Y105" s="457">
        <v>54136</v>
      </c>
      <c r="Z105" s="457">
        <v>143569</v>
      </c>
      <c r="AA105" s="457">
        <v>137569</v>
      </c>
      <c r="AB105" s="457">
        <v>6000</v>
      </c>
      <c r="AC105" s="457">
        <v>0</v>
      </c>
      <c r="AD105" s="457">
        <v>0</v>
      </c>
      <c r="AE105" s="457">
        <v>0</v>
      </c>
      <c r="AF105" s="457">
        <v>0</v>
      </c>
      <c r="AG105" s="457">
        <v>0</v>
      </c>
      <c r="AH105" s="457">
        <v>0</v>
      </c>
      <c r="AI105" s="457">
        <v>0</v>
      </c>
      <c r="AJ105" s="457">
        <v>0</v>
      </c>
      <c r="AK105" s="457">
        <v>0</v>
      </c>
      <c r="AL105" s="457">
        <v>0</v>
      </c>
      <c r="AM105" s="457">
        <v>0</v>
      </c>
      <c r="AN105" s="457">
        <v>0</v>
      </c>
      <c r="AO105" s="457">
        <v>0</v>
      </c>
      <c r="AP105" s="457">
        <v>0</v>
      </c>
      <c r="AQ105" s="457">
        <v>0</v>
      </c>
      <c r="AR105" s="457">
        <v>0</v>
      </c>
      <c r="AS105" s="457">
        <v>0</v>
      </c>
      <c r="AT105" s="457">
        <v>0</v>
      </c>
      <c r="AU105" s="457">
        <v>0</v>
      </c>
      <c r="AV105" s="457">
        <v>0</v>
      </c>
      <c r="AW105" s="457">
        <v>0</v>
      </c>
      <c r="AX105" s="457">
        <v>0</v>
      </c>
      <c r="AY105" s="457">
        <v>0</v>
      </c>
      <c r="AZ105" s="457">
        <v>0</v>
      </c>
      <c r="BA105" s="457">
        <v>464970</v>
      </c>
      <c r="BB105" s="457">
        <v>405173</v>
      </c>
      <c r="BC105" s="457">
        <v>59797</v>
      </c>
      <c r="BD105" s="457">
        <v>104618</v>
      </c>
      <c r="BE105" s="457">
        <v>91164</v>
      </c>
      <c r="BF105" s="457">
        <v>13454</v>
      </c>
      <c r="BG105" s="457">
        <v>11624</v>
      </c>
      <c r="BH105" s="457">
        <v>10129</v>
      </c>
      <c r="BI105" s="457">
        <v>1495</v>
      </c>
    </row>
    <row r="106" spans="1:61" ht="12.75" x14ac:dyDescent="0.2">
      <c r="A106" s="446">
        <v>99</v>
      </c>
      <c r="B106" s="447" t="s">
        <v>81</v>
      </c>
      <c r="C106" s="448" t="s">
        <v>1093</v>
      </c>
      <c r="D106" s="449" t="s">
        <v>1102</v>
      </c>
      <c r="E106" s="450" t="s">
        <v>80</v>
      </c>
      <c r="F106" s="457">
        <v>83893710</v>
      </c>
      <c r="G106" s="457">
        <v>0</v>
      </c>
      <c r="H106" s="457">
        <v>0</v>
      </c>
      <c r="I106" s="457">
        <v>83893710</v>
      </c>
      <c r="J106" s="457">
        <v>83797165</v>
      </c>
      <c r="K106" s="457">
        <v>0</v>
      </c>
      <c r="L106" s="457">
        <v>0</v>
      </c>
      <c r="M106" s="457">
        <v>83797165</v>
      </c>
      <c r="N106" s="457">
        <v>96545</v>
      </c>
      <c r="O106" s="457">
        <v>0</v>
      </c>
      <c r="P106" s="457">
        <v>0</v>
      </c>
      <c r="Q106" s="457">
        <v>96545</v>
      </c>
      <c r="R106" s="457">
        <v>174877</v>
      </c>
      <c r="S106" s="457">
        <v>0</v>
      </c>
      <c r="T106" s="457">
        <v>0</v>
      </c>
      <c r="U106" s="457">
        <v>174877</v>
      </c>
      <c r="V106" s="457">
        <v>-78332</v>
      </c>
      <c r="W106" s="457">
        <v>0</v>
      </c>
      <c r="X106" s="457">
        <v>0</v>
      </c>
      <c r="Y106" s="457">
        <v>-78332</v>
      </c>
      <c r="Z106" s="457">
        <v>224450</v>
      </c>
      <c r="AA106" s="457">
        <v>224450</v>
      </c>
      <c r="AB106" s="457">
        <v>0</v>
      </c>
      <c r="AC106" s="457">
        <v>0</v>
      </c>
      <c r="AD106" s="457">
        <v>0</v>
      </c>
      <c r="AE106" s="457">
        <v>0</v>
      </c>
      <c r="AF106" s="457">
        <v>0</v>
      </c>
      <c r="AG106" s="457">
        <v>0</v>
      </c>
      <c r="AH106" s="457">
        <v>0</v>
      </c>
      <c r="AI106" s="457">
        <v>0</v>
      </c>
      <c r="AJ106" s="457">
        <v>0</v>
      </c>
      <c r="AK106" s="457">
        <v>0</v>
      </c>
      <c r="AL106" s="457">
        <v>0</v>
      </c>
      <c r="AM106" s="457">
        <v>0</v>
      </c>
      <c r="AN106" s="457">
        <v>0</v>
      </c>
      <c r="AO106" s="457">
        <v>0</v>
      </c>
      <c r="AP106" s="457">
        <v>0</v>
      </c>
      <c r="AQ106" s="457">
        <v>0</v>
      </c>
      <c r="AR106" s="457">
        <v>0</v>
      </c>
      <c r="AS106" s="457">
        <v>0</v>
      </c>
      <c r="AT106" s="457">
        <v>0</v>
      </c>
      <c r="AU106" s="457">
        <v>0</v>
      </c>
      <c r="AV106" s="457">
        <v>0</v>
      </c>
      <c r="AW106" s="457">
        <v>0</v>
      </c>
      <c r="AX106" s="457">
        <v>0</v>
      </c>
      <c r="AY106" s="457">
        <v>0</v>
      </c>
      <c r="AZ106" s="457">
        <v>0</v>
      </c>
      <c r="BA106" s="457">
        <v>392355</v>
      </c>
      <c r="BB106" s="457">
        <v>325493</v>
      </c>
      <c r="BC106" s="457">
        <v>66862</v>
      </c>
      <c r="BD106" s="457">
        <v>88280</v>
      </c>
      <c r="BE106" s="457">
        <v>73236</v>
      </c>
      <c r="BF106" s="457">
        <v>15044</v>
      </c>
      <c r="BG106" s="457">
        <v>9809</v>
      </c>
      <c r="BH106" s="457">
        <v>8137</v>
      </c>
      <c r="BI106" s="457">
        <v>1672</v>
      </c>
    </row>
    <row r="107" spans="1:61" ht="12.75" x14ac:dyDescent="0.2">
      <c r="A107" s="446">
        <v>100</v>
      </c>
      <c r="B107" s="447" t="s">
        <v>83</v>
      </c>
      <c r="C107" s="448" t="s">
        <v>1093</v>
      </c>
      <c r="D107" s="449" t="s">
        <v>1094</v>
      </c>
      <c r="E107" s="450" t="s">
        <v>82</v>
      </c>
      <c r="F107" s="457">
        <v>46137710.899999999</v>
      </c>
      <c r="G107" s="457">
        <v>0</v>
      </c>
      <c r="H107" s="457">
        <v>189113.44</v>
      </c>
      <c r="I107" s="457">
        <v>46326824.299999997</v>
      </c>
      <c r="J107" s="457">
        <v>46557930.600000001</v>
      </c>
      <c r="K107" s="457">
        <v>0</v>
      </c>
      <c r="L107" s="457">
        <v>166272.79999999999</v>
      </c>
      <c r="M107" s="457">
        <v>46724203.399999999</v>
      </c>
      <c r="N107" s="457">
        <v>-420219.77</v>
      </c>
      <c r="O107" s="457">
        <v>0</v>
      </c>
      <c r="P107" s="457">
        <v>22840.639999999999</v>
      </c>
      <c r="Q107" s="457">
        <v>-397379.13</v>
      </c>
      <c r="R107" s="457">
        <v>67573</v>
      </c>
      <c r="S107" s="457">
        <v>0</v>
      </c>
      <c r="T107" s="457">
        <v>22892</v>
      </c>
      <c r="U107" s="457">
        <v>90465</v>
      </c>
      <c r="V107" s="457">
        <v>-487793</v>
      </c>
      <c r="W107" s="457">
        <v>0</v>
      </c>
      <c r="X107" s="457">
        <v>-51</v>
      </c>
      <c r="Y107" s="457">
        <v>-487844</v>
      </c>
      <c r="Z107" s="457">
        <v>142973</v>
      </c>
      <c r="AA107" s="457">
        <v>142973</v>
      </c>
      <c r="AB107" s="457">
        <v>0</v>
      </c>
      <c r="AC107" s="457">
        <v>0</v>
      </c>
      <c r="AD107" s="457">
        <v>0</v>
      </c>
      <c r="AE107" s="457">
        <v>0</v>
      </c>
      <c r="AF107" s="457">
        <v>0</v>
      </c>
      <c r="AG107" s="457">
        <v>0</v>
      </c>
      <c r="AH107" s="457">
        <v>0</v>
      </c>
      <c r="AI107" s="457">
        <v>0</v>
      </c>
      <c r="AJ107" s="457">
        <v>0</v>
      </c>
      <c r="AK107" s="457">
        <v>0</v>
      </c>
      <c r="AL107" s="457">
        <v>0</v>
      </c>
      <c r="AM107" s="457">
        <v>0</v>
      </c>
      <c r="AN107" s="457">
        <v>0</v>
      </c>
      <c r="AO107" s="457">
        <v>86293</v>
      </c>
      <c r="AP107" s="457">
        <v>130414</v>
      </c>
      <c r="AQ107" s="457">
        <v>-44121</v>
      </c>
      <c r="AR107" s="457">
        <v>86293</v>
      </c>
      <c r="AS107" s="457">
        <v>130414</v>
      </c>
      <c r="AT107" s="457">
        <v>-44121</v>
      </c>
      <c r="AU107" s="457">
        <v>0</v>
      </c>
      <c r="AV107" s="457">
        <v>0</v>
      </c>
      <c r="AW107" s="457">
        <v>0</v>
      </c>
      <c r="AX107" s="457">
        <v>0</v>
      </c>
      <c r="AY107" s="457">
        <v>0</v>
      </c>
      <c r="AZ107" s="457">
        <v>0</v>
      </c>
      <c r="BA107" s="457">
        <v>303496</v>
      </c>
      <c r="BB107" s="457">
        <v>259820</v>
      </c>
      <c r="BC107" s="457">
        <v>43676</v>
      </c>
      <c r="BD107" s="457">
        <v>68287</v>
      </c>
      <c r="BE107" s="457">
        <v>58460</v>
      </c>
      <c r="BF107" s="457">
        <v>9827</v>
      </c>
      <c r="BG107" s="457">
        <v>7587</v>
      </c>
      <c r="BH107" s="457">
        <v>6496</v>
      </c>
      <c r="BI107" s="457">
        <v>1091</v>
      </c>
    </row>
    <row r="108" spans="1:61" ht="12.75" x14ac:dyDescent="0.2">
      <c r="A108" s="446">
        <v>101</v>
      </c>
      <c r="B108" s="447" t="s">
        <v>85</v>
      </c>
      <c r="C108" s="448" t="s">
        <v>1093</v>
      </c>
      <c r="D108" s="449" t="s">
        <v>1097</v>
      </c>
      <c r="E108" s="450" t="s">
        <v>84</v>
      </c>
      <c r="F108" s="457">
        <v>24696505.699999999</v>
      </c>
      <c r="G108" s="457">
        <v>0</v>
      </c>
      <c r="H108" s="457">
        <v>0</v>
      </c>
      <c r="I108" s="457">
        <v>24696505.699999999</v>
      </c>
      <c r="J108" s="457">
        <v>24384637.300000001</v>
      </c>
      <c r="K108" s="457">
        <v>0</v>
      </c>
      <c r="L108" s="457">
        <v>0</v>
      </c>
      <c r="M108" s="457">
        <v>24384637.300000001</v>
      </c>
      <c r="N108" s="457">
        <v>311868.44</v>
      </c>
      <c r="O108" s="457">
        <v>0</v>
      </c>
      <c r="P108" s="457">
        <v>0</v>
      </c>
      <c r="Q108" s="457">
        <v>311868.44</v>
      </c>
      <c r="R108" s="457">
        <v>417274</v>
      </c>
      <c r="S108" s="457">
        <v>0</v>
      </c>
      <c r="T108" s="457">
        <v>0</v>
      </c>
      <c r="U108" s="457">
        <v>417274</v>
      </c>
      <c r="V108" s="457">
        <v>-105406</v>
      </c>
      <c r="W108" s="457">
        <v>0</v>
      </c>
      <c r="X108" s="457">
        <v>0</v>
      </c>
      <c r="Y108" s="457">
        <v>-105406</v>
      </c>
      <c r="Z108" s="457">
        <v>126613</v>
      </c>
      <c r="AA108" s="457">
        <v>126613</v>
      </c>
      <c r="AB108" s="457">
        <v>0</v>
      </c>
      <c r="AC108" s="457">
        <v>0</v>
      </c>
      <c r="AD108" s="457">
        <v>0</v>
      </c>
      <c r="AE108" s="457">
        <v>0</v>
      </c>
      <c r="AF108" s="457">
        <v>0</v>
      </c>
      <c r="AG108" s="457">
        <v>0</v>
      </c>
      <c r="AH108" s="457">
        <v>0</v>
      </c>
      <c r="AI108" s="457">
        <v>0</v>
      </c>
      <c r="AJ108" s="457">
        <v>0</v>
      </c>
      <c r="AK108" s="457">
        <v>0</v>
      </c>
      <c r="AL108" s="457">
        <v>0</v>
      </c>
      <c r="AM108" s="457">
        <v>0</v>
      </c>
      <c r="AN108" s="457">
        <v>0</v>
      </c>
      <c r="AO108" s="457">
        <v>0</v>
      </c>
      <c r="AP108" s="457">
        <v>0</v>
      </c>
      <c r="AQ108" s="457">
        <v>0</v>
      </c>
      <c r="AR108" s="457">
        <v>0</v>
      </c>
      <c r="AS108" s="457">
        <v>0</v>
      </c>
      <c r="AT108" s="457">
        <v>0</v>
      </c>
      <c r="AU108" s="457">
        <v>0</v>
      </c>
      <c r="AV108" s="457">
        <v>0</v>
      </c>
      <c r="AW108" s="457">
        <v>0</v>
      </c>
      <c r="AX108" s="457">
        <v>0</v>
      </c>
      <c r="AY108" s="457">
        <v>0</v>
      </c>
      <c r="AZ108" s="457">
        <v>0</v>
      </c>
      <c r="BA108" s="457">
        <v>416035</v>
      </c>
      <c r="BB108" s="457">
        <v>355009</v>
      </c>
      <c r="BC108" s="457">
        <v>61026</v>
      </c>
      <c r="BD108" s="457">
        <v>93608</v>
      </c>
      <c r="BE108" s="457">
        <v>79877</v>
      </c>
      <c r="BF108" s="457">
        <v>13731</v>
      </c>
      <c r="BG108" s="457">
        <v>10401</v>
      </c>
      <c r="BH108" s="457">
        <v>8875</v>
      </c>
      <c r="BI108" s="457">
        <v>1526</v>
      </c>
    </row>
    <row r="109" spans="1:61" ht="12.75" x14ac:dyDescent="0.2">
      <c r="A109" s="446">
        <v>102</v>
      </c>
      <c r="B109" s="447" t="s">
        <v>87</v>
      </c>
      <c r="C109" s="448" t="s">
        <v>1093</v>
      </c>
      <c r="D109" s="449" t="s">
        <v>1097</v>
      </c>
      <c r="E109" s="450" t="s">
        <v>86</v>
      </c>
      <c r="F109" s="457">
        <v>21322399</v>
      </c>
      <c r="G109" s="457">
        <v>0</v>
      </c>
      <c r="H109" s="457">
        <v>0</v>
      </c>
      <c r="I109" s="457">
        <v>21322399</v>
      </c>
      <c r="J109" s="457">
        <v>21497348</v>
      </c>
      <c r="K109" s="457">
        <v>0</v>
      </c>
      <c r="L109" s="457">
        <v>0</v>
      </c>
      <c r="M109" s="457">
        <v>21497348</v>
      </c>
      <c r="N109" s="457">
        <v>-174949</v>
      </c>
      <c r="O109" s="457">
        <v>0</v>
      </c>
      <c r="P109" s="457">
        <v>0</v>
      </c>
      <c r="Q109" s="457">
        <v>-174949</v>
      </c>
      <c r="R109" s="457">
        <v>25909</v>
      </c>
      <c r="S109" s="457">
        <v>0</v>
      </c>
      <c r="T109" s="457">
        <v>0</v>
      </c>
      <c r="U109" s="457">
        <v>25909</v>
      </c>
      <c r="V109" s="457">
        <v>-200858</v>
      </c>
      <c r="W109" s="457">
        <v>0</v>
      </c>
      <c r="X109" s="457">
        <v>0</v>
      </c>
      <c r="Y109" s="457">
        <v>-200858</v>
      </c>
      <c r="Z109" s="457">
        <v>90531</v>
      </c>
      <c r="AA109" s="457">
        <v>90531</v>
      </c>
      <c r="AB109" s="457">
        <v>0</v>
      </c>
      <c r="AC109" s="457">
        <v>0</v>
      </c>
      <c r="AD109" s="457">
        <v>0</v>
      </c>
      <c r="AE109" s="457">
        <v>0</v>
      </c>
      <c r="AF109" s="457">
        <v>0</v>
      </c>
      <c r="AG109" s="457">
        <v>0</v>
      </c>
      <c r="AH109" s="457">
        <v>0</v>
      </c>
      <c r="AI109" s="457">
        <v>0</v>
      </c>
      <c r="AJ109" s="457">
        <v>0</v>
      </c>
      <c r="AK109" s="457">
        <v>0</v>
      </c>
      <c r="AL109" s="457">
        <v>0</v>
      </c>
      <c r="AM109" s="457">
        <v>0</v>
      </c>
      <c r="AN109" s="457">
        <v>0</v>
      </c>
      <c r="AO109" s="457">
        <v>0</v>
      </c>
      <c r="AP109" s="457">
        <v>0</v>
      </c>
      <c r="AQ109" s="457">
        <v>0</v>
      </c>
      <c r="AR109" s="457">
        <v>0</v>
      </c>
      <c r="AS109" s="457">
        <v>0</v>
      </c>
      <c r="AT109" s="457">
        <v>0</v>
      </c>
      <c r="AU109" s="457">
        <v>0</v>
      </c>
      <c r="AV109" s="457">
        <v>0</v>
      </c>
      <c r="AW109" s="457">
        <v>0</v>
      </c>
      <c r="AX109" s="457">
        <v>0</v>
      </c>
      <c r="AY109" s="457">
        <v>0</v>
      </c>
      <c r="AZ109" s="457">
        <v>0</v>
      </c>
      <c r="BA109" s="457">
        <v>246044</v>
      </c>
      <c r="BB109" s="457">
        <v>213767</v>
      </c>
      <c r="BC109" s="457">
        <v>32277</v>
      </c>
      <c r="BD109" s="457">
        <v>61511</v>
      </c>
      <c r="BE109" s="457">
        <v>53442</v>
      </c>
      <c r="BF109" s="457">
        <v>8069</v>
      </c>
      <c r="BG109" s="457">
        <v>0</v>
      </c>
      <c r="BH109" s="457">
        <v>0</v>
      </c>
      <c r="BI109" s="457">
        <v>0</v>
      </c>
    </row>
    <row r="110" spans="1:61" ht="12.75" x14ac:dyDescent="0.2">
      <c r="A110" s="446">
        <v>103</v>
      </c>
      <c r="B110" s="447" t="s">
        <v>89</v>
      </c>
      <c r="C110" s="448" t="s">
        <v>1093</v>
      </c>
      <c r="D110" s="449" t="s">
        <v>1102</v>
      </c>
      <c r="E110" s="450" t="s">
        <v>88</v>
      </c>
      <c r="F110" s="457">
        <v>11761231.1</v>
      </c>
      <c r="G110" s="457">
        <v>0</v>
      </c>
      <c r="H110" s="457">
        <v>0</v>
      </c>
      <c r="I110" s="457">
        <v>11761231.1</v>
      </c>
      <c r="J110" s="457">
        <v>11669091.1</v>
      </c>
      <c r="K110" s="457">
        <v>0</v>
      </c>
      <c r="L110" s="457">
        <v>0</v>
      </c>
      <c r="M110" s="457">
        <v>11669091.1</v>
      </c>
      <c r="N110" s="457">
        <v>92140</v>
      </c>
      <c r="O110" s="457">
        <v>0</v>
      </c>
      <c r="P110" s="457">
        <v>0</v>
      </c>
      <c r="Q110" s="457">
        <v>92140</v>
      </c>
      <c r="R110" s="457">
        <v>104055.72</v>
      </c>
      <c r="S110" s="457">
        <v>0</v>
      </c>
      <c r="T110" s="457">
        <v>0</v>
      </c>
      <c r="U110" s="457">
        <v>104056</v>
      </c>
      <c r="V110" s="457">
        <v>-11916</v>
      </c>
      <c r="W110" s="457">
        <v>0</v>
      </c>
      <c r="X110" s="457">
        <v>0</v>
      </c>
      <c r="Y110" s="457">
        <v>-11916</v>
      </c>
      <c r="Z110" s="457">
        <v>119683</v>
      </c>
      <c r="AA110" s="457">
        <v>119683</v>
      </c>
      <c r="AB110" s="457">
        <v>0</v>
      </c>
      <c r="AC110" s="457">
        <v>0</v>
      </c>
      <c r="AD110" s="457">
        <v>0</v>
      </c>
      <c r="AE110" s="457">
        <v>0</v>
      </c>
      <c r="AF110" s="457">
        <v>0</v>
      </c>
      <c r="AG110" s="457">
        <v>0</v>
      </c>
      <c r="AH110" s="457">
        <v>0</v>
      </c>
      <c r="AI110" s="457">
        <v>0</v>
      </c>
      <c r="AJ110" s="457">
        <v>0</v>
      </c>
      <c r="AK110" s="457">
        <v>0</v>
      </c>
      <c r="AL110" s="457">
        <v>0</v>
      </c>
      <c r="AM110" s="457">
        <v>0</v>
      </c>
      <c r="AN110" s="457">
        <v>0</v>
      </c>
      <c r="AO110" s="457">
        <v>0</v>
      </c>
      <c r="AP110" s="457">
        <v>0</v>
      </c>
      <c r="AQ110" s="457">
        <v>0</v>
      </c>
      <c r="AR110" s="457">
        <v>0</v>
      </c>
      <c r="AS110" s="457">
        <v>0</v>
      </c>
      <c r="AT110" s="457">
        <v>0</v>
      </c>
      <c r="AU110" s="457">
        <v>0</v>
      </c>
      <c r="AV110" s="457">
        <v>0</v>
      </c>
      <c r="AW110" s="457">
        <v>0</v>
      </c>
      <c r="AX110" s="457">
        <v>0</v>
      </c>
      <c r="AY110" s="457">
        <v>0</v>
      </c>
      <c r="AZ110" s="457">
        <v>0</v>
      </c>
      <c r="BA110" s="457">
        <v>413228</v>
      </c>
      <c r="BB110" s="457">
        <v>351455</v>
      </c>
      <c r="BC110" s="457">
        <v>61773</v>
      </c>
      <c r="BD110" s="457">
        <v>103307</v>
      </c>
      <c r="BE110" s="457">
        <v>87864</v>
      </c>
      <c r="BF110" s="457">
        <v>15443</v>
      </c>
      <c r="BG110" s="457">
        <v>0</v>
      </c>
      <c r="BH110" s="457">
        <v>0</v>
      </c>
      <c r="BI110" s="457">
        <v>0</v>
      </c>
    </row>
    <row r="111" spans="1:61" ht="12.75" x14ac:dyDescent="0.2">
      <c r="A111" s="446">
        <v>104</v>
      </c>
      <c r="B111" s="447" t="s">
        <v>91</v>
      </c>
      <c r="C111" s="448" t="s">
        <v>1093</v>
      </c>
      <c r="D111" s="449" t="s">
        <v>1095</v>
      </c>
      <c r="E111" s="450" t="s">
        <v>90</v>
      </c>
      <c r="F111" s="457">
        <v>22868523</v>
      </c>
      <c r="G111" s="457">
        <v>0</v>
      </c>
      <c r="H111" s="457">
        <v>1879290</v>
      </c>
      <c r="I111" s="457">
        <v>24747813</v>
      </c>
      <c r="J111" s="457">
        <v>22764415</v>
      </c>
      <c r="K111" s="457">
        <v>0</v>
      </c>
      <c r="L111" s="457">
        <v>1879290</v>
      </c>
      <c r="M111" s="457">
        <v>24643705</v>
      </c>
      <c r="N111" s="457">
        <v>104108</v>
      </c>
      <c r="O111" s="457">
        <v>0</v>
      </c>
      <c r="P111" s="457">
        <v>0</v>
      </c>
      <c r="Q111" s="457">
        <v>104108</v>
      </c>
      <c r="R111" s="457">
        <v>185218</v>
      </c>
      <c r="S111" s="457">
        <v>0</v>
      </c>
      <c r="T111" s="457">
        <v>0</v>
      </c>
      <c r="U111" s="457">
        <v>185218</v>
      </c>
      <c r="V111" s="457">
        <v>-81110</v>
      </c>
      <c r="W111" s="457">
        <v>0</v>
      </c>
      <c r="X111" s="457">
        <v>0</v>
      </c>
      <c r="Y111" s="457">
        <v>-81110</v>
      </c>
      <c r="Z111" s="457">
        <v>110662</v>
      </c>
      <c r="AA111" s="457">
        <v>110662</v>
      </c>
      <c r="AB111" s="457">
        <v>0</v>
      </c>
      <c r="AC111" s="457">
        <v>0</v>
      </c>
      <c r="AD111" s="457">
        <v>53063</v>
      </c>
      <c r="AE111" s="457">
        <v>-53063</v>
      </c>
      <c r="AF111" s="457">
        <v>0</v>
      </c>
      <c r="AG111" s="457">
        <v>0</v>
      </c>
      <c r="AH111" s="457">
        <v>0</v>
      </c>
      <c r="AI111" s="457">
        <v>0</v>
      </c>
      <c r="AJ111" s="457">
        <v>0</v>
      </c>
      <c r="AK111" s="457">
        <v>0</v>
      </c>
      <c r="AL111" s="457">
        <v>0</v>
      </c>
      <c r="AM111" s="457">
        <v>0</v>
      </c>
      <c r="AN111" s="457">
        <v>0</v>
      </c>
      <c r="AO111" s="457">
        <v>0</v>
      </c>
      <c r="AP111" s="457">
        <v>0</v>
      </c>
      <c r="AQ111" s="457">
        <v>0</v>
      </c>
      <c r="AR111" s="457">
        <v>0</v>
      </c>
      <c r="AS111" s="457">
        <v>0</v>
      </c>
      <c r="AT111" s="457">
        <v>0</v>
      </c>
      <c r="AU111" s="457">
        <v>0</v>
      </c>
      <c r="AV111" s="457">
        <v>0</v>
      </c>
      <c r="AW111" s="457">
        <v>0</v>
      </c>
      <c r="AX111" s="457">
        <v>0</v>
      </c>
      <c r="AY111" s="457">
        <v>0</v>
      </c>
      <c r="AZ111" s="457">
        <v>0</v>
      </c>
      <c r="BA111" s="457">
        <v>374056</v>
      </c>
      <c r="BB111" s="457">
        <v>318946</v>
      </c>
      <c r="BC111" s="457">
        <v>55110</v>
      </c>
      <c r="BD111" s="457">
        <v>84163</v>
      </c>
      <c r="BE111" s="457">
        <v>71763</v>
      </c>
      <c r="BF111" s="457">
        <v>12400</v>
      </c>
      <c r="BG111" s="457">
        <v>9351</v>
      </c>
      <c r="BH111" s="457">
        <v>7974</v>
      </c>
      <c r="BI111" s="457">
        <v>1377</v>
      </c>
    </row>
    <row r="112" spans="1:61" ht="12.75" x14ac:dyDescent="0.2">
      <c r="A112" s="446">
        <v>105</v>
      </c>
      <c r="B112" s="447" t="s">
        <v>93</v>
      </c>
      <c r="C112" s="448" t="s">
        <v>1100</v>
      </c>
      <c r="D112" s="449" t="s">
        <v>1105</v>
      </c>
      <c r="E112" s="450" t="s">
        <v>92</v>
      </c>
      <c r="F112" s="457">
        <v>85983172</v>
      </c>
      <c r="G112" s="457">
        <v>1125918</v>
      </c>
      <c r="H112" s="457">
        <v>0</v>
      </c>
      <c r="I112" s="457">
        <v>87109090</v>
      </c>
      <c r="J112" s="457">
        <v>86687993</v>
      </c>
      <c r="K112" s="457">
        <v>1084225</v>
      </c>
      <c r="L112" s="457">
        <v>0</v>
      </c>
      <c r="M112" s="457">
        <v>87772218</v>
      </c>
      <c r="N112" s="457">
        <v>-704821</v>
      </c>
      <c r="O112" s="457">
        <v>41693</v>
      </c>
      <c r="P112" s="457">
        <v>0</v>
      </c>
      <c r="Q112" s="457">
        <v>-663128</v>
      </c>
      <c r="R112" s="457">
        <v>68235</v>
      </c>
      <c r="S112" s="457">
        <v>0</v>
      </c>
      <c r="T112" s="457">
        <v>0</v>
      </c>
      <c r="U112" s="457">
        <v>68235</v>
      </c>
      <c r="V112" s="457">
        <v>-773056</v>
      </c>
      <c r="W112" s="457">
        <v>41693</v>
      </c>
      <c r="X112" s="457">
        <v>0</v>
      </c>
      <c r="Y112" s="457">
        <v>-731363</v>
      </c>
      <c r="Z112" s="457">
        <v>294393</v>
      </c>
      <c r="AA112" s="457">
        <v>294393</v>
      </c>
      <c r="AB112" s="457">
        <v>0</v>
      </c>
      <c r="AC112" s="457">
        <v>0</v>
      </c>
      <c r="AD112" s="457">
        <v>0</v>
      </c>
      <c r="AE112" s="457">
        <v>0</v>
      </c>
      <c r="AF112" s="457">
        <v>0</v>
      </c>
      <c r="AG112" s="457">
        <v>9487</v>
      </c>
      <c r="AH112" s="457">
        <v>-9487</v>
      </c>
      <c r="AI112" s="457">
        <v>0</v>
      </c>
      <c r="AJ112" s="457">
        <v>0</v>
      </c>
      <c r="AK112" s="457">
        <v>0</v>
      </c>
      <c r="AL112" s="457">
        <v>0</v>
      </c>
      <c r="AM112" s="457">
        <v>0</v>
      </c>
      <c r="AN112" s="457">
        <v>0</v>
      </c>
      <c r="AO112" s="457">
        <v>0</v>
      </c>
      <c r="AP112" s="457">
        <v>0</v>
      </c>
      <c r="AQ112" s="457">
        <v>0</v>
      </c>
      <c r="AR112" s="457">
        <v>0</v>
      </c>
      <c r="AS112" s="457">
        <v>0</v>
      </c>
      <c r="AT112" s="457">
        <v>0</v>
      </c>
      <c r="AU112" s="457">
        <v>0</v>
      </c>
      <c r="AV112" s="457">
        <v>0</v>
      </c>
      <c r="AW112" s="457">
        <v>0</v>
      </c>
      <c r="AX112" s="457">
        <v>0</v>
      </c>
      <c r="AY112" s="457">
        <v>0</v>
      </c>
      <c r="AZ112" s="457">
        <v>0</v>
      </c>
      <c r="BA112" s="457">
        <v>881136</v>
      </c>
      <c r="BB112" s="457">
        <v>755677</v>
      </c>
      <c r="BC112" s="457">
        <v>125459</v>
      </c>
      <c r="BD112" s="457">
        <v>0</v>
      </c>
      <c r="BE112" s="457">
        <v>0</v>
      </c>
      <c r="BF112" s="457">
        <v>0</v>
      </c>
      <c r="BG112" s="457">
        <v>17601</v>
      </c>
      <c r="BH112" s="457">
        <v>15422</v>
      </c>
      <c r="BI112" s="457">
        <v>2179</v>
      </c>
    </row>
    <row r="113" spans="1:61" ht="12.75" x14ac:dyDescent="0.2">
      <c r="A113" s="446">
        <v>106</v>
      </c>
      <c r="B113" s="447" t="s">
        <v>95</v>
      </c>
      <c r="C113" s="448" t="s">
        <v>1093</v>
      </c>
      <c r="D113" s="449" t="s">
        <v>1096</v>
      </c>
      <c r="E113" s="450" t="s">
        <v>94</v>
      </c>
      <c r="F113" s="457">
        <v>21131990.100000001</v>
      </c>
      <c r="G113" s="457">
        <v>0</v>
      </c>
      <c r="H113" s="457">
        <v>0</v>
      </c>
      <c r="I113" s="457">
        <v>21131990.100000001</v>
      </c>
      <c r="J113" s="457">
        <v>21315798.100000001</v>
      </c>
      <c r="K113" s="457">
        <v>0</v>
      </c>
      <c r="L113" s="457">
        <v>0</v>
      </c>
      <c r="M113" s="457">
        <v>21315798.100000001</v>
      </c>
      <c r="N113" s="457">
        <v>-183808</v>
      </c>
      <c r="O113" s="457">
        <v>0</v>
      </c>
      <c r="P113" s="457">
        <v>0</v>
      </c>
      <c r="Q113" s="457">
        <v>-183808</v>
      </c>
      <c r="R113" s="457">
        <v>61655</v>
      </c>
      <c r="S113" s="457">
        <v>0</v>
      </c>
      <c r="T113" s="457">
        <v>0</v>
      </c>
      <c r="U113" s="457">
        <v>61655</v>
      </c>
      <c r="V113" s="457">
        <v>-245463</v>
      </c>
      <c r="W113" s="457">
        <v>0</v>
      </c>
      <c r="X113" s="457">
        <v>0</v>
      </c>
      <c r="Y113" s="457">
        <v>-245463</v>
      </c>
      <c r="Z113" s="457">
        <v>102089</v>
      </c>
      <c r="AA113" s="457">
        <v>102089</v>
      </c>
      <c r="AB113" s="457">
        <v>0</v>
      </c>
      <c r="AC113" s="457">
        <v>0</v>
      </c>
      <c r="AD113" s="457">
        <v>0</v>
      </c>
      <c r="AE113" s="457">
        <v>0</v>
      </c>
      <c r="AF113" s="457">
        <v>0</v>
      </c>
      <c r="AG113" s="457">
        <v>0</v>
      </c>
      <c r="AH113" s="457">
        <v>0</v>
      </c>
      <c r="AI113" s="457">
        <v>0</v>
      </c>
      <c r="AJ113" s="457">
        <v>0</v>
      </c>
      <c r="AK113" s="457">
        <v>0</v>
      </c>
      <c r="AL113" s="457">
        <v>0</v>
      </c>
      <c r="AM113" s="457">
        <v>0</v>
      </c>
      <c r="AN113" s="457">
        <v>0</v>
      </c>
      <c r="AO113" s="457">
        <v>0</v>
      </c>
      <c r="AP113" s="457">
        <v>0</v>
      </c>
      <c r="AQ113" s="457">
        <v>0</v>
      </c>
      <c r="AR113" s="457">
        <v>0</v>
      </c>
      <c r="AS113" s="457">
        <v>0</v>
      </c>
      <c r="AT113" s="457">
        <v>0</v>
      </c>
      <c r="AU113" s="457">
        <v>0</v>
      </c>
      <c r="AV113" s="457">
        <v>0</v>
      </c>
      <c r="AW113" s="457">
        <v>0</v>
      </c>
      <c r="AX113" s="457">
        <v>0</v>
      </c>
      <c r="AY113" s="457">
        <v>0</v>
      </c>
      <c r="AZ113" s="457">
        <v>0</v>
      </c>
      <c r="BA113" s="457">
        <v>307165</v>
      </c>
      <c r="BB113" s="457">
        <v>266772</v>
      </c>
      <c r="BC113" s="457">
        <v>40393</v>
      </c>
      <c r="BD113" s="457">
        <v>69112</v>
      </c>
      <c r="BE113" s="457">
        <v>60024</v>
      </c>
      <c r="BF113" s="457">
        <v>9088</v>
      </c>
      <c r="BG113" s="457">
        <v>7679</v>
      </c>
      <c r="BH113" s="457">
        <v>6669</v>
      </c>
      <c r="BI113" s="457">
        <v>1010</v>
      </c>
    </row>
    <row r="114" spans="1:61" ht="12.75" x14ac:dyDescent="0.2">
      <c r="A114" s="446">
        <v>107</v>
      </c>
      <c r="B114" s="447" t="s">
        <v>97</v>
      </c>
      <c r="C114" s="448" t="s">
        <v>1093</v>
      </c>
      <c r="D114" s="449" t="s">
        <v>1102</v>
      </c>
      <c r="E114" s="450" t="s">
        <v>96</v>
      </c>
      <c r="F114" s="457">
        <v>50823040</v>
      </c>
      <c r="G114" s="457">
        <v>0</v>
      </c>
      <c r="H114" s="457">
        <v>0</v>
      </c>
      <c r="I114" s="457">
        <v>50823040</v>
      </c>
      <c r="J114" s="457">
        <v>51086459</v>
      </c>
      <c r="K114" s="457">
        <v>0</v>
      </c>
      <c r="L114" s="457">
        <v>0</v>
      </c>
      <c r="M114" s="457">
        <v>51086459</v>
      </c>
      <c r="N114" s="457">
        <v>-263419</v>
      </c>
      <c r="O114" s="457">
        <v>0</v>
      </c>
      <c r="P114" s="457">
        <v>0</v>
      </c>
      <c r="Q114" s="457">
        <v>-263419</v>
      </c>
      <c r="R114" s="457">
        <v>48090</v>
      </c>
      <c r="S114" s="457">
        <v>0</v>
      </c>
      <c r="T114" s="457">
        <v>0</v>
      </c>
      <c r="U114" s="457">
        <v>48090</v>
      </c>
      <c r="V114" s="457">
        <v>-311509</v>
      </c>
      <c r="W114" s="457">
        <v>0</v>
      </c>
      <c r="X114" s="457">
        <v>0</v>
      </c>
      <c r="Y114" s="457">
        <v>-311509</v>
      </c>
      <c r="Z114" s="457">
        <v>179973</v>
      </c>
      <c r="AA114" s="457">
        <v>179973</v>
      </c>
      <c r="AB114" s="457">
        <v>0</v>
      </c>
      <c r="AC114" s="457">
        <v>0</v>
      </c>
      <c r="AD114" s="457">
        <v>0</v>
      </c>
      <c r="AE114" s="457">
        <v>0</v>
      </c>
      <c r="AF114" s="457">
        <v>0</v>
      </c>
      <c r="AG114" s="457">
        <v>0</v>
      </c>
      <c r="AH114" s="457">
        <v>0</v>
      </c>
      <c r="AI114" s="457">
        <v>0</v>
      </c>
      <c r="AJ114" s="457">
        <v>0</v>
      </c>
      <c r="AK114" s="457">
        <v>0</v>
      </c>
      <c r="AL114" s="457">
        <v>0</v>
      </c>
      <c r="AM114" s="457">
        <v>0</v>
      </c>
      <c r="AN114" s="457">
        <v>0</v>
      </c>
      <c r="AO114" s="457">
        <v>0</v>
      </c>
      <c r="AP114" s="457">
        <v>0</v>
      </c>
      <c r="AQ114" s="457">
        <v>0</v>
      </c>
      <c r="AR114" s="457">
        <v>0</v>
      </c>
      <c r="AS114" s="457">
        <v>0</v>
      </c>
      <c r="AT114" s="457">
        <v>0</v>
      </c>
      <c r="AU114" s="457">
        <v>0</v>
      </c>
      <c r="AV114" s="457">
        <v>0</v>
      </c>
      <c r="AW114" s="457">
        <v>0</v>
      </c>
      <c r="AX114" s="457">
        <v>0</v>
      </c>
      <c r="AY114" s="457">
        <v>0</v>
      </c>
      <c r="AZ114" s="457">
        <v>0</v>
      </c>
      <c r="BA114" s="457">
        <v>342043</v>
      </c>
      <c r="BB114" s="457">
        <v>289525</v>
      </c>
      <c r="BC114" s="457">
        <v>52518</v>
      </c>
      <c r="BD114" s="457">
        <v>85511</v>
      </c>
      <c r="BE114" s="457">
        <v>72381</v>
      </c>
      <c r="BF114" s="457">
        <v>13130</v>
      </c>
      <c r="BG114" s="457">
        <v>0</v>
      </c>
      <c r="BH114" s="457">
        <v>0</v>
      </c>
      <c r="BI114" s="457">
        <v>0</v>
      </c>
    </row>
    <row r="115" spans="1:61" ht="12.75" x14ac:dyDescent="0.2">
      <c r="A115" s="446">
        <v>108</v>
      </c>
      <c r="B115" s="447" t="s">
        <v>99</v>
      </c>
      <c r="C115" s="448" t="s">
        <v>1093</v>
      </c>
      <c r="D115" s="449" t="s">
        <v>1094</v>
      </c>
      <c r="E115" s="450" t="s">
        <v>98</v>
      </c>
      <c r="F115" s="457">
        <v>17234124</v>
      </c>
      <c r="G115" s="457">
        <v>0</v>
      </c>
      <c r="H115" s="457">
        <v>484787</v>
      </c>
      <c r="I115" s="457">
        <v>17718911</v>
      </c>
      <c r="J115" s="457">
        <v>17253201</v>
      </c>
      <c r="K115" s="457">
        <v>0</v>
      </c>
      <c r="L115" s="457">
        <v>477936</v>
      </c>
      <c r="M115" s="457">
        <v>17731137</v>
      </c>
      <c r="N115" s="457">
        <v>-19077</v>
      </c>
      <c r="O115" s="457">
        <v>0</v>
      </c>
      <c r="P115" s="457">
        <v>6851</v>
      </c>
      <c r="Q115" s="457">
        <v>-12226</v>
      </c>
      <c r="R115" s="457">
        <v>99536</v>
      </c>
      <c r="S115" s="457">
        <v>0</v>
      </c>
      <c r="T115" s="457">
        <v>0</v>
      </c>
      <c r="U115" s="457">
        <v>99536</v>
      </c>
      <c r="V115" s="457">
        <v>-118613</v>
      </c>
      <c r="W115" s="457">
        <v>0</v>
      </c>
      <c r="X115" s="457">
        <v>6851</v>
      </c>
      <c r="Y115" s="457">
        <v>-111762</v>
      </c>
      <c r="Z115" s="457">
        <v>81989</v>
      </c>
      <c r="AA115" s="457">
        <v>81989</v>
      </c>
      <c r="AB115" s="457">
        <v>0</v>
      </c>
      <c r="AC115" s="457">
        <v>0</v>
      </c>
      <c r="AD115" s="457">
        <v>0</v>
      </c>
      <c r="AE115" s="457">
        <v>0</v>
      </c>
      <c r="AF115" s="457">
        <v>0</v>
      </c>
      <c r="AG115" s="457">
        <v>0</v>
      </c>
      <c r="AH115" s="457">
        <v>0</v>
      </c>
      <c r="AI115" s="457">
        <v>0</v>
      </c>
      <c r="AJ115" s="457">
        <v>0</v>
      </c>
      <c r="AK115" s="457">
        <v>0</v>
      </c>
      <c r="AL115" s="457">
        <v>0</v>
      </c>
      <c r="AM115" s="457">
        <v>0</v>
      </c>
      <c r="AN115" s="457">
        <v>0</v>
      </c>
      <c r="AO115" s="457">
        <v>110415</v>
      </c>
      <c r="AP115" s="457">
        <v>100000</v>
      </c>
      <c r="AQ115" s="457">
        <v>10415</v>
      </c>
      <c r="AR115" s="457">
        <v>110415</v>
      </c>
      <c r="AS115" s="457">
        <v>100000</v>
      </c>
      <c r="AT115" s="457">
        <v>10415</v>
      </c>
      <c r="AU115" s="457">
        <v>0</v>
      </c>
      <c r="AV115" s="457">
        <v>0</v>
      </c>
      <c r="AW115" s="457">
        <v>0</v>
      </c>
      <c r="AX115" s="457">
        <v>0</v>
      </c>
      <c r="AY115" s="457">
        <v>0</v>
      </c>
      <c r="AZ115" s="457">
        <v>0</v>
      </c>
      <c r="BA115" s="457">
        <v>259612</v>
      </c>
      <c r="BB115" s="457">
        <v>212726</v>
      </c>
      <c r="BC115" s="457">
        <v>46886</v>
      </c>
      <c r="BD115" s="457">
        <v>56131</v>
      </c>
      <c r="BE115" s="457">
        <v>47863</v>
      </c>
      <c r="BF115" s="457">
        <v>8268</v>
      </c>
      <c r="BG115" s="457">
        <v>6237</v>
      </c>
      <c r="BH115" s="457">
        <v>5318</v>
      </c>
      <c r="BI115" s="457">
        <v>919</v>
      </c>
    </row>
    <row r="116" spans="1:61" ht="12.75" x14ac:dyDescent="0.2">
      <c r="A116" s="446">
        <v>109</v>
      </c>
      <c r="B116" s="447" t="s">
        <v>101</v>
      </c>
      <c r="C116" s="448" t="s">
        <v>1093</v>
      </c>
      <c r="D116" s="449" t="s">
        <v>1094</v>
      </c>
      <c r="E116" s="450" t="s">
        <v>100</v>
      </c>
      <c r="F116" s="457">
        <v>22054884.399999999</v>
      </c>
      <c r="G116" s="457">
        <v>0</v>
      </c>
      <c r="H116" s="457">
        <v>0</v>
      </c>
      <c r="I116" s="457">
        <v>22054884.399999999</v>
      </c>
      <c r="J116" s="457">
        <v>22162713</v>
      </c>
      <c r="K116" s="457">
        <v>0</v>
      </c>
      <c r="L116" s="457">
        <v>0</v>
      </c>
      <c r="M116" s="457">
        <v>22162713</v>
      </c>
      <c r="N116" s="457">
        <v>-107828.69</v>
      </c>
      <c r="O116" s="457">
        <v>0</v>
      </c>
      <c r="P116" s="457">
        <v>0</v>
      </c>
      <c r="Q116" s="457">
        <v>-107828.69</v>
      </c>
      <c r="R116" s="457">
        <v>67983</v>
      </c>
      <c r="S116" s="457">
        <v>0</v>
      </c>
      <c r="T116" s="457">
        <v>0</v>
      </c>
      <c r="U116" s="457">
        <v>67983</v>
      </c>
      <c r="V116" s="457">
        <v>-175812</v>
      </c>
      <c r="W116" s="457">
        <v>0</v>
      </c>
      <c r="X116" s="457">
        <v>0</v>
      </c>
      <c r="Y116" s="457">
        <v>-175812</v>
      </c>
      <c r="Z116" s="457">
        <v>98428</v>
      </c>
      <c r="AA116" s="457">
        <v>98428</v>
      </c>
      <c r="AB116" s="457">
        <v>0</v>
      </c>
      <c r="AC116" s="457">
        <v>0</v>
      </c>
      <c r="AD116" s="457">
        <v>0</v>
      </c>
      <c r="AE116" s="457">
        <v>0</v>
      </c>
      <c r="AF116" s="457">
        <v>0</v>
      </c>
      <c r="AG116" s="457">
        <v>0</v>
      </c>
      <c r="AH116" s="457">
        <v>0</v>
      </c>
      <c r="AI116" s="457">
        <v>0</v>
      </c>
      <c r="AJ116" s="457">
        <v>0</v>
      </c>
      <c r="AK116" s="457">
        <v>0</v>
      </c>
      <c r="AL116" s="457">
        <v>0</v>
      </c>
      <c r="AM116" s="457">
        <v>0</v>
      </c>
      <c r="AN116" s="457">
        <v>0</v>
      </c>
      <c r="AO116" s="457">
        <v>0</v>
      </c>
      <c r="AP116" s="457">
        <v>0</v>
      </c>
      <c r="AQ116" s="457">
        <v>0</v>
      </c>
      <c r="AR116" s="457">
        <v>0</v>
      </c>
      <c r="AS116" s="457">
        <v>0</v>
      </c>
      <c r="AT116" s="457">
        <v>0</v>
      </c>
      <c r="AU116" s="457">
        <v>0</v>
      </c>
      <c r="AV116" s="457">
        <v>0</v>
      </c>
      <c r="AW116" s="457">
        <v>0</v>
      </c>
      <c r="AX116" s="457">
        <v>0</v>
      </c>
      <c r="AY116" s="457">
        <v>0</v>
      </c>
      <c r="AZ116" s="457">
        <v>0</v>
      </c>
      <c r="BA116" s="457">
        <v>281809</v>
      </c>
      <c r="BB116" s="457">
        <v>231496</v>
      </c>
      <c r="BC116" s="457">
        <v>50313</v>
      </c>
      <c r="BD116" s="457">
        <v>63407</v>
      </c>
      <c r="BE116" s="457">
        <v>52087</v>
      </c>
      <c r="BF116" s="457">
        <v>11320</v>
      </c>
      <c r="BG116" s="457">
        <v>7045</v>
      </c>
      <c r="BH116" s="457">
        <v>5787</v>
      </c>
      <c r="BI116" s="457">
        <v>1258</v>
      </c>
    </row>
    <row r="117" spans="1:61" ht="12.75" x14ac:dyDescent="0.2">
      <c r="A117" s="446">
        <v>110</v>
      </c>
      <c r="B117" s="447" t="s">
        <v>103</v>
      </c>
      <c r="C117" s="448" t="s">
        <v>1093</v>
      </c>
      <c r="D117" s="449" t="s">
        <v>1097</v>
      </c>
      <c r="E117" s="450" t="s">
        <v>102</v>
      </c>
      <c r="F117" s="457">
        <v>29511107</v>
      </c>
      <c r="G117" s="457">
        <v>0</v>
      </c>
      <c r="H117" s="457">
        <v>56000</v>
      </c>
      <c r="I117" s="457">
        <v>29567107</v>
      </c>
      <c r="J117" s="457">
        <v>29048289</v>
      </c>
      <c r="K117" s="457">
        <v>0</v>
      </c>
      <c r="L117" s="457">
        <v>0</v>
      </c>
      <c r="M117" s="457">
        <v>29048289</v>
      </c>
      <c r="N117" s="457">
        <v>462818</v>
      </c>
      <c r="O117" s="457">
        <v>0</v>
      </c>
      <c r="P117" s="457">
        <v>56000</v>
      </c>
      <c r="Q117" s="457">
        <v>518818</v>
      </c>
      <c r="R117" s="457">
        <v>-564327</v>
      </c>
      <c r="S117" s="457">
        <v>0</v>
      </c>
      <c r="T117" s="457">
        <v>0</v>
      </c>
      <c r="U117" s="457">
        <v>-564327</v>
      </c>
      <c r="V117" s="457">
        <v>1027145</v>
      </c>
      <c r="W117" s="457">
        <v>0</v>
      </c>
      <c r="X117" s="457">
        <v>56000</v>
      </c>
      <c r="Y117" s="457">
        <v>1083145</v>
      </c>
      <c r="Z117" s="457">
        <v>185992</v>
      </c>
      <c r="AA117" s="457">
        <v>185992</v>
      </c>
      <c r="AB117" s="457">
        <v>0</v>
      </c>
      <c r="AC117" s="457">
        <v>0</v>
      </c>
      <c r="AD117" s="457">
        <v>0</v>
      </c>
      <c r="AE117" s="457">
        <v>0</v>
      </c>
      <c r="AF117" s="457">
        <v>0</v>
      </c>
      <c r="AG117" s="457">
        <v>0</v>
      </c>
      <c r="AH117" s="457">
        <v>0</v>
      </c>
      <c r="AI117" s="457">
        <v>0</v>
      </c>
      <c r="AJ117" s="457">
        <v>0</v>
      </c>
      <c r="AK117" s="457">
        <v>0</v>
      </c>
      <c r="AL117" s="457">
        <v>0</v>
      </c>
      <c r="AM117" s="457">
        <v>0</v>
      </c>
      <c r="AN117" s="457">
        <v>0</v>
      </c>
      <c r="AO117" s="457">
        <v>349878</v>
      </c>
      <c r="AP117" s="457">
        <v>200384</v>
      </c>
      <c r="AQ117" s="457">
        <v>149494</v>
      </c>
      <c r="AR117" s="457">
        <v>349878</v>
      </c>
      <c r="AS117" s="457">
        <v>0</v>
      </c>
      <c r="AT117" s="457">
        <v>349878</v>
      </c>
      <c r="AU117" s="457">
        <v>0</v>
      </c>
      <c r="AV117" s="457">
        <v>0</v>
      </c>
      <c r="AW117" s="457">
        <v>0</v>
      </c>
      <c r="AX117" s="457">
        <v>0</v>
      </c>
      <c r="AY117" s="457">
        <v>0</v>
      </c>
      <c r="AZ117" s="457">
        <v>0</v>
      </c>
      <c r="BA117" s="457">
        <v>495217</v>
      </c>
      <c r="BB117" s="457">
        <v>427591</v>
      </c>
      <c r="BC117" s="457">
        <v>67626</v>
      </c>
      <c r="BD117" s="457">
        <v>123804</v>
      </c>
      <c r="BE117" s="457">
        <v>106898</v>
      </c>
      <c r="BF117" s="457">
        <v>16906</v>
      </c>
      <c r="BG117" s="457">
        <v>0</v>
      </c>
      <c r="BH117" s="457">
        <v>0</v>
      </c>
      <c r="BI117" s="457">
        <v>0</v>
      </c>
    </row>
    <row r="118" spans="1:61" ht="12.75" x14ac:dyDescent="0.2">
      <c r="A118" s="446">
        <v>111</v>
      </c>
      <c r="B118" s="447" t="s">
        <v>105</v>
      </c>
      <c r="C118" s="448" t="s">
        <v>1104</v>
      </c>
      <c r="D118" s="449" t="s">
        <v>1099</v>
      </c>
      <c r="E118" s="450" t="s">
        <v>104</v>
      </c>
      <c r="F118" s="457">
        <v>69286248</v>
      </c>
      <c r="G118" s="457">
        <v>0</v>
      </c>
      <c r="H118" s="457">
        <v>0</v>
      </c>
      <c r="I118" s="457">
        <v>69286248</v>
      </c>
      <c r="J118" s="457">
        <v>69448257</v>
      </c>
      <c r="K118" s="457">
        <v>0</v>
      </c>
      <c r="L118" s="457">
        <v>0</v>
      </c>
      <c r="M118" s="457">
        <v>69448257</v>
      </c>
      <c r="N118" s="457">
        <v>-162009</v>
      </c>
      <c r="O118" s="457">
        <v>0</v>
      </c>
      <c r="P118" s="457">
        <v>0</v>
      </c>
      <c r="Q118" s="457">
        <v>-162009</v>
      </c>
      <c r="R118" s="457">
        <v>24385</v>
      </c>
      <c r="S118" s="457">
        <v>0</v>
      </c>
      <c r="T118" s="457">
        <v>0</v>
      </c>
      <c r="U118" s="457">
        <v>24385</v>
      </c>
      <c r="V118" s="457">
        <v>-186394</v>
      </c>
      <c r="W118" s="457">
        <v>0</v>
      </c>
      <c r="X118" s="457">
        <v>0</v>
      </c>
      <c r="Y118" s="457">
        <v>-186394</v>
      </c>
      <c r="Z118" s="457">
        <v>275906</v>
      </c>
      <c r="AA118" s="457">
        <v>275906</v>
      </c>
      <c r="AB118" s="457">
        <v>0</v>
      </c>
      <c r="AC118" s="457">
        <v>0</v>
      </c>
      <c r="AD118" s="457">
        <v>0</v>
      </c>
      <c r="AE118" s="457">
        <v>0</v>
      </c>
      <c r="AF118" s="457">
        <v>0</v>
      </c>
      <c r="AG118" s="457">
        <v>0</v>
      </c>
      <c r="AH118" s="457">
        <v>0</v>
      </c>
      <c r="AI118" s="457">
        <v>0</v>
      </c>
      <c r="AJ118" s="457">
        <v>0</v>
      </c>
      <c r="AK118" s="457">
        <v>0</v>
      </c>
      <c r="AL118" s="457">
        <v>0</v>
      </c>
      <c r="AM118" s="457">
        <v>0</v>
      </c>
      <c r="AN118" s="457">
        <v>0</v>
      </c>
      <c r="AO118" s="457">
        <v>0</v>
      </c>
      <c r="AP118" s="457">
        <v>0</v>
      </c>
      <c r="AQ118" s="457">
        <v>0</v>
      </c>
      <c r="AR118" s="457">
        <v>0</v>
      </c>
      <c r="AS118" s="457">
        <v>0</v>
      </c>
      <c r="AT118" s="457">
        <v>0</v>
      </c>
      <c r="AU118" s="457">
        <v>0</v>
      </c>
      <c r="AV118" s="457">
        <v>0</v>
      </c>
      <c r="AW118" s="457">
        <v>0</v>
      </c>
      <c r="AX118" s="457">
        <v>0</v>
      </c>
      <c r="AY118" s="457">
        <v>0</v>
      </c>
      <c r="AZ118" s="457">
        <v>0</v>
      </c>
      <c r="BA118" s="457">
        <v>468788</v>
      </c>
      <c r="BB118" s="457">
        <v>402827</v>
      </c>
      <c r="BC118" s="457">
        <v>65961</v>
      </c>
      <c r="BD118" s="457">
        <v>312525</v>
      </c>
      <c r="BE118" s="457">
        <v>268551</v>
      </c>
      <c r="BF118" s="457">
        <v>43974</v>
      </c>
      <c r="BG118" s="457">
        <v>0</v>
      </c>
      <c r="BH118" s="457">
        <v>0</v>
      </c>
      <c r="BI118" s="457">
        <v>0</v>
      </c>
    </row>
    <row r="119" spans="1:61" ht="12.75" x14ac:dyDescent="0.2">
      <c r="A119" s="446">
        <v>112</v>
      </c>
      <c r="B119" s="447" t="s">
        <v>107</v>
      </c>
      <c r="C119" s="448" t="s">
        <v>1093</v>
      </c>
      <c r="D119" s="449" t="s">
        <v>1094</v>
      </c>
      <c r="E119" s="450" t="s">
        <v>106</v>
      </c>
      <c r="F119" s="457">
        <v>78037055</v>
      </c>
      <c r="G119" s="457">
        <v>0</v>
      </c>
      <c r="H119" s="457">
        <v>0</v>
      </c>
      <c r="I119" s="457">
        <v>78037055</v>
      </c>
      <c r="J119" s="457">
        <v>78648583</v>
      </c>
      <c r="K119" s="457">
        <v>0</v>
      </c>
      <c r="L119" s="457">
        <v>0</v>
      </c>
      <c r="M119" s="457">
        <v>78648583</v>
      </c>
      <c r="N119" s="457">
        <v>-611528</v>
      </c>
      <c r="O119" s="457">
        <v>0</v>
      </c>
      <c r="P119" s="457">
        <v>0</v>
      </c>
      <c r="Q119" s="457">
        <v>-611528</v>
      </c>
      <c r="R119" s="457">
        <v>-148638</v>
      </c>
      <c r="S119" s="457">
        <v>0</v>
      </c>
      <c r="T119" s="457">
        <v>0</v>
      </c>
      <c r="U119" s="457">
        <v>-148638</v>
      </c>
      <c r="V119" s="457">
        <v>-462890</v>
      </c>
      <c r="W119" s="457">
        <v>0</v>
      </c>
      <c r="X119" s="457">
        <v>0</v>
      </c>
      <c r="Y119" s="457">
        <v>-462890</v>
      </c>
      <c r="Z119" s="457">
        <v>237981</v>
      </c>
      <c r="AA119" s="457">
        <v>237981</v>
      </c>
      <c r="AB119" s="457">
        <v>0</v>
      </c>
      <c r="AC119" s="457">
        <v>0</v>
      </c>
      <c r="AD119" s="457">
        <v>0</v>
      </c>
      <c r="AE119" s="457">
        <v>0</v>
      </c>
      <c r="AF119" s="457">
        <v>0</v>
      </c>
      <c r="AG119" s="457">
        <v>0</v>
      </c>
      <c r="AH119" s="457">
        <v>0</v>
      </c>
      <c r="AI119" s="457">
        <v>0</v>
      </c>
      <c r="AJ119" s="457">
        <v>0</v>
      </c>
      <c r="AK119" s="457">
        <v>0</v>
      </c>
      <c r="AL119" s="457">
        <v>0</v>
      </c>
      <c r="AM119" s="457">
        <v>0</v>
      </c>
      <c r="AN119" s="457">
        <v>0</v>
      </c>
      <c r="AO119" s="457">
        <v>0</v>
      </c>
      <c r="AP119" s="457">
        <v>0</v>
      </c>
      <c r="AQ119" s="457">
        <v>0</v>
      </c>
      <c r="AR119" s="457">
        <v>0</v>
      </c>
      <c r="AS119" s="457">
        <v>0</v>
      </c>
      <c r="AT119" s="457">
        <v>0</v>
      </c>
      <c r="AU119" s="457">
        <v>0</v>
      </c>
      <c r="AV119" s="457">
        <v>0</v>
      </c>
      <c r="AW119" s="457">
        <v>0</v>
      </c>
      <c r="AX119" s="457">
        <v>0</v>
      </c>
      <c r="AY119" s="457">
        <v>0</v>
      </c>
      <c r="AZ119" s="457">
        <v>0</v>
      </c>
      <c r="BA119" s="457">
        <v>323105</v>
      </c>
      <c r="BB119" s="457">
        <v>273530</v>
      </c>
      <c r="BC119" s="457">
        <v>49575</v>
      </c>
      <c r="BD119" s="457">
        <v>80776</v>
      </c>
      <c r="BE119" s="457">
        <v>68383</v>
      </c>
      <c r="BF119" s="457">
        <v>12393</v>
      </c>
      <c r="BG119" s="457">
        <v>0</v>
      </c>
      <c r="BH119" s="457">
        <v>0</v>
      </c>
      <c r="BI119" s="457">
        <v>0</v>
      </c>
    </row>
    <row r="120" spans="1:61" ht="12.75" x14ac:dyDescent="0.2">
      <c r="A120" s="446">
        <v>113</v>
      </c>
      <c r="B120" s="447" t="s">
        <v>109</v>
      </c>
      <c r="C120" s="448" t="s">
        <v>1104</v>
      </c>
      <c r="D120" s="449" t="s">
        <v>1099</v>
      </c>
      <c r="E120" s="450" t="s">
        <v>108</v>
      </c>
      <c r="F120" s="457">
        <v>88146910</v>
      </c>
      <c r="G120" s="457">
        <v>0</v>
      </c>
      <c r="H120" s="457">
        <v>0</v>
      </c>
      <c r="I120" s="457">
        <v>88146910</v>
      </c>
      <c r="J120" s="457">
        <v>87482869</v>
      </c>
      <c r="K120" s="457">
        <v>0</v>
      </c>
      <c r="L120" s="457">
        <v>0</v>
      </c>
      <c r="M120" s="457">
        <v>87482869</v>
      </c>
      <c r="N120" s="457">
        <v>664041</v>
      </c>
      <c r="O120" s="457">
        <v>0</v>
      </c>
      <c r="P120" s="457">
        <v>0</v>
      </c>
      <c r="Q120" s="457">
        <v>664041</v>
      </c>
      <c r="R120" s="457">
        <v>-1529309</v>
      </c>
      <c r="S120" s="457">
        <v>0</v>
      </c>
      <c r="T120" s="457">
        <v>0</v>
      </c>
      <c r="U120" s="457">
        <v>-1529309</v>
      </c>
      <c r="V120" s="457">
        <v>2193350</v>
      </c>
      <c r="W120" s="457">
        <v>0</v>
      </c>
      <c r="X120" s="457">
        <v>0</v>
      </c>
      <c r="Y120" s="457">
        <v>2193350</v>
      </c>
      <c r="Z120" s="457">
        <v>506812</v>
      </c>
      <c r="AA120" s="457">
        <v>506812</v>
      </c>
      <c r="AB120" s="457">
        <v>0</v>
      </c>
      <c r="AC120" s="457">
        <v>0</v>
      </c>
      <c r="AD120" s="457">
        <v>0</v>
      </c>
      <c r="AE120" s="457">
        <v>0</v>
      </c>
      <c r="AF120" s="457">
        <v>0</v>
      </c>
      <c r="AG120" s="457">
        <v>0</v>
      </c>
      <c r="AH120" s="457">
        <v>0</v>
      </c>
      <c r="AI120" s="457">
        <v>0</v>
      </c>
      <c r="AJ120" s="457">
        <v>0</v>
      </c>
      <c r="AK120" s="457">
        <v>0</v>
      </c>
      <c r="AL120" s="457">
        <v>0</v>
      </c>
      <c r="AM120" s="457">
        <v>0</v>
      </c>
      <c r="AN120" s="457">
        <v>0</v>
      </c>
      <c r="AO120" s="457">
        <v>0</v>
      </c>
      <c r="AP120" s="457">
        <v>0</v>
      </c>
      <c r="AQ120" s="457">
        <v>0</v>
      </c>
      <c r="AR120" s="457">
        <v>0</v>
      </c>
      <c r="AS120" s="457">
        <v>0</v>
      </c>
      <c r="AT120" s="457">
        <v>0</v>
      </c>
      <c r="AU120" s="457">
        <v>0</v>
      </c>
      <c r="AV120" s="457">
        <v>0</v>
      </c>
      <c r="AW120" s="457">
        <v>0</v>
      </c>
      <c r="AX120" s="457">
        <v>0</v>
      </c>
      <c r="AY120" s="457">
        <v>0</v>
      </c>
      <c r="AZ120" s="457">
        <v>0</v>
      </c>
      <c r="BA120" s="457">
        <v>742217</v>
      </c>
      <c r="BB120" s="457">
        <v>648445</v>
      </c>
      <c r="BC120" s="457">
        <v>93772</v>
      </c>
      <c r="BD120" s="457">
        <v>494812</v>
      </c>
      <c r="BE120" s="457">
        <v>432297</v>
      </c>
      <c r="BF120" s="457">
        <v>62515</v>
      </c>
      <c r="BG120" s="457">
        <v>0</v>
      </c>
      <c r="BH120" s="457">
        <v>0</v>
      </c>
      <c r="BI120" s="457">
        <v>0</v>
      </c>
    </row>
    <row r="121" spans="1:61" ht="12.75" x14ac:dyDescent="0.2">
      <c r="A121" s="446">
        <v>114</v>
      </c>
      <c r="B121" s="447" t="s">
        <v>111</v>
      </c>
      <c r="C121" s="448" t="s">
        <v>794</v>
      </c>
      <c r="D121" s="449" t="s">
        <v>1095</v>
      </c>
      <c r="E121" s="450" t="s">
        <v>717</v>
      </c>
      <c r="F121" s="457">
        <v>50047685</v>
      </c>
      <c r="G121" s="457">
        <v>0</v>
      </c>
      <c r="H121" s="457">
        <v>0</v>
      </c>
      <c r="I121" s="457">
        <v>50047685</v>
      </c>
      <c r="J121" s="457">
        <v>49727352</v>
      </c>
      <c r="K121" s="457">
        <v>0</v>
      </c>
      <c r="L121" s="457">
        <v>0</v>
      </c>
      <c r="M121" s="457">
        <v>49727352</v>
      </c>
      <c r="N121" s="457">
        <v>320333</v>
      </c>
      <c r="O121" s="457">
        <v>0</v>
      </c>
      <c r="P121" s="457">
        <v>0</v>
      </c>
      <c r="Q121" s="457">
        <v>320333</v>
      </c>
      <c r="R121" s="457">
        <v>1226385</v>
      </c>
      <c r="S121" s="457">
        <v>0</v>
      </c>
      <c r="T121" s="457">
        <v>0</v>
      </c>
      <c r="U121" s="457">
        <v>1226385</v>
      </c>
      <c r="V121" s="457">
        <v>-906052</v>
      </c>
      <c r="W121" s="457">
        <v>0</v>
      </c>
      <c r="X121" s="457">
        <v>0</v>
      </c>
      <c r="Y121" s="457">
        <v>-906052</v>
      </c>
      <c r="Z121" s="457">
        <v>166596</v>
      </c>
      <c r="AA121" s="457">
        <v>166596</v>
      </c>
      <c r="AB121" s="457">
        <v>0</v>
      </c>
      <c r="AC121" s="457">
        <v>0</v>
      </c>
      <c r="AD121" s="457">
        <v>0</v>
      </c>
      <c r="AE121" s="457">
        <v>0</v>
      </c>
      <c r="AF121" s="457">
        <v>0</v>
      </c>
      <c r="AG121" s="457">
        <v>0</v>
      </c>
      <c r="AH121" s="457">
        <v>0</v>
      </c>
      <c r="AI121" s="457">
        <v>0</v>
      </c>
      <c r="AJ121" s="457">
        <v>0</v>
      </c>
      <c r="AK121" s="457">
        <v>0</v>
      </c>
      <c r="AL121" s="457">
        <v>0</v>
      </c>
      <c r="AM121" s="457">
        <v>0</v>
      </c>
      <c r="AN121" s="457">
        <v>0</v>
      </c>
      <c r="AO121" s="457">
        <v>148633</v>
      </c>
      <c r="AP121" s="457">
        <v>81786</v>
      </c>
      <c r="AQ121" s="457">
        <v>66847</v>
      </c>
      <c r="AR121" s="457">
        <v>148321</v>
      </c>
      <c r="AS121" s="457">
        <v>0</v>
      </c>
      <c r="AT121" s="457">
        <v>148321</v>
      </c>
      <c r="AU121" s="457">
        <v>0</v>
      </c>
      <c r="AV121" s="457">
        <v>0</v>
      </c>
      <c r="AW121" s="457">
        <v>0</v>
      </c>
      <c r="AX121" s="457">
        <v>312</v>
      </c>
      <c r="AY121" s="457">
        <v>1637</v>
      </c>
      <c r="AZ121" s="457">
        <v>-1325</v>
      </c>
      <c r="BA121" s="457">
        <v>429777</v>
      </c>
      <c r="BB121" s="457">
        <v>353035</v>
      </c>
      <c r="BC121" s="457">
        <v>76742</v>
      </c>
      <c r="BD121" s="457">
        <v>0</v>
      </c>
      <c r="BE121" s="457">
        <v>0</v>
      </c>
      <c r="BF121" s="457">
        <v>0</v>
      </c>
      <c r="BG121" s="457">
        <v>8771</v>
      </c>
      <c r="BH121" s="457">
        <v>7205</v>
      </c>
      <c r="BI121" s="457">
        <v>1566</v>
      </c>
    </row>
    <row r="122" spans="1:61" ht="12.75" x14ac:dyDescent="0.2">
      <c r="A122" s="446">
        <v>115</v>
      </c>
      <c r="B122" s="447" t="s">
        <v>113</v>
      </c>
      <c r="C122" s="448" t="s">
        <v>1093</v>
      </c>
      <c r="D122" s="449" t="s">
        <v>1101</v>
      </c>
      <c r="E122" s="450" t="s">
        <v>112</v>
      </c>
      <c r="F122" s="457">
        <v>30508837</v>
      </c>
      <c r="G122" s="457">
        <v>0</v>
      </c>
      <c r="H122" s="457">
        <v>0</v>
      </c>
      <c r="I122" s="457">
        <v>30508837</v>
      </c>
      <c r="J122" s="457">
        <v>30585002</v>
      </c>
      <c r="K122" s="457">
        <v>0</v>
      </c>
      <c r="L122" s="457">
        <v>0</v>
      </c>
      <c r="M122" s="457">
        <v>30585002</v>
      </c>
      <c r="N122" s="457">
        <v>-76165</v>
      </c>
      <c r="O122" s="457">
        <v>0</v>
      </c>
      <c r="P122" s="457">
        <v>0</v>
      </c>
      <c r="Q122" s="457">
        <v>-76165</v>
      </c>
      <c r="R122" s="457">
        <v>62999</v>
      </c>
      <c r="S122" s="457">
        <v>0</v>
      </c>
      <c r="T122" s="457">
        <v>0</v>
      </c>
      <c r="U122" s="457">
        <v>62999</v>
      </c>
      <c r="V122" s="457">
        <v>-139164</v>
      </c>
      <c r="W122" s="457">
        <v>0</v>
      </c>
      <c r="X122" s="457">
        <v>0</v>
      </c>
      <c r="Y122" s="457">
        <v>-139164</v>
      </c>
      <c r="Z122" s="457">
        <v>154279</v>
      </c>
      <c r="AA122" s="457">
        <v>154279</v>
      </c>
      <c r="AB122" s="457">
        <v>0</v>
      </c>
      <c r="AC122" s="457">
        <v>0</v>
      </c>
      <c r="AD122" s="457">
        <v>0</v>
      </c>
      <c r="AE122" s="457">
        <v>0</v>
      </c>
      <c r="AF122" s="457">
        <v>0</v>
      </c>
      <c r="AG122" s="457">
        <v>0</v>
      </c>
      <c r="AH122" s="457">
        <v>0</v>
      </c>
      <c r="AI122" s="457">
        <v>0</v>
      </c>
      <c r="AJ122" s="457">
        <v>0</v>
      </c>
      <c r="AK122" s="457">
        <v>0</v>
      </c>
      <c r="AL122" s="457">
        <v>0</v>
      </c>
      <c r="AM122" s="457">
        <v>0</v>
      </c>
      <c r="AN122" s="457">
        <v>0</v>
      </c>
      <c r="AO122" s="457">
        <v>0</v>
      </c>
      <c r="AP122" s="457">
        <v>0</v>
      </c>
      <c r="AQ122" s="457">
        <v>0</v>
      </c>
      <c r="AR122" s="457">
        <v>0</v>
      </c>
      <c r="AS122" s="457">
        <v>0</v>
      </c>
      <c r="AT122" s="457">
        <v>0</v>
      </c>
      <c r="AU122" s="457">
        <v>0</v>
      </c>
      <c r="AV122" s="457">
        <v>0</v>
      </c>
      <c r="AW122" s="457">
        <v>0</v>
      </c>
      <c r="AX122" s="457">
        <v>0</v>
      </c>
      <c r="AY122" s="457">
        <v>0</v>
      </c>
      <c r="AZ122" s="457">
        <v>0</v>
      </c>
      <c r="BA122" s="457">
        <v>475056</v>
      </c>
      <c r="BB122" s="457">
        <v>402490</v>
      </c>
      <c r="BC122" s="457">
        <v>72566</v>
      </c>
      <c r="BD122" s="457">
        <v>106888</v>
      </c>
      <c r="BE122" s="457">
        <v>90560</v>
      </c>
      <c r="BF122" s="457">
        <v>16328</v>
      </c>
      <c r="BG122" s="457">
        <v>11876</v>
      </c>
      <c r="BH122" s="457">
        <v>10062</v>
      </c>
      <c r="BI122" s="457">
        <v>1814</v>
      </c>
    </row>
    <row r="123" spans="1:61" ht="12.75" x14ac:dyDescent="0.2">
      <c r="A123" s="446">
        <v>116</v>
      </c>
      <c r="B123" s="447" t="s">
        <v>115</v>
      </c>
      <c r="C123" s="448" t="s">
        <v>1104</v>
      </c>
      <c r="D123" s="449" t="s">
        <v>1099</v>
      </c>
      <c r="E123" s="450" t="s">
        <v>718</v>
      </c>
      <c r="F123" s="457">
        <v>187755270</v>
      </c>
      <c r="G123" s="457">
        <v>0</v>
      </c>
      <c r="H123" s="457">
        <v>0</v>
      </c>
      <c r="I123" s="457">
        <v>187755270</v>
      </c>
      <c r="J123" s="457">
        <v>186249583</v>
      </c>
      <c r="K123" s="457">
        <v>0</v>
      </c>
      <c r="L123" s="457">
        <v>0</v>
      </c>
      <c r="M123" s="457">
        <v>186249583</v>
      </c>
      <c r="N123" s="457">
        <v>1505687</v>
      </c>
      <c r="O123" s="457">
        <v>0</v>
      </c>
      <c r="P123" s="457">
        <v>0</v>
      </c>
      <c r="Q123" s="457">
        <v>1505687</v>
      </c>
      <c r="R123" s="457">
        <v>287347</v>
      </c>
      <c r="S123" s="457">
        <v>0</v>
      </c>
      <c r="T123" s="457">
        <v>0</v>
      </c>
      <c r="U123" s="457">
        <v>287347</v>
      </c>
      <c r="V123" s="457">
        <v>1218340</v>
      </c>
      <c r="W123" s="457">
        <v>0</v>
      </c>
      <c r="X123" s="457">
        <v>0</v>
      </c>
      <c r="Y123" s="457">
        <v>1218340</v>
      </c>
      <c r="Z123" s="457">
        <v>574203</v>
      </c>
      <c r="AA123" s="457">
        <v>574203</v>
      </c>
      <c r="AB123" s="457">
        <v>0</v>
      </c>
      <c r="AC123" s="457">
        <v>0</v>
      </c>
      <c r="AD123" s="457">
        <v>0</v>
      </c>
      <c r="AE123" s="457">
        <v>0</v>
      </c>
      <c r="AF123" s="457">
        <v>0</v>
      </c>
      <c r="AG123" s="457">
        <v>0</v>
      </c>
      <c r="AH123" s="457">
        <v>0</v>
      </c>
      <c r="AI123" s="457">
        <v>0</v>
      </c>
      <c r="AJ123" s="457">
        <v>0</v>
      </c>
      <c r="AK123" s="457">
        <v>0</v>
      </c>
      <c r="AL123" s="457">
        <v>0</v>
      </c>
      <c r="AM123" s="457">
        <v>0</v>
      </c>
      <c r="AN123" s="457">
        <v>0</v>
      </c>
      <c r="AO123" s="457">
        <v>0</v>
      </c>
      <c r="AP123" s="457">
        <v>0</v>
      </c>
      <c r="AQ123" s="457">
        <v>0</v>
      </c>
      <c r="AR123" s="457">
        <v>0</v>
      </c>
      <c r="AS123" s="457">
        <v>0</v>
      </c>
      <c r="AT123" s="457">
        <v>0</v>
      </c>
      <c r="AU123" s="457">
        <v>0</v>
      </c>
      <c r="AV123" s="457">
        <v>0</v>
      </c>
      <c r="AW123" s="457">
        <v>0</v>
      </c>
      <c r="AX123" s="457">
        <v>0</v>
      </c>
      <c r="AY123" s="457">
        <v>0</v>
      </c>
      <c r="AZ123" s="457">
        <v>0</v>
      </c>
      <c r="BA123" s="457">
        <v>315080</v>
      </c>
      <c r="BB123" s="457">
        <v>247907</v>
      </c>
      <c r="BC123" s="457">
        <v>67173</v>
      </c>
      <c r="BD123" s="457">
        <v>210053</v>
      </c>
      <c r="BE123" s="457">
        <v>165271</v>
      </c>
      <c r="BF123" s="457">
        <v>44782</v>
      </c>
      <c r="BG123" s="457">
        <v>0</v>
      </c>
      <c r="BH123" s="457">
        <v>0</v>
      </c>
      <c r="BI123" s="457">
        <v>0</v>
      </c>
    </row>
    <row r="124" spans="1:61" ht="12.75" x14ac:dyDescent="0.2">
      <c r="A124" s="446">
        <v>117</v>
      </c>
      <c r="B124" s="447" t="s">
        <v>117</v>
      </c>
      <c r="C124" s="448" t="s">
        <v>1093</v>
      </c>
      <c r="D124" s="449" t="s">
        <v>1096</v>
      </c>
      <c r="E124" s="450" t="s">
        <v>116</v>
      </c>
      <c r="F124" s="457">
        <v>36496660.899999999</v>
      </c>
      <c r="G124" s="457">
        <v>0</v>
      </c>
      <c r="H124" s="457">
        <v>0</v>
      </c>
      <c r="I124" s="457">
        <v>36496660.899999999</v>
      </c>
      <c r="J124" s="457">
        <v>36533248.200000003</v>
      </c>
      <c r="K124" s="457">
        <v>0</v>
      </c>
      <c r="L124" s="457">
        <v>0</v>
      </c>
      <c r="M124" s="457">
        <v>36533248.200000003</v>
      </c>
      <c r="N124" s="457">
        <v>-36857</v>
      </c>
      <c r="O124" s="457">
        <v>0</v>
      </c>
      <c r="P124" s="457">
        <v>0</v>
      </c>
      <c r="Q124" s="457">
        <v>-36857</v>
      </c>
      <c r="R124" s="457">
        <v>19998</v>
      </c>
      <c r="S124" s="457">
        <v>0</v>
      </c>
      <c r="T124" s="457">
        <v>0</v>
      </c>
      <c r="U124" s="457">
        <v>19998</v>
      </c>
      <c r="V124" s="457">
        <v>-56855</v>
      </c>
      <c r="W124" s="457">
        <v>0</v>
      </c>
      <c r="X124" s="457">
        <v>0</v>
      </c>
      <c r="Y124" s="457">
        <v>-56855</v>
      </c>
      <c r="Z124" s="457">
        <v>123350</v>
      </c>
      <c r="AA124" s="457">
        <v>123350</v>
      </c>
      <c r="AB124" s="457">
        <v>0</v>
      </c>
      <c r="AC124" s="457">
        <v>0</v>
      </c>
      <c r="AD124" s="457">
        <v>0</v>
      </c>
      <c r="AE124" s="457">
        <v>0</v>
      </c>
      <c r="AF124" s="457">
        <v>0</v>
      </c>
      <c r="AG124" s="457">
        <v>0</v>
      </c>
      <c r="AH124" s="457">
        <v>0</v>
      </c>
      <c r="AI124" s="457">
        <v>0</v>
      </c>
      <c r="AJ124" s="457">
        <v>0</v>
      </c>
      <c r="AK124" s="457">
        <v>0</v>
      </c>
      <c r="AL124" s="457">
        <v>0</v>
      </c>
      <c r="AM124" s="457">
        <v>0</v>
      </c>
      <c r="AN124" s="457">
        <v>0</v>
      </c>
      <c r="AO124" s="457">
        <v>0</v>
      </c>
      <c r="AP124" s="457">
        <v>0</v>
      </c>
      <c r="AQ124" s="457">
        <v>0</v>
      </c>
      <c r="AR124" s="457">
        <v>0</v>
      </c>
      <c r="AS124" s="457">
        <v>0</v>
      </c>
      <c r="AT124" s="457">
        <v>0</v>
      </c>
      <c r="AU124" s="457">
        <v>0</v>
      </c>
      <c r="AV124" s="457">
        <v>0</v>
      </c>
      <c r="AW124" s="457">
        <v>0</v>
      </c>
      <c r="AX124" s="457">
        <v>0</v>
      </c>
      <c r="AY124" s="457">
        <v>0</v>
      </c>
      <c r="AZ124" s="457">
        <v>0</v>
      </c>
      <c r="BA124" s="457">
        <v>311630</v>
      </c>
      <c r="BB124" s="457">
        <v>261925</v>
      </c>
      <c r="BC124" s="457">
        <v>49705</v>
      </c>
      <c r="BD124" s="457">
        <v>70117</v>
      </c>
      <c r="BE124" s="457">
        <v>58933</v>
      </c>
      <c r="BF124" s="457">
        <v>11184</v>
      </c>
      <c r="BG124" s="457">
        <v>7791</v>
      </c>
      <c r="BH124" s="457">
        <v>6548</v>
      </c>
      <c r="BI124" s="457">
        <v>1243</v>
      </c>
    </row>
    <row r="125" spans="1:61" ht="12.75" x14ac:dyDescent="0.2">
      <c r="A125" s="446">
        <v>118</v>
      </c>
      <c r="B125" s="447" t="s">
        <v>119</v>
      </c>
      <c r="C125" s="448" t="s">
        <v>1098</v>
      </c>
      <c r="D125" s="449" t="s">
        <v>1099</v>
      </c>
      <c r="E125" s="450" t="s">
        <v>118</v>
      </c>
      <c r="F125" s="457">
        <v>75842337</v>
      </c>
      <c r="G125" s="457">
        <v>0</v>
      </c>
      <c r="H125" s="457">
        <v>0</v>
      </c>
      <c r="I125" s="457">
        <v>75842337</v>
      </c>
      <c r="J125" s="457">
        <v>76071649</v>
      </c>
      <c r="K125" s="457">
        <v>0</v>
      </c>
      <c r="L125" s="457">
        <v>0</v>
      </c>
      <c r="M125" s="457">
        <v>76071649</v>
      </c>
      <c r="N125" s="457">
        <v>-229312</v>
      </c>
      <c r="O125" s="457">
        <v>0</v>
      </c>
      <c r="P125" s="457">
        <v>0</v>
      </c>
      <c r="Q125" s="457">
        <v>-229312</v>
      </c>
      <c r="R125" s="457">
        <v>229695</v>
      </c>
      <c r="S125" s="457">
        <v>0</v>
      </c>
      <c r="T125" s="457">
        <v>0</v>
      </c>
      <c r="U125" s="457">
        <v>229695</v>
      </c>
      <c r="V125" s="457">
        <v>-459007</v>
      </c>
      <c r="W125" s="457">
        <v>0</v>
      </c>
      <c r="X125" s="457">
        <v>0</v>
      </c>
      <c r="Y125" s="457">
        <v>-459007</v>
      </c>
      <c r="Z125" s="457">
        <v>309107</v>
      </c>
      <c r="AA125" s="457">
        <v>309107</v>
      </c>
      <c r="AB125" s="457">
        <v>0</v>
      </c>
      <c r="AC125" s="457">
        <v>0</v>
      </c>
      <c r="AD125" s="457">
        <v>0</v>
      </c>
      <c r="AE125" s="457">
        <v>0</v>
      </c>
      <c r="AF125" s="457">
        <v>0</v>
      </c>
      <c r="AG125" s="457">
        <v>0</v>
      </c>
      <c r="AH125" s="457">
        <v>0</v>
      </c>
      <c r="AI125" s="457">
        <v>0</v>
      </c>
      <c r="AJ125" s="457">
        <v>0</v>
      </c>
      <c r="AK125" s="457">
        <v>0</v>
      </c>
      <c r="AL125" s="457">
        <v>0</v>
      </c>
      <c r="AM125" s="457">
        <v>0</v>
      </c>
      <c r="AN125" s="457">
        <v>0</v>
      </c>
      <c r="AO125" s="457">
        <v>0</v>
      </c>
      <c r="AP125" s="457">
        <v>0</v>
      </c>
      <c r="AQ125" s="457">
        <v>0</v>
      </c>
      <c r="AR125" s="457">
        <v>0</v>
      </c>
      <c r="AS125" s="457">
        <v>0</v>
      </c>
      <c r="AT125" s="457">
        <v>0</v>
      </c>
      <c r="AU125" s="457">
        <v>0</v>
      </c>
      <c r="AV125" s="457">
        <v>0</v>
      </c>
      <c r="AW125" s="457">
        <v>0</v>
      </c>
      <c r="AX125" s="457">
        <v>0</v>
      </c>
      <c r="AY125" s="457">
        <v>0</v>
      </c>
      <c r="AZ125" s="457">
        <v>0</v>
      </c>
      <c r="BA125" s="457">
        <v>585900</v>
      </c>
      <c r="BB125" s="457">
        <v>493007</v>
      </c>
      <c r="BC125" s="457">
        <v>92893</v>
      </c>
      <c r="BD125" s="457">
        <v>390600</v>
      </c>
      <c r="BE125" s="457">
        <v>328672</v>
      </c>
      <c r="BF125" s="457">
        <v>61928</v>
      </c>
      <c r="BG125" s="457">
        <v>0</v>
      </c>
      <c r="BH125" s="457">
        <v>0</v>
      </c>
      <c r="BI125" s="457">
        <v>0</v>
      </c>
    </row>
    <row r="126" spans="1:61" ht="12.75" x14ac:dyDescent="0.2">
      <c r="A126" s="446">
        <v>119</v>
      </c>
      <c r="B126" s="447" t="s">
        <v>121</v>
      </c>
      <c r="C126" s="448" t="s">
        <v>1093</v>
      </c>
      <c r="D126" s="449" t="s">
        <v>1097</v>
      </c>
      <c r="E126" s="450" t="s">
        <v>120</v>
      </c>
      <c r="F126" s="457">
        <v>46152335.700000003</v>
      </c>
      <c r="G126" s="457">
        <v>0</v>
      </c>
      <c r="H126" s="457">
        <v>3838252.23</v>
      </c>
      <c r="I126" s="457">
        <v>49990588</v>
      </c>
      <c r="J126" s="457">
        <v>46510236.799999997</v>
      </c>
      <c r="K126" s="457">
        <v>0</v>
      </c>
      <c r="L126" s="457">
        <v>3838254.94</v>
      </c>
      <c r="M126" s="457">
        <v>50348491.799999997</v>
      </c>
      <c r="N126" s="457">
        <v>-357901.12</v>
      </c>
      <c r="O126" s="457">
        <v>0</v>
      </c>
      <c r="P126" s="457">
        <v>-2.71</v>
      </c>
      <c r="Q126" s="457">
        <v>-357903.83</v>
      </c>
      <c r="R126" s="457">
        <v>-81232</v>
      </c>
      <c r="S126" s="457">
        <v>0</v>
      </c>
      <c r="T126" s="457">
        <v>0</v>
      </c>
      <c r="U126" s="457">
        <v>-81232</v>
      </c>
      <c r="V126" s="457">
        <v>-276669</v>
      </c>
      <c r="W126" s="457">
        <v>0</v>
      </c>
      <c r="X126" s="457">
        <v>-3</v>
      </c>
      <c r="Y126" s="457">
        <v>-276671.83</v>
      </c>
      <c r="Z126" s="457">
        <v>124428</v>
      </c>
      <c r="AA126" s="457">
        <v>124428</v>
      </c>
      <c r="AB126" s="457">
        <v>0</v>
      </c>
      <c r="AC126" s="457">
        <v>0</v>
      </c>
      <c r="AD126" s="457">
        <v>0</v>
      </c>
      <c r="AE126" s="457">
        <v>0</v>
      </c>
      <c r="AF126" s="457">
        <v>0</v>
      </c>
      <c r="AG126" s="457">
        <v>0</v>
      </c>
      <c r="AH126" s="457">
        <v>0</v>
      </c>
      <c r="AI126" s="457">
        <v>0</v>
      </c>
      <c r="AJ126" s="457">
        <v>0</v>
      </c>
      <c r="AK126" s="457">
        <v>0</v>
      </c>
      <c r="AL126" s="457">
        <v>0</v>
      </c>
      <c r="AM126" s="457">
        <v>0</v>
      </c>
      <c r="AN126" s="457">
        <v>0</v>
      </c>
      <c r="AO126" s="457">
        <v>0</v>
      </c>
      <c r="AP126" s="457">
        <v>0</v>
      </c>
      <c r="AQ126" s="457">
        <v>0</v>
      </c>
      <c r="AR126" s="457">
        <v>0</v>
      </c>
      <c r="AS126" s="457">
        <v>0</v>
      </c>
      <c r="AT126" s="457">
        <v>0</v>
      </c>
      <c r="AU126" s="457">
        <v>0</v>
      </c>
      <c r="AV126" s="457">
        <v>0</v>
      </c>
      <c r="AW126" s="457">
        <v>0</v>
      </c>
      <c r="AX126" s="457">
        <v>0</v>
      </c>
      <c r="AY126" s="457">
        <v>0</v>
      </c>
      <c r="AZ126" s="457">
        <v>0</v>
      </c>
      <c r="BA126" s="457">
        <v>165193</v>
      </c>
      <c r="BB126" s="457">
        <v>139632</v>
      </c>
      <c r="BC126" s="457">
        <v>25561</v>
      </c>
      <c r="BD126" s="457">
        <v>33646</v>
      </c>
      <c r="BE126" s="457">
        <v>31417</v>
      </c>
      <c r="BF126" s="457">
        <v>2229</v>
      </c>
      <c r="BG126" s="457">
        <v>3738</v>
      </c>
      <c r="BH126" s="457">
        <v>3491</v>
      </c>
      <c r="BI126" s="457">
        <v>247</v>
      </c>
    </row>
    <row r="127" spans="1:61" ht="12.75" x14ac:dyDescent="0.2">
      <c r="A127" s="446">
        <v>120</v>
      </c>
      <c r="B127" s="447" t="s">
        <v>123</v>
      </c>
      <c r="C127" s="448" t="s">
        <v>1093</v>
      </c>
      <c r="D127" s="449" t="s">
        <v>1101</v>
      </c>
      <c r="E127" s="450" t="s">
        <v>122</v>
      </c>
      <c r="F127" s="457">
        <v>60363225</v>
      </c>
      <c r="G127" s="457">
        <v>0</v>
      </c>
      <c r="H127" s="457">
        <v>0</v>
      </c>
      <c r="I127" s="457">
        <v>60363225</v>
      </c>
      <c r="J127" s="457">
        <v>60557573</v>
      </c>
      <c r="K127" s="457">
        <v>0</v>
      </c>
      <c r="L127" s="457">
        <v>0</v>
      </c>
      <c r="M127" s="457">
        <v>60557573</v>
      </c>
      <c r="N127" s="457">
        <v>-194348</v>
      </c>
      <c r="O127" s="457">
        <v>0</v>
      </c>
      <c r="P127" s="457">
        <v>0</v>
      </c>
      <c r="Q127" s="457">
        <v>-194348</v>
      </c>
      <c r="R127" s="457">
        <v>76922</v>
      </c>
      <c r="S127" s="457">
        <v>0</v>
      </c>
      <c r="T127" s="457">
        <v>0</v>
      </c>
      <c r="U127" s="457">
        <v>76922</v>
      </c>
      <c r="V127" s="457">
        <v>-271270</v>
      </c>
      <c r="W127" s="457">
        <v>0</v>
      </c>
      <c r="X127" s="457">
        <v>0</v>
      </c>
      <c r="Y127" s="457">
        <v>-271270</v>
      </c>
      <c r="Z127" s="457">
        <v>284541</v>
      </c>
      <c r="AA127" s="457">
        <v>284541</v>
      </c>
      <c r="AB127" s="457">
        <v>0</v>
      </c>
      <c r="AC127" s="457">
        <v>0</v>
      </c>
      <c r="AD127" s="457">
        <v>0</v>
      </c>
      <c r="AE127" s="457">
        <v>0</v>
      </c>
      <c r="AF127" s="457">
        <v>0</v>
      </c>
      <c r="AG127" s="457">
        <v>0</v>
      </c>
      <c r="AH127" s="457">
        <v>0</v>
      </c>
      <c r="AI127" s="457">
        <v>0</v>
      </c>
      <c r="AJ127" s="457">
        <v>0</v>
      </c>
      <c r="AK127" s="457">
        <v>0</v>
      </c>
      <c r="AL127" s="457">
        <v>0</v>
      </c>
      <c r="AM127" s="457">
        <v>0</v>
      </c>
      <c r="AN127" s="457">
        <v>0</v>
      </c>
      <c r="AO127" s="457">
        <v>0</v>
      </c>
      <c r="AP127" s="457">
        <v>0</v>
      </c>
      <c r="AQ127" s="457">
        <v>0</v>
      </c>
      <c r="AR127" s="457">
        <v>0</v>
      </c>
      <c r="AS127" s="457">
        <v>0</v>
      </c>
      <c r="AT127" s="457">
        <v>0</v>
      </c>
      <c r="AU127" s="457">
        <v>0</v>
      </c>
      <c r="AV127" s="457">
        <v>0</v>
      </c>
      <c r="AW127" s="457">
        <v>0</v>
      </c>
      <c r="AX127" s="457">
        <v>0</v>
      </c>
      <c r="AY127" s="457">
        <v>0</v>
      </c>
      <c r="AZ127" s="457">
        <v>0</v>
      </c>
      <c r="BA127" s="457">
        <v>863540</v>
      </c>
      <c r="BB127" s="457">
        <v>731853</v>
      </c>
      <c r="BC127" s="457">
        <v>131687</v>
      </c>
      <c r="BD127" s="457">
        <v>194296</v>
      </c>
      <c r="BE127" s="457">
        <v>164667</v>
      </c>
      <c r="BF127" s="457">
        <v>29629</v>
      </c>
      <c r="BG127" s="457">
        <v>21588</v>
      </c>
      <c r="BH127" s="457">
        <v>18296</v>
      </c>
      <c r="BI127" s="457">
        <v>3292</v>
      </c>
    </row>
    <row r="128" spans="1:61" ht="12.75" x14ac:dyDescent="0.2">
      <c r="A128" s="446">
        <v>121</v>
      </c>
      <c r="B128" s="447" t="s">
        <v>125</v>
      </c>
      <c r="C128" s="448" t="s">
        <v>1098</v>
      </c>
      <c r="D128" s="449" t="s">
        <v>1099</v>
      </c>
      <c r="E128" s="450" t="s">
        <v>124</v>
      </c>
      <c r="F128" s="457">
        <v>57215</v>
      </c>
      <c r="G128" s="457">
        <v>0</v>
      </c>
      <c r="H128" s="457">
        <v>0</v>
      </c>
      <c r="I128" s="457">
        <v>57215</v>
      </c>
      <c r="J128" s="457">
        <v>218293</v>
      </c>
      <c r="K128" s="457">
        <v>0</v>
      </c>
      <c r="L128" s="457">
        <v>0</v>
      </c>
      <c r="M128" s="457">
        <v>218293</v>
      </c>
      <c r="N128" s="457">
        <v>-161078</v>
      </c>
      <c r="O128" s="457">
        <v>0</v>
      </c>
      <c r="P128" s="457">
        <v>0</v>
      </c>
      <c r="Q128" s="457">
        <v>-161078</v>
      </c>
      <c r="R128" s="457">
        <v>67000</v>
      </c>
      <c r="S128" s="457">
        <v>0</v>
      </c>
      <c r="T128" s="457">
        <v>0</v>
      </c>
      <c r="U128" s="457">
        <v>67000</v>
      </c>
      <c r="V128" s="457">
        <v>-228078</v>
      </c>
      <c r="W128" s="457">
        <v>0</v>
      </c>
      <c r="X128" s="457">
        <v>0</v>
      </c>
      <c r="Y128" s="457">
        <v>-228078</v>
      </c>
      <c r="Z128" s="457">
        <v>255455</v>
      </c>
      <c r="AA128" s="457">
        <v>255455</v>
      </c>
      <c r="AB128" s="457">
        <v>0</v>
      </c>
      <c r="AC128" s="457">
        <v>0</v>
      </c>
      <c r="AD128" s="457">
        <v>0</v>
      </c>
      <c r="AE128" s="457">
        <v>0</v>
      </c>
      <c r="AF128" s="457">
        <v>0</v>
      </c>
      <c r="AG128" s="457">
        <v>0</v>
      </c>
      <c r="AH128" s="457">
        <v>0</v>
      </c>
      <c r="AI128" s="457">
        <v>0</v>
      </c>
      <c r="AJ128" s="457">
        <v>0</v>
      </c>
      <c r="AK128" s="457">
        <v>0</v>
      </c>
      <c r="AL128" s="457">
        <v>0</v>
      </c>
      <c r="AM128" s="457">
        <v>0</v>
      </c>
      <c r="AN128" s="457">
        <v>0</v>
      </c>
      <c r="AO128" s="457">
        <v>0</v>
      </c>
      <c r="AP128" s="457">
        <v>0</v>
      </c>
      <c r="AQ128" s="457">
        <v>0</v>
      </c>
      <c r="AR128" s="457">
        <v>0</v>
      </c>
      <c r="AS128" s="457">
        <v>0</v>
      </c>
      <c r="AT128" s="457">
        <v>0</v>
      </c>
      <c r="AU128" s="457">
        <v>0</v>
      </c>
      <c r="AV128" s="457">
        <v>0</v>
      </c>
      <c r="AW128" s="457">
        <v>0</v>
      </c>
      <c r="AX128" s="457">
        <v>0</v>
      </c>
      <c r="AY128" s="457">
        <v>0</v>
      </c>
      <c r="AZ128" s="457">
        <v>0</v>
      </c>
      <c r="BA128" s="457">
        <v>409444</v>
      </c>
      <c r="BB128" s="457">
        <v>348144</v>
      </c>
      <c r="BC128" s="457">
        <v>61300</v>
      </c>
      <c r="BD128" s="457">
        <v>272963</v>
      </c>
      <c r="BE128" s="457">
        <v>232096</v>
      </c>
      <c r="BF128" s="457">
        <v>40867</v>
      </c>
      <c r="BG128" s="457">
        <v>0</v>
      </c>
      <c r="BH128" s="457">
        <v>0</v>
      </c>
      <c r="BI128" s="457">
        <v>0</v>
      </c>
    </row>
    <row r="129" spans="1:61" ht="12.75" x14ac:dyDescent="0.2">
      <c r="A129" s="446">
        <v>122</v>
      </c>
      <c r="B129" s="447" t="s">
        <v>127</v>
      </c>
      <c r="C129" s="448" t="s">
        <v>1093</v>
      </c>
      <c r="D129" s="449" t="s">
        <v>1094</v>
      </c>
      <c r="E129" s="450" t="s">
        <v>126</v>
      </c>
      <c r="F129" s="457">
        <v>29229501</v>
      </c>
      <c r="G129" s="457">
        <v>0</v>
      </c>
      <c r="H129" s="457">
        <v>0</v>
      </c>
      <c r="I129" s="457">
        <v>29229501</v>
      </c>
      <c r="J129" s="457">
        <v>29149405.5</v>
      </c>
      <c r="K129" s="457">
        <v>0</v>
      </c>
      <c r="L129" s="457">
        <v>0</v>
      </c>
      <c r="M129" s="457">
        <v>29149405.5</v>
      </c>
      <c r="N129" s="457">
        <v>-340555</v>
      </c>
      <c r="O129" s="457">
        <v>0</v>
      </c>
      <c r="P129" s="457">
        <v>0</v>
      </c>
      <c r="Q129" s="457">
        <v>-340555</v>
      </c>
      <c r="R129" s="457">
        <v>75403</v>
      </c>
      <c r="S129" s="457">
        <v>0</v>
      </c>
      <c r="T129" s="457">
        <v>0</v>
      </c>
      <c r="U129" s="457">
        <v>75403</v>
      </c>
      <c r="V129" s="457">
        <v>-415958</v>
      </c>
      <c r="W129" s="457">
        <v>0</v>
      </c>
      <c r="X129" s="457">
        <v>0</v>
      </c>
      <c r="Y129" s="457">
        <v>-415958</v>
      </c>
      <c r="Z129" s="457">
        <v>100079</v>
      </c>
      <c r="AA129" s="457">
        <v>100079</v>
      </c>
      <c r="AB129" s="457">
        <v>0</v>
      </c>
      <c r="AC129" s="457">
        <v>0</v>
      </c>
      <c r="AD129" s="457">
        <v>0</v>
      </c>
      <c r="AE129" s="457">
        <v>0</v>
      </c>
      <c r="AF129" s="457">
        <v>0</v>
      </c>
      <c r="AG129" s="457">
        <v>0</v>
      </c>
      <c r="AH129" s="457">
        <v>0</v>
      </c>
      <c r="AI129" s="457">
        <v>0</v>
      </c>
      <c r="AJ129" s="457">
        <v>0</v>
      </c>
      <c r="AK129" s="457">
        <v>0</v>
      </c>
      <c r="AL129" s="457">
        <v>0</v>
      </c>
      <c r="AM129" s="457">
        <v>0</v>
      </c>
      <c r="AN129" s="457">
        <v>0</v>
      </c>
      <c r="AO129" s="457">
        <v>0</v>
      </c>
      <c r="AP129" s="457">
        <v>0</v>
      </c>
      <c r="AQ129" s="457">
        <v>0</v>
      </c>
      <c r="AR129" s="457">
        <v>0</v>
      </c>
      <c r="AS129" s="457">
        <v>0</v>
      </c>
      <c r="AT129" s="457">
        <v>0</v>
      </c>
      <c r="AU129" s="457">
        <v>0</v>
      </c>
      <c r="AV129" s="457">
        <v>0</v>
      </c>
      <c r="AW129" s="457">
        <v>0</v>
      </c>
      <c r="AX129" s="457">
        <v>0</v>
      </c>
      <c r="AY129" s="457">
        <v>0</v>
      </c>
      <c r="AZ129" s="457">
        <v>0</v>
      </c>
      <c r="BA129" s="457">
        <v>198487</v>
      </c>
      <c r="BB129" s="457">
        <v>169702</v>
      </c>
      <c r="BC129" s="457">
        <v>28785</v>
      </c>
      <c r="BD129" s="457">
        <v>44660</v>
      </c>
      <c r="BE129" s="457">
        <v>38183</v>
      </c>
      <c r="BF129" s="457">
        <v>6477</v>
      </c>
      <c r="BG129" s="457">
        <v>4962</v>
      </c>
      <c r="BH129" s="457">
        <v>4243</v>
      </c>
      <c r="BI129" s="457">
        <v>719</v>
      </c>
    </row>
    <row r="130" spans="1:61" ht="12.75" x14ac:dyDescent="0.2">
      <c r="A130" s="446">
        <v>123</v>
      </c>
      <c r="B130" s="447" t="s">
        <v>129</v>
      </c>
      <c r="C130" s="448" t="s">
        <v>794</v>
      </c>
      <c r="D130" s="449" t="s">
        <v>1105</v>
      </c>
      <c r="E130" s="450" t="s">
        <v>719</v>
      </c>
      <c r="F130" s="457">
        <v>39281824</v>
      </c>
      <c r="G130" s="457">
        <v>0</v>
      </c>
      <c r="H130" s="457">
        <v>0</v>
      </c>
      <c r="I130" s="457">
        <v>39281824</v>
      </c>
      <c r="J130" s="457">
        <v>30021500</v>
      </c>
      <c r="K130" s="457">
        <v>0</v>
      </c>
      <c r="L130" s="457">
        <v>0</v>
      </c>
      <c r="M130" s="457">
        <v>30021500</v>
      </c>
      <c r="N130" s="457">
        <v>9260324</v>
      </c>
      <c r="O130" s="457">
        <v>0</v>
      </c>
      <c r="P130" s="457">
        <v>0</v>
      </c>
      <c r="Q130" s="457">
        <v>9260324</v>
      </c>
      <c r="R130" s="457">
        <v>9578318</v>
      </c>
      <c r="S130" s="457">
        <v>0</v>
      </c>
      <c r="T130" s="457">
        <v>0</v>
      </c>
      <c r="U130" s="457">
        <v>9578318</v>
      </c>
      <c r="V130" s="457">
        <v>-317994</v>
      </c>
      <c r="W130" s="457">
        <v>0</v>
      </c>
      <c r="X130" s="457">
        <v>0</v>
      </c>
      <c r="Y130" s="457">
        <v>-317994</v>
      </c>
      <c r="Z130" s="457">
        <v>124827</v>
      </c>
      <c r="AA130" s="457">
        <v>124827</v>
      </c>
      <c r="AB130" s="457">
        <v>0</v>
      </c>
      <c r="AC130" s="457">
        <v>0</v>
      </c>
      <c r="AD130" s="457">
        <v>48663</v>
      </c>
      <c r="AE130" s="457">
        <v>-48663</v>
      </c>
      <c r="AF130" s="457">
        <v>0</v>
      </c>
      <c r="AG130" s="457">
        <v>0</v>
      </c>
      <c r="AH130" s="457">
        <v>0</v>
      </c>
      <c r="AI130" s="457">
        <v>0</v>
      </c>
      <c r="AJ130" s="457">
        <v>0</v>
      </c>
      <c r="AK130" s="457">
        <v>0</v>
      </c>
      <c r="AL130" s="457">
        <v>0</v>
      </c>
      <c r="AM130" s="457">
        <v>0</v>
      </c>
      <c r="AN130" s="457">
        <v>0</v>
      </c>
      <c r="AO130" s="457">
        <v>67812</v>
      </c>
      <c r="AP130" s="457">
        <v>48663</v>
      </c>
      <c r="AQ130" s="457">
        <v>19149</v>
      </c>
      <c r="AR130" s="457">
        <v>67812</v>
      </c>
      <c r="AS130" s="457">
        <v>48663</v>
      </c>
      <c r="AT130" s="457">
        <v>19149</v>
      </c>
      <c r="AU130" s="457">
        <v>0</v>
      </c>
      <c r="AV130" s="457">
        <v>0</v>
      </c>
      <c r="AW130" s="457">
        <v>0</v>
      </c>
      <c r="AX130" s="457">
        <v>0</v>
      </c>
      <c r="AY130" s="457">
        <v>0</v>
      </c>
      <c r="AZ130" s="457">
        <v>0</v>
      </c>
      <c r="BA130" s="457">
        <v>445550</v>
      </c>
      <c r="BB130" s="457">
        <v>373497</v>
      </c>
      <c r="BC130" s="457">
        <v>72053</v>
      </c>
      <c r="BD130" s="457">
        <v>0</v>
      </c>
      <c r="BE130" s="457">
        <v>0</v>
      </c>
      <c r="BF130" s="457">
        <v>0</v>
      </c>
      <c r="BG130" s="457">
        <v>9093</v>
      </c>
      <c r="BH130" s="457">
        <v>7622</v>
      </c>
      <c r="BI130" s="457">
        <v>1471</v>
      </c>
    </row>
    <row r="131" spans="1:61" ht="12.75" x14ac:dyDescent="0.2">
      <c r="A131" s="446">
        <v>124</v>
      </c>
      <c r="B131" s="447" t="s">
        <v>131</v>
      </c>
      <c r="C131" s="448" t="s">
        <v>1093</v>
      </c>
      <c r="D131" s="449" t="s">
        <v>1094</v>
      </c>
      <c r="E131" s="450" t="s">
        <v>130</v>
      </c>
      <c r="F131" s="457">
        <v>19924231</v>
      </c>
      <c r="G131" s="457">
        <v>0</v>
      </c>
      <c r="H131" s="457">
        <v>0</v>
      </c>
      <c r="I131" s="457">
        <v>19924231</v>
      </c>
      <c r="J131" s="457">
        <v>19928214</v>
      </c>
      <c r="K131" s="457">
        <v>0</v>
      </c>
      <c r="L131" s="457">
        <v>0</v>
      </c>
      <c r="M131" s="457">
        <v>19928214</v>
      </c>
      <c r="N131" s="457">
        <v>-3983</v>
      </c>
      <c r="O131" s="457">
        <v>0</v>
      </c>
      <c r="P131" s="457">
        <v>0</v>
      </c>
      <c r="Q131" s="457">
        <v>-3983</v>
      </c>
      <c r="R131" s="457">
        <v>116000</v>
      </c>
      <c r="S131" s="457">
        <v>0</v>
      </c>
      <c r="T131" s="457">
        <v>0</v>
      </c>
      <c r="U131" s="457">
        <v>116000</v>
      </c>
      <c r="V131" s="457">
        <v>-119983</v>
      </c>
      <c r="W131" s="457">
        <v>0</v>
      </c>
      <c r="X131" s="457">
        <v>0</v>
      </c>
      <c r="Y131" s="457">
        <v>-119983</v>
      </c>
      <c r="Z131" s="457">
        <v>123130</v>
      </c>
      <c r="AA131" s="457">
        <v>123130</v>
      </c>
      <c r="AB131" s="457">
        <v>0</v>
      </c>
      <c r="AC131" s="457">
        <v>0</v>
      </c>
      <c r="AD131" s="457">
        <v>0</v>
      </c>
      <c r="AE131" s="457">
        <v>0</v>
      </c>
      <c r="AF131" s="457">
        <v>0</v>
      </c>
      <c r="AG131" s="457">
        <v>0</v>
      </c>
      <c r="AH131" s="457">
        <v>0</v>
      </c>
      <c r="AI131" s="457">
        <v>0</v>
      </c>
      <c r="AJ131" s="457">
        <v>0</v>
      </c>
      <c r="AK131" s="457">
        <v>0</v>
      </c>
      <c r="AL131" s="457">
        <v>0</v>
      </c>
      <c r="AM131" s="457">
        <v>0</v>
      </c>
      <c r="AN131" s="457">
        <v>0</v>
      </c>
      <c r="AO131" s="457">
        <v>0</v>
      </c>
      <c r="AP131" s="457">
        <v>0</v>
      </c>
      <c r="AQ131" s="457">
        <v>0</v>
      </c>
      <c r="AR131" s="457">
        <v>0</v>
      </c>
      <c r="AS131" s="457">
        <v>0</v>
      </c>
      <c r="AT131" s="457">
        <v>0</v>
      </c>
      <c r="AU131" s="457">
        <v>0</v>
      </c>
      <c r="AV131" s="457">
        <v>0</v>
      </c>
      <c r="AW131" s="457">
        <v>0</v>
      </c>
      <c r="AX131" s="457">
        <v>0</v>
      </c>
      <c r="AY131" s="457">
        <v>0</v>
      </c>
      <c r="AZ131" s="457">
        <v>0</v>
      </c>
      <c r="BA131" s="457">
        <v>441700</v>
      </c>
      <c r="BB131" s="457">
        <v>435852</v>
      </c>
      <c r="BC131" s="457">
        <v>5848</v>
      </c>
      <c r="BD131" s="457">
        <v>99382</v>
      </c>
      <c r="BE131" s="457">
        <v>98067</v>
      </c>
      <c r="BF131" s="457">
        <v>1315</v>
      </c>
      <c r="BG131" s="457">
        <v>11042</v>
      </c>
      <c r="BH131" s="457">
        <v>10896</v>
      </c>
      <c r="BI131" s="457">
        <v>146</v>
      </c>
    </row>
    <row r="132" spans="1:61" ht="12.75" x14ac:dyDescent="0.2">
      <c r="A132" s="446">
        <v>125</v>
      </c>
      <c r="B132" s="447" t="s">
        <v>133</v>
      </c>
      <c r="C132" s="448" t="s">
        <v>1093</v>
      </c>
      <c r="D132" s="449" t="s">
        <v>1094</v>
      </c>
      <c r="E132" s="450" t="s">
        <v>132</v>
      </c>
      <c r="F132" s="457">
        <v>31726607</v>
      </c>
      <c r="G132" s="457">
        <v>0</v>
      </c>
      <c r="H132" s="457">
        <v>0</v>
      </c>
      <c r="I132" s="457">
        <v>31726607</v>
      </c>
      <c r="J132" s="457">
        <v>31850444</v>
      </c>
      <c r="K132" s="457">
        <v>0</v>
      </c>
      <c r="L132" s="457">
        <v>0</v>
      </c>
      <c r="M132" s="457">
        <v>31850444</v>
      </c>
      <c r="N132" s="457">
        <v>-123837</v>
      </c>
      <c r="O132" s="457">
        <v>0</v>
      </c>
      <c r="P132" s="457">
        <v>0</v>
      </c>
      <c r="Q132" s="457">
        <v>-123837</v>
      </c>
      <c r="R132" s="457">
        <v>115823</v>
      </c>
      <c r="S132" s="457">
        <v>0</v>
      </c>
      <c r="T132" s="457">
        <v>0</v>
      </c>
      <c r="U132" s="457">
        <v>115823</v>
      </c>
      <c r="V132" s="457">
        <v>-239660</v>
      </c>
      <c r="W132" s="457">
        <v>0</v>
      </c>
      <c r="X132" s="457">
        <v>0</v>
      </c>
      <c r="Y132" s="457">
        <v>-239660</v>
      </c>
      <c r="Z132" s="457">
        <v>140839</v>
      </c>
      <c r="AA132" s="457">
        <v>140839</v>
      </c>
      <c r="AB132" s="457">
        <v>0</v>
      </c>
      <c r="AC132" s="457">
        <v>0</v>
      </c>
      <c r="AD132" s="457">
        <v>0</v>
      </c>
      <c r="AE132" s="457">
        <v>0</v>
      </c>
      <c r="AF132" s="457">
        <v>0</v>
      </c>
      <c r="AG132" s="457">
        <v>0</v>
      </c>
      <c r="AH132" s="457">
        <v>0</v>
      </c>
      <c r="AI132" s="457">
        <v>0</v>
      </c>
      <c r="AJ132" s="457">
        <v>0</v>
      </c>
      <c r="AK132" s="457">
        <v>0</v>
      </c>
      <c r="AL132" s="457">
        <v>0</v>
      </c>
      <c r="AM132" s="457">
        <v>0</v>
      </c>
      <c r="AN132" s="457">
        <v>0</v>
      </c>
      <c r="AO132" s="457">
        <v>0</v>
      </c>
      <c r="AP132" s="457">
        <v>0</v>
      </c>
      <c r="AQ132" s="457">
        <v>0</v>
      </c>
      <c r="AR132" s="457">
        <v>0</v>
      </c>
      <c r="AS132" s="457">
        <v>0</v>
      </c>
      <c r="AT132" s="457">
        <v>0</v>
      </c>
      <c r="AU132" s="457">
        <v>0</v>
      </c>
      <c r="AV132" s="457">
        <v>0</v>
      </c>
      <c r="AW132" s="457">
        <v>0</v>
      </c>
      <c r="AX132" s="457">
        <v>0</v>
      </c>
      <c r="AY132" s="457">
        <v>0</v>
      </c>
      <c r="AZ132" s="457">
        <v>0</v>
      </c>
      <c r="BA132" s="457">
        <v>380732</v>
      </c>
      <c r="BB132" s="457">
        <v>315670</v>
      </c>
      <c r="BC132" s="457">
        <v>65062</v>
      </c>
      <c r="BD132" s="457">
        <v>85665</v>
      </c>
      <c r="BE132" s="457">
        <v>71026</v>
      </c>
      <c r="BF132" s="457">
        <v>14639</v>
      </c>
      <c r="BG132" s="457">
        <v>9518</v>
      </c>
      <c r="BH132" s="457">
        <v>7892</v>
      </c>
      <c r="BI132" s="457">
        <v>1626</v>
      </c>
    </row>
    <row r="133" spans="1:61" ht="12.75" x14ac:dyDescent="0.2">
      <c r="A133" s="446">
        <v>126</v>
      </c>
      <c r="B133" s="447" t="s">
        <v>135</v>
      </c>
      <c r="C133" s="448" t="s">
        <v>1098</v>
      </c>
      <c r="D133" s="449" t="s">
        <v>1099</v>
      </c>
      <c r="E133" s="450" t="s">
        <v>134</v>
      </c>
      <c r="F133" s="457">
        <v>72311848</v>
      </c>
      <c r="G133" s="457">
        <v>0</v>
      </c>
      <c r="H133" s="457">
        <v>0</v>
      </c>
      <c r="I133" s="457">
        <v>72311848</v>
      </c>
      <c r="J133" s="457">
        <v>72753269</v>
      </c>
      <c r="K133" s="457">
        <v>0</v>
      </c>
      <c r="L133" s="457">
        <v>0</v>
      </c>
      <c r="M133" s="457">
        <v>72753269</v>
      </c>
      <c r="N133" s="457">
        <v>-441421</v>
      </c>
      <c r="O133" s="457">
        <v>0</v>
      </c>
      <c r="P133" s="457">
        <v>0</v>
      </c>
      <c r="Q133" s="457">
        <v>-441421</v>
      </c>
      <c r="R133" s="457">
        <v>-218032</v>
      </c>
      <c r="S133" s="457">
        <v>0</v>
      </c>
      <c r="T133" s="457">
        <v>0</v>
      </c>
      <c r="U133" s="457">
        <v>-218032</v>
      </c>
      <c r="V133" s="457">
        <v>-223389</v>
      </c>
      <c r="W133" s="457">
        <v>0</v>
      </c>
      <c r="X133" s="457">
        <v>0</v>
      </c>
      <c r="Y133" s="457">
        <v>-223389</v>
      </c>
      <c r="Z133" s="457">
        <v>274180</v>
      </c>
      <c r="AA133" s="457">
        <v>274180</v>
      </c>
      <c r="AB133" s="457">
        <v>0</v>
      </c>
      <c r="AC133" s="457">
        <v>0</v>
      </c>
      <c r="AD133" s="457">
        <v>0</v>
      </c>
      <c r="AE133" s="457">
        <v>0</v>
      </c>
      <c r="AF133" s="457">
        <v>0</v>
      </c>
      <c r="AG133" s="457">
        <v>0</v>
      </c>
      <c r="AH133" s="457">
        <v>0</v>
      </c>
      <c r="AI133" s="457">
        <v>0</v>
      </c>
      <c r="AJ133" s="457">
        <v>0</v>
      </c>
      <c r="AK133" s="457">
        <v>0</v>
      </c>
      <c r="AL133" s="457">
        <v>0</v>
      </c>
      <c r="AM133" s="457">
        <v>0</v>
      </c>
      <c r="AN133" s="457">
        <v>0</v>
      </c>
      <c r="AO133" s="457">
        <v>0</v>
      </c>
      <c r="AP133" s="457">
        <v>0</v>
      </c>
      <c r="AQ133" s="457">
        <v>0</v>
      </c>
      <c r="AR133" s="457">
        <v>0</v>
      </c>
      <c r="AS133" s="457">
        <v>0</v>
      </c>
      <c r="AT133" s="457">
        <v>0</v>
      </c>
      <c r="AU133" s="457">
        <v>0</v>
      </c>
      <c r="AV133" s="457">
        <v>0</v>
      </c>
      <c r="AW133" s="457">
        <v>0</v>
      </c>
      <c r="AX133" s="457">
        <v>0</v>
      </c>
      <c r="AY133" s="457">
        <v>0</v>
      </c>
      <c r="AZ133" s="457">
        <v>0</v>
      </c>
      <c r="BA133" s="457">
        <v>470765</v>
      </c>
      <c r="BB133" s="457">
        <v>394746</v>
      </c>
      <c r="BC133" s="457">
        <v>76019</v>
      </c>
      <c r="BD133" s="457">
        <v>313843</v>
      </c>
      <c r="BE133" s="457">
        <v>263164</v>
      </c>
      <c r="BF133" s="457">
        <v>50679</v>
      </c>
      <c r="BG133" s="457">
        <v>0</v>
      </c>
      <c r="BH133" s="457">
        <v>0</v>
      </c>
      <c r="BI133" s="457">
        <v>0</v>
      </c>
    </row>
    <row r="134" spans="1:61" ht="12.75" x14ac:dyDescent="0.2">
      <c r="A134" s="446">
        <v>127</v>
      </c>
      <c r="B134" s="447" t="s">
        <v>137</v>
      </c>
      <c r="C134" s="448" t="s">
        <v>794</v>
      </c>
      <c r="D134" s="449" t="s">
        <v>1103</v>
      </c>
      <c r="E134" s="450" t="s">
        <v>720</v>
      </c>
      <c r="F134" s="457">
        <v>44568965.299999997</v>
      </c>
      <c r="G134" s="457">
        <v>0</v>
      </c>
      <c r="H134" s="457">
        <v>-10040.44</v>
      </c>
      <c r="I134" s="457">
        <v>44558924.899999999</v>
      </c>
      <c r="J134" s="457">
        <v>44742351.700000003</v>
      </c>
      <c r="K134" s="457">
        <v>0</v>
      </c>
      <c r="L134" s="457">
        <v>-2616.2800000000002</v>
      </c>
      <c r="M134" s="457">
        <v>44739735.399999999</v>
      </c>
      <c r="N134" s="457">
        <v>-173386.33</v>
      </c>
      <c r="O134" s="457">
        <v>0</v>
      </c>
      <c r="P134" s="457">
        <v>-7424.16</v>
      </c>
      <c r="Q134" s="457">
        <v>-180810.49</v>
      </c>
      <c r="R134" s="457">
        <v>139251</v>
      </c>
      <c r="S134" s="457">
        <v>0</v>
      </c>
      <c r="T134" s="457">
        <v>0</v>
      </c>
      <c r="U134" s="457">
        <v>139251</v>
      </c>
      <c r="V134" s="457">
        <v>-312637</v>
      </c>
      <c r="W134" s="457">
        <v>0</v>
      </c>
      <c r="X134" s="457">
        <v>-7424</v>
      </c>
      <c r="Y134" s="457">
        <v>-320061</v>
      </c>
      <c r="Z134" s="457">
        <v>298886</v>
      </c>
      <c r="AA134" s="457">
        <v>298886</v>
      </c>
      <c r="AB134" s="457">
        <v>0</v>
      </c>
      <c r="AC134" s="457">
        <v>0</v>
      </c>
      <c r="AD134" s="457">
        <v>0</v>
      </c>
      <c r="AE134" s="457">
        <v>0</v>
      </c>
      <c r="AF134" s="457">
        <v>0</v>
      </c>
      <c r="AG134" s="457">
        <v>0</v>
      </c>
      <c r="AH134" s="457">
        <v>0</v>
      </c>
      <c r="AI134" s="457">
        <v>42597</v>
      </c>
      <c r="AJ134" s="457">
        <v>14676</v>
      </c>
      <c r="AK134" s="457">
        <v>27921</v>
      </c>
      <c r="AL134" s="457">
        <v>0</v>
      </c>
      <c r="AM134" s="457">
        <v>0</v>
      </c>
      <c r="AN134" s="457">
        <v>0</v>
      </c>
      <c r="AO134" s="457">
        <v>60548</v>
      </c>
      <c r="AP134" s="457">
        <v>56782</v>
      </c>
      <c r="AQ134" s="457">
        <v>3766</v>
      </c>
      <c r="AR134" s="457">
        <v>60548</v>
      </c>
      <c r="AS134" s="457">
        <v>56782</v>
      </c>
      <c r="AT134" s="457">
        <v>3766</v>
      </c>
      <c r="AU134" s="457">
        <v>0</v>
      </c>
      <c r="AV134" s="457">
        <v>0</v>
      </c>
      <c r="AW134" s="457">
        <v>0</v>
      </c>
      <c r="AX134" s="457">
        <v>0</v>
      </c>
      <c r="AY134" s="457">
        <v>0</v>
      </c>
      <c r="AZ134" s="457">
        <v>0</v>
      </c>
      <c r="BA134" s="457">
        <v>1223692</v>
      </c>
      <c r="BB134" s="457">
        <v>1013617</v>
      </c>
      <c r="BC134" s="457">
        <v>210075</v>
      </c>
      <c r="BD134" s="457">
        <v>0</v>
      </c>
      <c r="BE134" s="457">
        <v>0</v>
      </c>
      <c r="BF134" s="457">
        <v>0</v>
      </c>
      <c r="BG134" s="457">
        <v>24683</v>
      </c>
      <c r="BH134" s="457">
        <v>20686</v>
      </c>
      <c r="BI134" s="457">
        <v>3997</v>
      </c>
    </row>
    <row r="135" spans="1:61" ht="12.75" x14ac:dyDescent="0.2">
      <c r="A135" s="446">
        <v>128</v>
      </c>
      <c r="B135" s="447" t="s">
        <v>139</v>
      </c>
      <c r="C135" s="448" t="s">
        <v>1093</v>
      </c>
      <c r="D135" s="449" t="s">
        <v>1097</v>
      </c>
      <c r="E135" s="450" t="s">
        <v>138</v>
      </c>
      <c r="F135" s="457">
        <v>51161712.100000001</v>
      </c>
      <c r="G135" s="457">
        <v>0</v>
      </c>
      <c r="H135" s="457">
        <v>0</v>
      </c>
      <c r="I135" s="457">
        <v>51161712.100000001</v>
      </c>
      <c r="J135" s="457">
        <v>51542395</v>
      </c>
      <c r="K135" s="457">
        <v>0</v>
      </c>
      <c r="L135" s="457">
        <v>0</v>
      </c>
      <c r="M135" s="457">
        <v>51542395</v>
      </c>
      <c r="N135" s="457">
        <v>-380682.98</v>
      </c>
      <c r="O135" s="457">
        <v>0</v>
      </c>
      <c r="P135" s="457">
        <v>0</v>
      </c>
      <c r="Q135" s="457">
        <v>-380682.98</v>
      </c>
      <c r="R135" s="457">
        <v>44285</v>
      </c>
      <c r="S135" s="457">
        <v>0</v>
      </c>
      <c r="T135" s="457">
        <v>0</v>
      </c>
      <c r="U135" s="457">
        <v>44285</v>
      </c>
      <c r="V135" s="457">
        <v>-424968</v>
      </c>
      <c r="W135" s="457">
        <v>0</v>
      </c>
      <c r="X135" s="457">
        <v>0</v>
      </c>
      <c r="Y135" s="457">
        <v>-424968</v>
      </c>
      <c r="Z135" s="457">
        <v>146387</v>
      </c>
      <c r="AA135" s="457">
        <v>146387</v>
      </c>
      <c r="AB135" s="457">
        <v>0</v>
      </c>
      <c r="AC135" s="457">
        <v>0</v>
      </c>
      <c r="AD135" s="457">
        <v>0</v>
      </c>
      <c r="AE135" s="457">
        <v>0</v>
      </c>
      <c r="AF135" s="457">
        <v>0</v>
      </c>
      <c r="AG135" s="457">
        <v>0</v>
      </c>
      <c r="AH135" s="457">
        <v>0</v>
      </c>
      <c r="AI135" s="457">
        <v>0</v>
      </c>
      <c r="AJ135" s="457">
        <v>0</v>
      </c>
      <c r="AK135" s="457">
        <v>0</v>
      </c>
      <c r="AL135" s="457">
        <v>0</v>
      </c>
      <c r="AM135" s="457">
        <v>0</v>
      </c>
      <c r="AN135" s="457">
        <v>0</v>
      </c>
      <c r="AO135" s="457">
        <v>0</v>
      </c>
      <c r="AP135" s="457">
        <v>0</v>
      </c>
      <c r="AQ135" s="457">
        <v>0</v>
      </c>
      <c r="AR135" s="457">
        <v>0</v>
      </c>
      <c r="AS135" s="457">
        <v>0</v>
      </c>
      <c r="AT135" s="457">
        <v>0</v>
      </c>
      <c r="AU135" s="457">
        <v>0</v>
      </c>
      <c r="AV135" s="457">
        <v>0</v>
      </c>
      <c r="AW135" s="457">
        <v>0</v>
      </c>
      <c r="AX135" s="457">
        <v>0</v>
      </c>
      <c r="AY135" s="457">
        <v>0</v>
      </c>
      <c r="AZ135" s="457">
        <v>0</v>
      </c>
      <c r="BA135" s="457">
        <v>291972</v>
      </c>
      <c r="BB135" s="457">
        <v>229207</v>
      </c>
      <c r="BC135" s="457">
        <v>62765</v>
      </c>
      <c r="BD135" s="457">
        <v>72993</v>
      </c>
      <c r="BE135" s="457">
        <v>57302</v>
      </c>
      <c r="BF135" s="457">
        <v>15691</v>
      </c>
      <c r="BG135" s="457">
        <v>0</v>
      </c>
      <c r="BH135" s="457">
        <v>0</v>
      </c>
      <c r="BI135" s="457">
        <v>0</v>
      </c>
    </row>
    <row r="136" spans="1:61" ht="12.75" x14ac:dyDescent="0.2">
      <c r="A136" s="446">
        <v>129</v>
      </c>
      <c r="B136" s="447" t="s">
        <v>141</v>
      </c>
      <c r="C136" s="448" t="s">
        <v>1093</v>
      </c>
      <c r="D136" s="449" t="s">
        <v>1096</v>
      </c>
      <c r="E136" s="450" t="s">
        <v>140</v>
      </c>
      <c r="F136" s="457">
        <v>23245561</v>
      </c>
      <c r="G136" s="457">
        <v>0</v>
      </c>
      <c r="H136" s="457">
        <v>0</v>
      </c>
      <c r="I136" s="457">
        <v>23245561</v>
      </c>
      <c r="J136" s="457">
        <v>23226284</v>
      </c>
      <c r="K136" s="457">
        <v>0</v>
      </c>
      <c r="L136" s="457">
        <v>0</v>
      </c>
      <c r="M136" s="457">
        <v>23226284</v>
      </c>
      <c r="N136" s="457">
        <v>19277</v>
      </c>
      <c r="O136" s="457">
        <v>0</v>
      </c>
      <c r="P136" s="457">
        <v>0</v>
      </c>
      <c r="Q136" s="457">
        <v>19277</v>
      </c>
      <c r="R136" s="457">
        <v>93653</v>
      </c>
      <c r="S136" s="457">
        <v>0</v>
      </c>
      <c r="T136" s="457">
        <v>0</v>
      </c>
      <c r="U136" s="457">
        <v>93653</v>
      </c>
      <c r="V136" s="457">
        <v>-74376</v>
      </c>
      <c r="W136" s="457">
        <v>0</v>
      </c>
      <c r="X136" s="457">
        <v>0</v>
      </c>
      <c r="Y136" s="457">
        <v>-74376</v>
      </c>
      <c r="Z136" s="457">
        <v>135442</v>
      </c>
      <c r="AA136" s="457">
        <v>135442</v>
      </c>
      <c r="AB136" s="457">
        <v>0</v>
      </c>
      <c r="AC136" s="457">
        <v>0</v>
      </c>
      <c r="AD136" s="457">
        <v>0</v>
      </c>
      <c r="AE136" s="457">
        <v>0</v>
      </c>
      <c r="AF136" s="457">
        <v>0</v>
      </c>
      <c r="AG136" s="457">
        <v>0</v>
      </c>
      <c r="AH136" s="457">
        <v>0</v>
      </c>
      <c r="AI136" s="457">
        <v>0</v>
      </c>
      <c r="AJ136" s="457">
        <v>0</v>
      </c>
      <c r="AK136" s="457">
        <v>0</v>
      </c>
      <c r="AL136" s="457">
        <v>0</v>
      </c>
      <c r="AM136" s="457">
        <v>0</v>
      </c>
      <c r="AN136" s="457">
        <v>0</v>
      </c>
      <c r="AO136" s="457">
        <v>0</v>
      </c>
      <c r="AP136" s="457">
        <v>0</v>
      </c>
      <c r="AQ136" s="457">
        <v>0</v>
      </c>
      <c r="AR136" s="457">
        <v>0</v>
      </c>
      <c r="AS136" s="457">
        <v>0</v>
      </c>
      <c r="AT136" s="457">
        <v>0</v>
      </c>
      <c r="AU136" s="457">
        <v>0</v>
      </c>
      <c r="AV136" s="457">
        <v>0</v>
      </c>
      <c r="AW136" s="457">
        <v>0</v>
      </c>
      <c r="AX136" s="457">
        <v>0</v>
      </c>
      <c r="AY136" s="457">
        <v>0</v>
      </c>
      <c r="AZ136" s="457">
        <v>0</v>
      </c>
      <c r="BA136" s="457">
        <v>481428</v>
      </c>
      <c r="BB136" s="457">
        <v>408524</v>
      </c>
      <c r="BC136" s="457">
        <v>72904</v>
      </c>
      <c r="BD136" s="457">
        <v>108321</v>
      </c>
      <c r="BE136" s="457">
        <v>91918</v>
      </c>
      <c r="BF136" s="457">
        <v>16403</v>
      </c>
      <c r="BG136" s="457">
        <v>12036</v>
      </c>
      <c r="BH136" s="457">
        <v>10213</v>
      </c>
      <c r="BI136" s="457">
        <v>1823</v>
      </c>
    </row>
    <row r="137" spans="1:61" ht="12.75" x14ac:dyDescent="0.2">
      <c r="A137" s="446">
        <v>130</v>
      </c>
      <c r="B137" s="447" t="s">
        <v>143</v>
      </c>
      <c r="C137" s="448" t="s">
        <v>1098</v>
      </c>
      <c r="D137" s="449" t="s">
        <v>1099</v>
      </c>
      <c r="E137" s="450" t="s">
        <v>142</v>
      </c>
      <c r="F137" s="457">
        <v>360448508</v>
      </c>
      <c r="G137" s="457">
        <v>0</v>
      </c>
      <c r="H137" s="457">
        <v>0</v>
      </c>
      <c r="I137" s="457">
        <v>360448508</v>
      </c>
      <c r="J137" s="457">
        <v>360099998</v>
      </c>
      <c r="K137" s="457">
        <v>0</v>
      </c>
      <c r="L137" s="457">
        <v>0</v>
      </c>
      <c r="M137" s="457">
        <v>360099998</v>
      </c>
      <c r="N137" s="457">
        <v>348510</v>
      </c>
      <c r="O137" s="457">
        <v>0</v>
      </c>
      <c r="P137" s="457">
        <v>0</v>
      </c>
      <c r="Q137" s="457">
        <v>348510</v>
      </c>
      <c r="R137" s="457">
        <v>95172</v>
      </c>
      <c r="S137" s="457">
        <v>0</v>
      </c>
      <c r="T137" s="457">
        <v>0</v>
      </c>
      <c r="U137" s="457">
        <v>95172</v>
      </c>
      <c r="V137" s="457">
        <v>253338</v>
      </c>
      <c r="W137" s="457">
        <v>0</v>
      </c>
      <c r="X137" s="457">
        <v>0</v>
      </c>
      <c r="Y137" s="457">
        <v>253338</v>
      </c>
      <c r="Z137" s="457">
        <v>598040</v>
      </c>
      <c r="AA137" s="457">
        <v>598040</v>
      </c>
      <c r="AB137" s="457">
        <v>0</v>
      </c>
      <c r="AC137" s="457">
        <v>0</v>
      </c>
      <c r="AD137" s="457">
        <v>0</v>
      </c>
      <c r="AE137" s="457">
        <v>0</v>
      </c>
      <c r="AF137" s="457">
        <v>0</v>
      </c>
      <c r="AG137" s="457">
        <v>0</v>
      </c>
      <c r="AH137" s="457">
        <v>0</v>
      </c>
      <c r="AI137" s="457">
        <v>0</v>
      </c>
      <c r="AJ137" s="457">
        <v>0</v>
      </c>
      <c r="AK137" s="457">
        <v>0</v>
      </c>
      <c r="AL137" s="457">
        <v>0</v>
      </c>
      <c r="AM137" s="457">
        <v>0</v>
      </c>
      <c r="AN137" s="457">
        <v>0</v>
      </c>
      <c r="AO137" s="457">
        <v>0</v>
      </c>
      <c r="AP137" s="457">
        <v>0</v>
      </c>
      <c r="AQ137" s="457">
        <v>0</v>
      </c>
      <c r="AR137" s="457">
        <v>0</v>
      </c>
      <c r="AS137" s="457">
        <v>0</v>
      </c>
      <c r="AT137" s="457">
        <v>0</v>
      </c>
      <c r="AU137" s="457">
        <v>0</v>
      </c>
      <c r="AV137" s="457">
        <v>0</v>
      </c>
      <c r="AW137" s="457">
        <v>0</v>
      </c>
      <c r="AX137" s="457">
        <v>0</v>
      </c>
      <c r="AY137" s="457">
        <v>0</v>
      </c>
      <c r="AZ137" s="457">
        <v>0</v>
      </c>
      <c r="BA137" s="457">
        <v>441542</v>
      </c>
      <c r="BB137" s="457">
        <v>369203</v>
      </c>
      <c r="BC137" s="457">
        <v>72339</v>
      </c>
      <c r="BD137" s="457">
        <v>294361</v>
      </c>
      <c r="BE137" s="457">
        <v>246136</v>
      </c>
      <c r="BF137" s="457">
        <v>48225</v>
      </c>
      <c r="BG137" s="457">
        <v>0</v>
      </c>
      <c r="BH137" s="457">
        <v>0</v>
      </c>
      <c r="BI137" s="457">
        <v>0</v>
      </c>
    </row>
    <row r="138" spans="1:61" ht="12.75" x14ac:dyDescent="0.2">
      <c r="A138" s="446">
        <v>131</v>
      </c>
      <c r="B138" s="447" t="s">
        <v>145</v>
      </c>
      <c r="C138" s="448" t="s">
        <v>1093</v>
      </c>
      <c r="D138" s="449" t="s">
        <v>1096</v>
      </c>
      <c r="E138" s="450" t="s">
        <v>721</v>
      </c>
      <c r="F138" s="457">
        <v>27023578</v>
      </c>
      <c r="G138" s="457">
        <v>0</v>
      </c>
      <c r="H138" s="457">
        <v>950243</v>
      </c>
      <c r="I138" s="457">
        <v>27973821</v>
      </c>
      <c r="J138" s="457">
        <v>27070601</v>
      </c>
      <c r="K138" s="457">
        <v>0</v>
      </c>
      <c r="L138" s="457">
        <v>950243</v>
      </c>
      <c r="M138" s="457">
        <v>28020844</v>
      </c>
      <c r="N138" s="457">
        <v>-47023</v>
      </c>
      <c r="O138" s="457">
        <v>0</v>
      </c>
      <c r="P138" s="457">
        <v>0</v>
      </c>
      <c r="Q138" s="457">
        <v>-47023</v>
      </c>
      <c r="R138" s="457">
        <v>8739</v>
      </c>
      <c r="S138" s="457">
        <v>0</v>
      </c>
      <c r="T138" s="457">
        <v>0</v>
      </c>
      <c r="U138" s="457">
        <v>8739</v>
      </c>
      <c r="V138" s="457">
        <v>-55762</v>
      </c>
      <c r="W138" s="457">
        <v>0</v>
      </c>
      <c r="X138" s="457">
        <v>0</v>
      </c>
      <c r="Y138" s="457">
        <v>-55762</v>
      </c>
      <c r="Z138" s="457">
        <v>123176</v>
      </c>
      <c r="AA138" s="457">
        <v>123176</v>
      </c>
      <c r="AB138" s="457">
        <v>0</v>
      </c>
      <c r="AC138" s="457">
        <v>76823</v>
      </c>
      <c r="AD138" s="457">
        <v>24148</v>
      </c>
      <c r="AE138" s="457">
        <v>52675</v>
      </c>
      <c r="AF138" s="457">
        <v>0</v>
      </c>
      <c r="AG138" s="457">
        <v>0</v>
      </c>
      <c r="AH138" s="457">
        <v>0</v>
      </c>
      <c r="AI138" s="457">
        <v>0</v>
      </c>
      <c r="AJ138" s="457">
        <v>0</v>
      </c>
      <c r="AK138" s="457">
        <v>0</v>
      </c>
      <c r="AL138" s="457">
        <v>0</v>
      </c>
      <c r="AM138" s="457">
        <v>0</v>
      </c>
      <c r="AN138" s="457">
        <v>0</v>
      </c>
      <c r="AO138" s="457">
        <v>0</v>
      </c>
      <c r="AP138" s="457">
        <v>0</v>
      </c>
      <c r="AQ138" s="457">
        <v>0</v>
      </c>
      <c r="AR138" s="457">
        <v>0</v>
      </c>
      <c r="AS138" s="457">
        <v>0</v>
      </c>
      <c r="AT138" s="457">
        <v>0</v>
      </c>
      <c r="AU138" s="457">
        <v>0</v>
      </c>
      <c r="AV138" s="457">
        <v>0</v>
      </c>
      <c r="AW138" s="457">
        <v>0</v>
      </c>
      <c r="AX138" s="457">
        <v>0</v>
      </c>
      <c r="AY138" s="457">
        <v>0</v>
      </c>
      <c r="AZ138" s="457">
        <v>0</v>
      </c>
      <c r="BA138" s="457">
        <v>424098</v>
      </c>
      <c r="BB138" s="457">
        <v>359138</v>
      </c>
      <c r="BC138" s="457">
        <v>64960</v>
      </c>
      <c r="BD138" s="457">
        <v>95422</v>
      </c>
      <c r="BE138" s="457">
        <v>80806</v>
      </c>
      <c r="BF138" s="457">
        <v>14616</v>
      </c>
      <c r="BG138" s="457">
        <v>10602</v>
      </c>
      <c r="BH138" s="457">
        <v>8978</v>
      </c>
      <c r="BI138" s="457">
        <v>1624</v>
      </c>
    </row>
    <row r="139" spans="1:61" ht="12.75" x14ac:dyDescent="0.2">
      <c r="A139" s="446">
        <v>132</v>
      </c>
      <c r="B139" s="447" t="s">
        <v>147</v>
      </c>
      <c r="C139" s="448" t="s">
        <v>1093</v>
      </c>
      <c r="D139" s="449" t="s">
        <v>1094</v>
      </c>
      <c r="E139" s="450" t="s">
        <v>146</v>
      </c>
      <c r="F139" s="457">
        <v>40687821</v>
      </c>
      <c r="G139" s="457">
        <v>0</v>
      </c>
      <c r="H139" s="457">
        <v>0</v>
      </c>
      <c r="I139" s="457">
        <v>40687821</v>
      </c>
      <c r="J139" s="457">
        <v>40641497</v>
      </c>
      <c r="K139" s="457">
        <v>0</v>
      </c>
      <c r="L139" s="457">
        <v>0</v>
      </c>
      <c r="M139" s="457">
        <v>40641497</v>
      </c>
      <c r="N139" s="457">
        <v>46324</v>
      </c>
      <c r="O139" s="457">
        <v>0</v>
      </c>
      <c r="P139" s="457">
        <v>0</v>
      </c>
      <c r="Q139" s="457">
        <v>46324</v>
      </c>
      <c r="R139" s="457">
        <v>978404</v>
      </c>
      <c r="S139" s="457">
        <v>0</v>
      </c>
      <c r="T139" s="457">
        <v>0</v>
      </c>
      <c r="U139" s="457">
        <v>978404</v>
      </c>
      <c r="V139" s="457">
        <v>-932080</v>
      </c>
      <c r="W139" s="457">
        <v>0</v>
      </c>
      <c r="X139" s="457">
        <v>0</v>
      </c>
      <c r="Y139" s="457">
        <v>-932080</v>
      </c>
      <c r="Z139" s="457">
        <v>177362</v>
      </c>
      <c r="AA139" s="457">
        <v>177362</v>
      </c>
      <c r="AB139" s="457">
        <v>0</v>
      </c>
      <c r="AC139" s="457">
        <v>0</v>
      </c>
      <c r="AD139" s="457">
        <v>0</v>
      </c>
      <c r="AE139" s="457">
        <v>0</v>
      </c>
      <c r="AF139" s="457">
        <v>0</v>
      </c>
      <c r="AG139" s="457">
        <v>0</v>
      </c>
      <c r="AH139" s="457">
        <v>0</v>
      </c>
      <c r="AI139" s="457">
        <v>0</v>
      </c>
      <c r="AJ139" s="457">
        <v>0</v>
      </c>
      <c r="AK139" s="457">
        <v>0</v>
      </c>
      <c r="AL139" s="457">
        <v>0</v>
      </c>
      <c r="AM139" s="457">
        <v>0</v>
      </c>
      <c r="AN139" s="457">
        <v>0</v>
      </c>
      <c r="AO139" s="457">
        <v>0</v>
      </c>
      <c r="AP139" s="457">
        <v>0</v>
      </c>
      <c r="AQ139" s="457">
        <v>0</v>
      </c>
      <c r="AR139" s="457">
        <v>0</v>
      </c>
      <c r="AS139" s="457">
        <v>0</v>
      </c>
      <c r="AT139" s="457">
        <v>0</v>
      </c>
      <c r="AU139" s="457">
        <v>0</v>
      </c>
      <c r="AV139" s="457">
        <v>0</v>
      </c>
      <c r="AW139" s="457">
        <v>0</v>
      </c>
      <c r="AX139" s="457">
        <v>0</v>
      </c>
      <c r="AY139" s="457">
        <v>0</v>
      </c>
      <c r="AZ139" s="457">
        <v>0</v>
      </c>
      <c r="BA139" s="457">
        <v>487754</v>
      </c>
      <c r="BB139" s="457">
        <v>406053</v>
      </c>
      <c r="BC139" s="457">
        <v>81701</v>
      </c>
      <c r="BD139" s="457">
        <v>121939</v>
      </c>
      <c r="BE139" s="457">
        <v>101513</v>
      </c>
      <c r="BF139" s="457">
        <v>20426</v>
      </c>
      <c r="BG139" s="457">
        <v>0</v>
      </c>
      <c r="BH139" s="457">
        <v>0</v>
      </c>
      <c r="BI139" s="457">
        <v>0</v>
      </c>
    </row>
    <row r="140" spans="1:61" ht="12.75" x14ac:dyDescent="0.2">
      <c r="A140" s="446">
        <v>133</v>
      </c>
      <c r="B140" s="447" t="s">
        <v>149</v>
      </c>
      <c r="C140" s="448" t="s">
        <v>1098</v>
      </c>
      <c r="D140" s="449" t="s">
        <v>1099</v>
      </c>
      <c r="E140" s="450" t="s">
        <v>148</v>
      </c>
      <c r="F140" s="457">
        <v>160076404</v>
      </c>
      <c r="G140" s="457">
        <v>0</v>
      </c>
      <c r="H140" s="457">
        <v>0</v>
      </c>
      <c r="I140" s="457">
        <v>160076404</v>
      </c>
      <c r="J140" s="457">
        <v>161062409</v>
      </c>
      <c r="K140" s="457">
        <v>0</v>
      </c>
      <c r="L140" s="457">
        <v>0</v>
      </c>
      <c r="M140" s="457">
        <v>161062409</v>
      </c>
      <c r="N140" s="457">
        <v>-986005.04</v>
      </c>
      <c r="O140" s="457">
        <v>0</v>
      </c>
      <c r="P140" s="457">
        <v>0</v>
      </c>
      <c r="Q140" s="457">
        <v>-986005.04</v>
      </c>
      <c r="R140" s="457">
        <v>518834</v>
      </c>
      <c r="S140" s="457">
        <v>0</v>
      </c>
      <c r="T140" s="457">
        <v>0</v>
      </c>
      <c r="U140" s="457">
        <v>518834</v>
      </c>
      <c r="V140" s="457">
        <v>-1504839</v>
      </c>
      <c r="W140" s="457">
        <v>0</v>
      </c>
      <c r="X140" s="457">
        <v>0</v>
      </c>
      <c r="Y140" s="457">
        <v>-1504839</v>
      </c>
      <c r="Z140" s="457">
        <v>401106</v>
      </c>
      <c r="AA140" s="457">
        <v>401106</v>
      </c>
      <c r="AB140" s="457">
        <v>0</v>
      </c>
      <c r="AC140" s="457">
        <v>0</v>
      </c>
      <c r="AD140" s="457">
        <v>0</v>
      </c>
      <c r="AE140" s="457">
        <v>0</v>
      </c>
      <c r="AF140" s="457">
        <v>0</v>
      </c>
      <c r="AG140" s="457">
        <v>0</v>
      </c>
      <c r="AH140" s="457">
        <v>0</v>
      </c>
      <c r="AI140" s="457">
        <v>0</v>
      </c>
      <c r="AJ140" s="457">
        <v>0</v>
      </c>
      <c r="AK140" s="457">
        <v>0</v>
      </c>
      <c r="AL140" s="457">
        <v>0</v>
      </c>
      <c r="AM140" s="457">
        <v>0</v>
      </c>
      <c r="AN140" s="457">
        <v>0</v>
      </c>
      <c r="AO140" s="457">
        <v>0</v>
      </c>
      <c r="AP140" s="457">
        <v>0</v>
      </c>
      <c r="AQ140" s="457">
        <v>0</v>
      </c>
      <c r="AR140" s="457">
        <v>0</v>
      </c>
      <c r="AS140" s="457">
        <v>0</v>
      </c>
      <c r="AT140" s="457">
        <v>0</v>
      </c>
      <c r="AU140" s="457">
        <v>0</v>
      </c>
      <c r="AV140" s="457">
        <v>0</v>
      </c>
      <c r="AW140" s="457">
        <v>0</v>
      </c>
      <c r="AX140" s="457">
        <v>0</v>
      </c>
      <c r="AY140" s="457">
        <v>0</v>
      </c>
      <c r="AZ140" s="457">
        <v>0</v>
      </c>
      <c r="BA140" s="457">
        <v>380355</v>
      </c>
      <c r="BB140" s="457">
        <v>312726</v>
      </c>
      <c r="BC140" s="457">
        <v>67629</v>
      </c>
      <c r="BD140" s="457">
        <v>253570</v>
      </c>
      <c r="BE140" s="457">
        <v>208484</v>
      </c>
      <c r="BF140" s="457">
        <v>45086</v>
      </c>
      <c r="BG140" s="457">
        <v>0</v>
      </c>
      <c r="BH140" s="457">
        <v>0</v>
      </c>
      <c r="BI140" s="457">
        <v>0</v>
      </c>
    </row>
    <row r="141" spans="1:61" ht="12.75" x14ac:dyDescent="0.2">
      <c r="A141" s="446">
        <v>134</v>
      </c>
      <c r="B141" s="447" t="s">
        <v>151</v>
      </c>
      <c r="C141" s="448" t="s">
        <v>1093</v>
      </c>
      <c r="D141" s="449" t="s">
        <v>1097</v>
      </c>
      <c r="E141" s="450" t="s">
        <v>1113</v>
      </c>
      <c r="F141" s="457">
        <v>49823584</v>
      </c>
      <c r="G141" s="457">
        <v>0</v>
      </c>
      <c r="H141" s="457">
        <v>692847</v>
      </c>
      <c r="I141" s="457">
        <v>50516431</v>
      </c>
      <c r="J141" s="457">
        <v>49752775</v>
      </c>
      <c r="K141" s="457">
        <v>0</v>
      </c>
      <c r="L141" s="457">
        <v>692263</v>
      </c>
      <c r="M141" s="457">
        <v>50445038</v>
      </c>
      <c r="N141" s="457">
        <v>70809</v>
      </c>
      <c r="O141" s="457">
        <v>0</v>
      </c>
      <c r="P141" s="457">
        <v>584</v>
      </c>
      <c r="Q141" s="457">
        <v>71393</v>
      </c>
      <c r="R141" s="457">
        <v>121145</v>
      </c>
      <c r="S141" s="457">
        <v>0</v>
      </c>
      <c r="T141" s="457">
        <v>0</v>
      </c>
      <c r="U141" s="457">
        <v>121145</v>
      </c>
      <c r="V141" s="457">
        <v>-50336</v>
      </c>
      <c r="W141" s="457">
        <v>0</v>
      </c>
      <c r="X141" s="457">
        <v>584</v>
      </c>
      <c r="Y141" s="457">
        <v>-49752</v>
      </c>
      <c r="Z141" s="457">
        <v>221475</v>
      </c>
      <c r="AA141" s="457">
        <v>221475</v>
      </c>
      <c r="AB141" s="457">
        <v>0</v>
      </c>
      <c r="AC141" s="457">
        <v>79342</v>
      </c>
      <c r="AD141" s="457">
        <v>6302</v>
      </c>
      <c r="AE141" s="457">
        <v>73040</v>
      </c>
      <c r="AF141" s="457">
        <v>0</v>
      </c>
      <c r="AG141" s="457">
        <v>0</v>
      </c>
      <c r="AH141" s="457">
        <v>0</v>
      </c>
      <c r="AI141" s="457">
        <v>190755</v>
      </c>
      <c r="AJ141" s="457">
        <v>0</v>
      </c>
      <c r="AK141" s="457">
        <v>190755</v>
      </c>
      <c r="AL141" s="457">
        <v>0</v>
      </c>
      <c r="AM141" s="457">
        <v>0</v>
      </c>
      <c r="AN141" s="457">
        <v>0</v>
      </c>
      <c r="AO141" s="457">
        <v>512193</v>
      </c>
      <c r="AP141" s="457">
        <v>603303</v>
      </c>
      <c r="AQ141" s="457">
        <v>-91110</v>
      </c>
      <c r="AR141" s="457">
        <v>512193</v>
      </c>
      <c r="AS141" s="457">
        <v>0</v>
      </c>
      <c r="AT141" s="457">
        <v>512193</v>
      </c>
      <c r="AU141" s="457">
        <v>0</v>
      </c>
      <c r="AV141" s="457">
        <v>0</v>
      </c>
      <c r="AW141" s="457">
        <v>0</v>
      </c>
      <c r="AX141" s="457">
        <v>0</v>
      </c>
      <c r="AY141" s="457">
        <v>0</v>
      </c>
      <c r="AZ141" s="457">
        <v>0</v>
      </c>
      <c r="BA141" s="457">
        <v>542150</v>
      </c>
      <c r="BB141" s="457">
        <v>463789</v>
      </c>
      <c r="BC141" s="457">
        <v>78361</v>
      </c>
      <c r="BD141" s="457">
        <v>121438</v>
      </c>
      <c r="BE141" s="457">
        <v>104352</v>
      </c>
      <c r="BF141" s="457">
        <v>17086</v>
      </c>
      <c r="BG141" s="457">
        <v>13493</v>
      </c>
      <c r="BH141" s="457">
        <v>11595</v>
      </c>
      <c r="BI141" s="457">
        <v>1898</v>
      </c>
    </row>
    <row r="142" spans="1:61" ht="12.75" x14ac:dyDescent="0.2">
      <c r="A142" s="446">
        <v>135</v>
      </c>
      <c r="B142" s="447" t="s">
        <v>153</v>
      </c>
      <c r="C142" s="448" t="s">
        <v>1093</v>
      </c>
      <c r="D142" s="449" t="s">
        <v>1095</v>
      </c>
      <c r="E142" s="450" t="s">
        <v>152</v>
      </c>
      <c r="F142" s="457">
        <v>20803309.800000001</v>
      </c>
      <c r="G142" s="457">
        <v>0</v>
      </c>
      <c r="H142" s="457">
        <v>0</v>
      </c>
      <c r="I142" s="457">
        <v>20803309.800000001</v>
      </c>
      <c r="J142" s="457">
        <v>20899070.600000001</v>
      </c>
      <c r="K142" s="457">
        <v>0</v>
      </c>
      <c r="L142" s="457">
        <v>0</v>
      </c>
      <c r="M142" s="457">
        <v>20899070.600000001</v>
      </c>
      <c r="N142" s="457">
        <v>-95760.81</v>
      </c>
      <c r="O142" s="457">
        <v>0</v>
      </c>
      <c r="P142" s="457">
        <v>0</v>
      </c>
      <c r="Q142" s="457">
        <v>-95760.81</v>
      </c>
      <c r="R142" s="457">
        <v>143849</v>
      </c>
      <c r="S142" s="457">
        <v>0</v>
      </c>
      <c r="T142" s="457">
        <v>0</v>
      </c>
      <c r="U142" s="457">
        <v>143849</v>
      </c>
      <c r="V142" s="457">
        <v>-239610</v>
      </c>
      <c r="W142" s="457">
        <v>0</v>
      </c>
      <c r="X142" s="457">
        <v>0</v>
      </c>
      <c r="Y142" s="457">
        <v>-239610</v>
      </c>
      <c r="Z142" s="457">
        <v>133530</v>
      </c>
      <c r="AA142" s="457">
        <v>133530</v>
      </c>
      <c r="AB142" s="457">
        <v>0</v>
      </c>
      <c r="AC142" s="457">
        <v>0</v>
      </c>
      <c r="AD142" s="457">
        <v>0</v>
      </c>
      <c r="AE142" s="457">
        <v>0</v>
      </c>
      <c r="AF142" s="457">
        <v>0</v>
      </c>
      <c r="AG142" s="457">
        <v>0</v>
      </c>
      <c r="AH142" s="457">
        <v>0</v>
      </c>
      <c r="AI142" s="457">
        <v>0</v>
      </c>
      <c r="AJ142" s="457">
        <v>0</v>
      </c>
      <c r="AK142" s="457">
        <v>0</v>
      </c>
      <c r="AL142" s="457">
        <v>0</v>
      </c>
      <c r="AM142" s="457">
        <v>0</v>
      </c>
      <c r="AN142" s="457">
        <v>0</v>
      </c>
      <c r="AO142" s="457">
        <v>0</v>
      </c>
      <c r="AP142" s="457">
        <v>0</v>
      </c>
      <c r="AQ142" s="457">
        <v>0</v>
      </c>
      <c r="AR142" s="457">
        <v>0</v>
      </c>
      <c r="AS142" s="457">
        <v>0</v>
      </c>
      <c r="AT142" s="457">
        <v>0</v>
      </c>
      <c r="AU142" s="457">
        <v>0</v>
      </c>
      <c r="AV142" s="457">
        <v>0</v>
      </c>
      <c r="AW142" s="457">
        <v>0</v>
      </c>
      <c r="AX142" s="457">
        <v>0</v>
      </c>
      <c r="AY142" s="457">
        <v>0</v>
      </c>
      <c r="AZ142" s="457">
        <v>0</v>
      </c>
      <c r="BA142" s="457">
        <v>438320</v>
      </c>
      <c r="BB142" s="457">
        <v>363270</v>
      </c>
      <c r="BC142" s="457">
        <v>75050</v>
      </c>
      <c r="BD142" s="457">
        <v>98622</v>
      </c>
      <c r="BE142" s="457">
        <v>81736</v>
      </c>
      <c r="BF142" s="457">
        <v>16886</v>
      </c>
      <c r="BG142" s="457">
        <v>10958</v>
      </c>
      <c r="BH142" s="457">
        <v>9082</v>
      </c>
      <c r="BI142" s="457">
        <v>1876</v>
      </c>
    </row>
    <row r="143" spans="1:61" ht="12.75" x14ac:dyDescent="0.2">
      <c r="A143" s="446">
        <v>136</v>
      </c>
      <c r="B143" s="447" t="s">
        <v>155</v>
      </c>
      <c r="C143" s="448" t="s">
        <v>1093</v>
      </c>
      <c r="D143" s="449" t="s">
        <v>1097</v>
      </c>
      <c r="E143" s="450" t="s">
        <v>154</v>
      </c>
      <c r="F143" s="457">
        <v>62941134.100000001</v>
      </c>
      <c r="G143" s="457">
        <v>0</v>
      </c>
      <c r="H143" s="457">
        <v>0</v>
      </c>
      <c r="I143" s="457">
        <v>62941134.100000001</v>
      </c>
      <c r="J143" s="457">
        <v>62874152.700000003</v>
      </c>
      <c r="K143" s="457">
        <v>0</v>
      </c>
      <c r="L143" s="457">
        <v>0</v>
      </c>
      <c r="M143" s="457">
        <v>62874152.700000003</v>
      </c>
      <c r="N143" s="457">
        <v>66981.37</v>
      </c>
      <c r="O143" s="457">
        <v>0</v>
      </c>
      <c r="P143" s="457">
        <v>0</v>
      </c>
      <c r="Q143" s="457">
        <v>66981.37</v>
      </c>
      <c r="R143" s="457">
        <v>166496</v>
      </c>
      <c r="S143" s="457">
        <v>0</v>
      </c>
      <c r="T143" s="457">
        <v>0</v>
      </c>
      <c r="U143" s="457">
        <v>166496</v>
      </c>
      <c r="V143" s="457">
        <v>-99515</v>
      </c>
      <c r="W143" s="457">
        <v>0</v>
      </c>
      <c r="X143" s="457">
        <v>0</v>
      </c>
      <c r="Y143" s="457">
        <v>-99515</v>
      </c>
      <c r="Z143" s="457">
        <v>192368</v>
      </c>
      <c r="AA143" s="457">
        <v>192368</v>
      </c>
      <c r="AB143" s="457">
        <v>0</v>
      </c>
      <c r="AC143" s="457">
        <v>0</v>
      </c>
      <c r="AD143" s="457">
        <v>0</v>
      </c>
      <c r="AE143" s="457">
        <v>0</v>
      </c>
      <c r="AF143" s="457">
        <v>0</v>
      </c>
      <c r="AG143" s="457">
        <v>0</v>
      </c>
      <c r="AH143" s="457">
        <v>0</v>
      </c>
      <c r="AI143" s="457">
        <v>0</v>
      </c>
      <c r="AJ143" s="457">
        <v>0</v>
      </c>
      <c r="AK143" s="457">
        <v>0</v>
      </c>
      <c r="AL143" s="457">
        <v>0</v>
      </c>
      <c r="AM143" s="457">
        <v>0</v>
      </c>
      <c r="AN143" s="457">
        <v>0</v>
      </c>
      <c r="AO143" s="457">
        <v>0</v>
      </c>
      <c r="AP143" s="457">
        <v>0</v>
      </c>
      <c r="AQ143" s="457">
        <v>0</v>
      </c>
      <c r="AR143" s="457">
        <v>0</v>
      </c>
      <c r="AS143" s="457">
        <v>0</v>
      </c>
      <c r="AT143" s="457">
        <v>0</v>
      </c>
      <c r="AU143" s="457">
        <v>0</v>
      </c>
      <c r="AV143" s="457">
        <v>0</v>
      </c>
      <c r="AW143" s="457">
        <v>0</v>
      </c>
      <c r="AX143" s="457">
        <v>0</v>
      </c>
      <c r="AY143" s="457">
        <v>0</v>
      </c>
      <c r="AZ143" s="457">
        <v>0</v>
      </c>
      <c r="BA143" s="457">
        <v>429287</v>
      </c>
      <c r="BB143" s="457">
        <v>362178</v>
      </c>
      <c r="BC143" s="457">
        <v>67109</v>
      </c>
      <c r="BD143" s="457">
        <v>107322</v>
      </c>
      <c r="BE143" s="457">
        <v>90544</v>
      </c>
      <c r="BF143" s="457">
        <v>16778</v>
      </c>
      <c r="BG143" s="457">
        <v>0</v>
      </c>
      <c r="BH143" s="457">
        <v>0</v>
      </c>
      <c r="BI143" s="457">
        <v>0</v>
      </c>
    </row>
    <row r="144" spans="1:61" ht="12.75" x14ac:dyDescent="0.2">
      <c r="A144" s="446">
        <v>137</v>
      </c>
      <c r="B144" s="447" t="s">
        <v>157</v>
      </c>
      <c r="C144" s="448" t="s">
        <v>794</v>
      </c>
      <c r="D144" s="449" t="s">
        <v>1094</v>
      </c>
      <c r="E144" s="450" t="s">
        <v>1114</v>
      </c>
      <c r="F144" s="457">
        <v>30829247</v>
      </c>
      <c r="G144" s="457">
        <v>0</v>
      </c>
      <c r="H144" s="457">
        <v>0</v>
      </c>
      <c r="I144" s="457">
        <v>30829247</v>
      </c>
      <c r="J144" s="457">
        <v>30886444</v>
      </c>
      <c r="K144" s="457">
        <v>0</v>
      </c>
      <c r="L144" s="457">
        <v>0</v>
      </c>
      <c r="M144" s="457">
        <v>30886444</v>
      </c>
      <c r="N144" s="457">
        <v>-57197</v>
      </c>
      <c r="O144" s="457">
        <v>0</v>
      </c>
      <c r="P144" s="457">
        <v>0</v>
      </c>
      <c r="Q144" s="457">
        <v>-57197</v>
      </c>
      <c r="R144" s="457">
        <v>208000</v>
      </c>
      <c r="S144" s="457">
        <v>0</v>
      </c>
      <c r="T144" s="457">
        <v>0</v>
      </c>
      <c r="U144" s="457">
        <v>208000</v>
      </c>
      <c r="V144" s="457">
        <v>-265197</v>
      </c>
      <c r="W144" s="457">
        <v>0</v>
      </c>
      <c r="X144" s="457">
        <v>0</v>
      </c>
      <c r="Y144" s="457">
        <v>-265197</v>
      </c>
      <c r="Z144" s="457">
        <v>250493</v>
      </c>
      <c r="AA144" s="457">
        <v>250493</v>
      </c>
      <c r="AB144" s="457">
        <v>0</v>
      </c>
      <c r="AC144" s="457">
        <v>0</v>
      </c>
      <c r="AD144" s="457">
        <v>0</v>
      </c>
      <c r="AE144" s="457">
        <v>0</v>
      </c>
      <c r="AF144" s="457">
        <v>0</v>
      </c>
      <c r="AG144" s="457">
        <v>0</v>
      </c>
      <c r="AH144" s="457">
        <v>0</v>
      </c>
      <c r="AI144" s="457">
        <v>79257</v>
      </c>
      <c r="AJ144" s="457">
        <v>0</v>
      </c>
      <c r="AK144" s="457">
        <v>79257</v>
      </c>
      <c r="AL144" s="457">
        <v>0</v>
      </c>
      <c r="AM144" s="457">
        <v>0</v>
      </c>
      <c r="AN144" s="457">
        <v>0</v>
      </c>
      <c r="AO144" s="457">
        <v>0</v>
      </c>
      <c r="AP144" s="457">
        <v>0</v>
      </c>
      <c r="AQ144" s="457">
        <v>0</v>
      </c>
      <c r="AR144" s="457">
        <v>0</v>
      </c>
      <c r="AS144" s="457">
        <v>0</v>
      </c>
      <c r="AT144" s="457">
        <v>0</v>
      </c>
      <c r="AU144" s="457">
        <v>0</v>
      </c>
      <c r="AV144" s="457">
        <v>0</v>
      </c>
      <c r="AW144" s="457">
        <v>0</v>
      </c>
      <c r="AX144" s="457">
        <v>0</v>
      </c>
      <c r="AY144" s="457">
        <v>0</v>
      </c>
      <c r="AZ144" s="457">
        <v>0</v>
      </c>
      <c r="BA144" s="457">
        <v>1078272</v>
      </c>
      <c r="BB144" s="457">
        <v>913958</v>
      </c>
      <c r="BC144" s="457">
        <v>164314</v>
      </c>
      <c r="BD144" s="457">
        <v>0</v>
      </c>
      <c r="BE144" s="457">
        <v>0</v>
      </c>
      <c r="BF144" s="457">
        <v>0</v>
      </c>
      <c r="BG144" s="457">
        <v>0</v>
      </c>
      <c r="BH144" s="457">
        <v>0</v>
      </c>
      <c r="BI144" s="457">
        <v>0</v>
      </c>
    </row>
    <row r="145" spans="1:61" ht="12.75" x14ac:dyDescent="0.2">
      <c r="A145" s="446">
        <v>138</v>
      </c>
      <c r="B145" s="447" t="s">
        <v>159</v>
      </c>
      <c r="C145" s="448" t="s">
        <v>794</v>
      </c>
      <c r="D145" s="449" t="s">
        <v>1102</v>
      </c>
      <c r="E145" s="450" t="s">
        <v>158</v>
      </c>
      <c r="F145" s="457">
        <v>1540958</v>
      </c>
      <c r="G145" s="457">
        <v>0</v>
      </c>
      <c r="H145" s="457">
        <v>0</v>
      </c>
      <c r="I145" s="457">
        <v>1540958</v>
      </c>
      <c r="J145" s="457">
        <v>1499641</v>
      </c>
      <c r="K145" s="457">
        <v>0</v>
      </c>
      <c r="L145" s="457">
        <v>0</v>
      </c>
      <c r="M145" s="457">
        <v>1499641</v>
      </c>
      <c r="N145" s="457">
        <v>41317</v>
      </c>
      <c r="O145" s="457">
        <v>0</v>
      </c>
      <c r="P145" s="457">
        <v>0</v>
      </c>
      <c r="Q145" s="457">
        <v>41317</v>
      </c>
      <c r="R145" s="457">
        <v>23647</v>
      </c>
      <c r="S145" s="457">
        <v>0</v>
      </c>
      <c r="T145" s="457">
        <v>0</v>
      </c>
      <c r="U145" s="457">
        <v>23647</v>
      </c>
      <c r="V145" s="457">
        <v>17670</v>
      </c>
      <c r="W145" s="457">
        <v>0</v>
      </c>
      <c r="X145" s="457">
        <v>0</v>
      </c>
      <c r="Y145" s="457">
        <v>17670</v>
      </c>
      <c r="Z145" s="457">
        <v>24797</v>
      </c>
      <c r="AA145" s="457">
        <v>24797</v>
      </c>
      <c r="AB145" s="457">
        <v>0</v>
      </c>
      <c r="AC145" s="457">
        <v>0</v>
      </c>
      <c r="AD145" s="457">
        <v>0</v>
      </c>
      <c r="AE145" s="457">
        <v>0</v>
      </c>
      <c r="AF145" s="457">
        <v>0</v>
      </c>
      <c r="AG145" s="457">
        <v>0</v>
      </c>
      <c r="AH145" s="457">
        <v>0</v>
      </c>
      <c r="AI145" s="457">
        <v>0</v>
      </c>
      <c r="AJ145" s="457">
        <v>0</v>
      </c>
      <c r="AK145" s="457">
        <v>0</v>
      </c>
      <c r="AL145" s="457">
        <v>0</v>
      </c>
      <c r="AM145" s="457">
        <v>0</v>
      </c>
      <c r="AN145" s="457">
        <v>0</v>
      </c>
      <c r="AO145" s="457">
        <v>0</v>
      </c>
      <c r="AP145" s="457">
        <v>0</v>
      </c>
      <c r="AQ145" s="457">
        <v>0</v>
      </c>
      <c r="AR145" s="457">
        <v>0</v>
      </c>
      <c r="AS145" s="457">
        <v>0</v>
      </c>
      <c r="AT145" s="457">
        <v>0</v>
      </c>
      <c r="AU145" s="457">
        <v>0</v>
      </c>
      <c r="AV145" s="457">
        <v>0</v>
      </c>
      <c r="AW145" s="457">
        <v>0</v>
      </c>
      <c r="AX145" s="457">
        <v>0</v>
      </c>
      <c r="AY145" s="457">
        <v>0</v>
      </c>
      <c r="AZ145" s="457">
        <v>0</v>
      </c>
      <c r="BA145" s="457">
        <v>74799</v>
      </c>
      <c r="BB145" s="457">
        <v>57243</v>
      </c>
      <c r="BC145" s="457">
        <v>17556</v>
      </c>
      <c r="BD145" s="457">
        <v>0</v>
      </c>
      <c r="BE145" s="457">
        <v>0</v>
      </c>
      <c r="BF145" s="457">
        <v>0</v>
      </c>
      <c r="BG145" s="457">
        <v>0</v>
      </c>
      <c r="BH145" s="457">
        <v>0</v>
      </c>
      <c r="BI145" s="457">
        <v>0</v>
      </c>
    </row>
    <row r="146" spans="1:61" ht="12.75" x14ac:dyDescent="0.2">
      <c r="A146" s="446">
        <v>139</v>
      </c>
      <c r="B146" s="447" t="s">
        <v>161</v>
      </c>
      <c r="C146" s="448" t="s">
        <v>1104</v>
      </c>
      <c r="D146" s="449" t="s">
        <v>1099</v>
      </c>
      <c r="E146" s="450" t="s">
        <v>160</v>
      </c>
      <c r="F146" s="457">
        <v>25321649</v>
      </c>
      <c r="G146" s="457">
        <v>0</v>
      </c>
      <c r="H146" s="457">
        <v>0</v>
      </c>
      <c r="I146" s="457">
        <v>25321649</v>
      </c>
      <c r="J146" s="457">
        <v>26185104</v>
      </c>
      <c r="K146" s="457">
        <v>0</v>
      </c>
      <c r="L146" s="457">
        <v>0</v>
      </c>
      <c r="M146" s="457">
        <v>26185104</v>
      </c>
      <c r="N146" s="457">
        <v>-863455</v>
      </c>
      <c r="O146" s="457">
        <v>0</v>
      </c>
      <c r="P146" s="457">
        <v>0</v>
      </c>
      <c r="Q146" s="457">
        <v>-863455</v>
      </c>
      <c r="R146" s="457">
        <v>873035</v>
      </c>
      <c r="S146" s="457">
        <v>0</v>
      </c>
      <c r="T146" s="457">
        <v>0</v>
      </c>
      <c r="U146" s="457">
        <v>873035</v>
      </c>
      <c r="V146" s="457">
        <v>-1736490</v>
      </c>
      <c r="W146" s="457">
        <v>0</v>
      </c>
      <c r="X146" s="457">
        <v>0</v>
      </c>
      <c r="Y146" s="457">
        <v>-1736490</v>
      </c>
      <c r="Z146" s="457">
        <v>656470</v>
      </c>
      <c r="AA146" s="457">
        <v>656470</v>
      </c>
      <c r="AB146" s="457">
        <v>0</v>
      </c>
      <c r="AC146" s="457">
        <v>0</v>
      </c>
      <c r="AD146" s="457">
        <v>0</v>
      </c>
      <c r="AE146" s="457">
        <v>0</v>
      </c>
      <c r="AF146" s="457">
        <v>0</v>
      </c>
      <c r="AG146" s="457">
        <v>0</v>
      </c>
      <c r="AH146" s="457">
        <v>0</v>
      </c>
      <c r="AI146" s="457">
        <v>60284</v>
      </c>
      <c r="AJ146" s="457">
        <v>0</v>
      </c>
      <c r="AK146" s="457">
        <v>60284</v>
      </c>
      <c r="AL146" s="457">
        <v>0</v>
      </c>
      <c r="AM146" s="457">
        <v>0</v>
      </c>
      <c r="AN146" s="457">
        <v>0</v>
      </c>
      <c r="AO146" s="457">
        <v>0</v>
      </c>
      <c r="AP146" s="457">
        <v>0</v>
      </c>
      <c r="AQ146" s="457">
        <v>0</v>
      </c>
      <c r="AR146" s="457">
        <v>0</v>
      </c>
      <c r="AS146" s="457">
        <v>0</v>
      </c>
      <c r="AT146" s="457">
        <v>0</v>
      </c>
      <c r="AU146" s="457">
        <v>0</v>
      </c>
      <c r="AV146" s="457">
        <v>0</v>
      </c>
      <c r="AW146" s="457">
        <v>0</v>
      </c>
      <c r="AX146" s="457">
        <v>0</v>
      </c>
      <c r="AY146" s="457">
        <v>0</v>
      </c>
      <c r="AZ146" s="457">
        <v>0</v>
      </c>
      <c r="BA146" s="457">
        <v>438165</v>
      </c>
      <c r="BB146" s="457">
        <v>375072</v>
      </c>
      <c r="BC146" s="457">
        <v>63093</v>
      </c>
      <c r="BD146" s="457">
        <v>292110</v>
      </c>
      <c r="BE146" s="457">
        <v>250048</v>
      </c>
      <c r="BF146" s="457">
        <v>42062</v>
      </c>
      <c r="BG146" s="457">
        <v>0</v>
      </c>
      <c r="BH146" s="457">
        <v>0</v>
      </c>
      <c r="BI146" s="457">
        <v>0</v>
      </c>
    </row>
    <row r="147" spans="1:61" ht="12.75" x14ac:dyDescent="0.2">
      <c r="A147" s="446">
        <v>140</v>
      </c>
      <c r="B147" s="447" t="s">
        <v>163</v>
      </c>
      <c r="C147" s="448" t="s">
        <v>1104</v>
      </c>
      <c r="D147" s="449" t="s">
        <v>1099</v>
      </c>
      <c r="E147" s="450" t="s">
        <v>722</v>
      </c>
      <c r="F147" s="457">
        <v>276826380</v>
      </c>
      <c r="G147" s="457">
        <v>0</v>
      </c>
      <c r="H147" s="457">
        <v>0</v>
      </c>
      <c r="I147" s="457">
        <v>276826380</v>
      </c>
      <c r="J147" s="457">
        <v>277870404</v>
      </c>
      <c r="K147" s="457">
        <v>0</v>
      </c>
      <c r="L147" s="457">
        <v>0</v>
      </c>
      <c r="M147" s="457">
        <v>277870404</v>
      </c>
      <c r="N147" s="457">
        <v>-1044024</v>
      </c>
      <c r="O147" s="457">
        <v>0</v>
      </c>
      <c r="P147" s="457">
        <v>0</v>
      </c>
      <c r="Q147" s="457">
        <v>-1044024</v>
      </c>
      <c r="R147" s="457">
        <v>1245859</v>
      </c>
      <c r="S147" s="457">
        <v>0</v>
      </c>
      <c r="T147" s="457">
        <v>0</v>
      </c>
      <c r="U147" s="457">
        <v>1245859</v>
      </c>
      <c r="V147" s="457">
        <v>-2289883</v>
      </c>
      <c r="W147" s="457">
        <v>0</v>
      </c>
      <c r="X147" s="457">
        <v>0</v>
      </c>
      <c r="Y147" s="457">
        <v>-2289883</v>
      </c>
      <c r="Z147" s="457">
        <v>619513</v>
      </c>
      <c r="AA147" s="457">
        <v>619513</v>
      </c>
      <c r="AB147" s="457">
        <v>0</v>
      </c>
      <c r="AC147" s="457">
        <v>0</v>
      </c>
      <c r="AD147" s="457">
        <v>0</v>
      </c>
      <c r="AE147" s="457">
        <v>0</v>
      </c>
      <c r="AF147" s="457">
        <v>0</v>
      </c>
      <c r="AG147" s="457">
        <v>0</v>
      </c>
      <c r="AH147" s="457">
        <v>0</v>
      </c>
      <c r="AI147" s="457">
        <v>0</v>
      </c>
      <c r="AJ147" s="457">
        <v>0</v>
      </c>
      <c r="AK147" s="457">
        <v>0</v>
      </c>
      <c r="AL147" s="457">
        <v>0</v>
      </c>
      <c r="AM147" s="457">
        <v>0</v>
      </c>
      <c r="AN147" s="457">
        <v>0</v>
      </c>
      <c r="AO147" s="457">
        <v>0</v>
      </c>
      <c r="AP147" s="457">
        <v>0</v>
      </c>
      <c r="AQ147" s="457">
        <v>0</v>
      </c>
      <c r="AR147" s="457">
        <v>0</v>
      </c>
      <c r="AS147" s="457">
        <v>0</v>
      </c>
      <c r="AT147" s="457">
        <v>0</v>
      </c>
      <c r="AU147" s="457">
        <v>0</v>
      </c>
      <c r="AV147" s="457">
        <v>0</v>
      </c>
      <c r="AW147" s="457">
        <v>0</v>
      </c>
      <c r="AX147" s="457">
        <v>0</v>
      </c>
      <c r="AY147" s="457">
        <v>0</v>
      </c>
      <c r="AZ147" s="457">
        <v>0</v>
      </c>
      <c r="BA147" s="457">
        <v>208510</v>
      </c>
      <c r="BB147" s="457">
        <v>160453</v>
      </c>
      <c r="BC147" s="457">
        <v>48057</v>
      </c>
      <c r="BD147" s="457">
        <v>139007</v>
      </c>
      <c r="BE147" s="457">
        <v>106969</v>
      </c>
      <c r="BF147" s="457">
        <v>32038</v>
      </c>
      <c r="BG147" s="457">
        <v>0</v>
      </c>
      <c r="BH147" s="457">
        <v>0</v>
      </c>
      <c r="BI147" s="457">
        <v>0</v>
      </c>
    </row>
    <row r="148" spans="1:61" ht="12.75" x14ac:dyDescent="0.2">
      <c r="A148" s="446">
        <v>141</v>
      </c>
      <c r="B148" s="447" t="s">
        <v>165</v>
      </c>
      <c r="C148" s="448" t="s">
        <v>1093</v>
      </c>
      <c r="D148" s="449" t="s">
        <v>1096</v>
      </c>
      <c r="E148" s="450" t="s">
        <v>164</v>
      </c>
      <c r="F148" s="457">
        <v>30779483</v>
      </c>
      <c r="G148" s="457">
        <v>0</v>
      </c>
      <c r="H148" s="457">
        <v>0</v>
      </c>
      <c r="I148" s="457">
        <v>30779483</v>
      </c>
      <c r="J148" s="457">
        <v>31075137</v>
      </c>
      <c r="K148" s="457">
        <v>0</v>
      </c>
      <c r="L148" s="457">
        <v>0</v>
      </c>
      <c r="M148" s="457">
        <v>31075137</v>
      </c>
      <c r="N148" s="457">
        <v>-295654</v>
      </c>
      <c r="O148" s="457">
        <v>0</v>
      </c>
      <c r="P148" s="457">
        <v>0</v>
      </c>
      <c r="Q148" s="457">
        <v>-295654</v>
      </c>
      <c r="R148" s="457">
        <v>-220999</v>
      </c>
      <c r="S148" s="457">
        <v>0</v>
      </c>
      <c r="T148" s="457">
        <v>0</v>
      </c>
      <c r="U148" s="457">
        <v>-220999</v>
      </c>
      <c r="V148" s="457">
        <v>-74655</v>
      </c>
      <c r="W148" s="457">
        <v>0</v>
      </c>
      <c r="X148" s="457">
        <v>0</v>
      </c>
      <c r="Y148" s="457">
        <v>-74655</v>
      </c>
      <c r="Z148" s="457">
        <v>110894</v>
      </c>
      <c r="AA148" s="457">
        <v>110894</v>
      </c>
      <c r="AB148" s="457">
        <v>0</v>
      </c>
      <c r="AC148" s="457">
        <v>0</v>
      </c>
      <c r="AD148" s="457">
        <v>0</v>
      </c>
      <c r="AE148" s="457">
        <v>0</v>
      </c>
      <c r="AF148" s="457">
        <v>0</v>
      </c>
      <c r="AG148" s="457">
        <v>0</v>
      </c>
      <c r="AH148" s="457">
        <v>0</v>
      </c>
      <c r="AI148" s="457">
        <v>0</v>
      </c>
      <c r="AJ148" s="457">
        <v>0</v>
      </c>
      <c r="AK148" s="457">
        <v>0</v>
      </c>
      <c r="AL148" s="457">
        <v>0</v>
      </c>
      <c r="AM148" s="457">
        <v>0</v>
      </c>
      <c r="AN148" s="457">
        <v>0</v>
      </c>
      <c r="AO148" s="457">
        <v>0</v>
      </c>
      <c r="AP148" s="457">
        <v>0</v>
      </c>
      <c r="AQ148" s="457">
        <v>0</v>
      </c>
      <c r="AR148" s="457">
        <v>0</v>
      </c>
      <c r="AS148" s="457">
        <v>0</v>
      </c>
      <c r="AT148" s="457">
        <v>0</v>
      </c>
      <c r="AU148" s="457">
        <v>0</v>
      </c>
      <c r="AV148" s="457">
        <v>0</v>
      </c>
      <c r="AW148" s="457">
        <v>0</v>
      </c>
      <c r="AX148" s="457">
        <v>0</v>
      </c>
      <c r="AY148" s="457">
        <v>0</v>
      </c>
      <c r="AZ148" s="457">
        <v>0</v>
      </c>
      <c r="BA148" s="457">
        <v>298797</v>
      </c>
      <c r="BB148" s="457">
        <v>266545</v>
      </c>
      <c r="BC148" s="457">
        <v>32252</v>
      </c>
      <c r="BD148" s="457">
        <v>74699</v>
      </c>
      <c r="BE148" s="457">
        <v>66636</v>
      </c>
      <c r="BF148" s="457">
        <v>8063</v>
      </c>
      <c r="BG148" s="457">
        <v>0</v>
      </c>
      <c r="BH148" s="457">
        <v>0</v>
      </c>
      <c r="BI148" s="457">
        <v>0</v>
      </c>
    </row>
    <row r="149" spans="1:61" ht="12.75" x14ac:dyDescent="0.2">
      <c r="A149" s="446">
        <v>142</v>
      </c>
      <c r="B149" s="447" t="s">
        <v>167</v>
      </c>
      <c r="C149" s="448" t="s">
        <v>1093</v>
      </c>
      <c r="D149" s="449" t="s">
        <v>1097</v>
      </c>
      <c r="E149" s="450" t="s">
        <v>1115</v>
      </c>
      <c r="F149" s="457">
        <v>51011601</v>
      </c>
      <c r="G149" s="457">
        <v>0</v>
      </c>
      <c r="H149" s="457">
        <v>0</v>
      </c>
      <c r="I149" s="457">
        <v>51011601</v>
      </c>
      <c r="J149" s="457">
        <v>50610262</v>
      </c>
      <c r="K149" s="457">
        <v>0</v>
      </c>
      <c r="L149" s="457">
        <v>0</v>
      </c>
      <c r="M149" s="457">
        <v>50610262</v>
      </c>
      <c r="N149" s="457">
        <v>401339</v>
      </c>
      <c r="O149" s="457">
        <v>0</v>
      </c>
      <c r="P149" s="457">
        <v>0</v>
      </c>
      <c r="Q149" s="457">
        <v>401339</v>
      </c>
      <c r="R149" s="457">
        <v>550605</v>
      </c>
      <c r="S149" s="457">
        <v>0</v>
      </c>
      <c r="T149" s="457">
        <v>0</v>
      </c>
      <c r="U149" s="457">
        <v>550605</v>
      </c>
      <c r="V149" s="457">
        <v>-149266</v>
      </c>
      <c r="W149" s="457">
        <v>0</v>
      </c>
      <c r="X149" s="457">
        <v>0</v>
      </c>
      <c r="Y149" s="457">
        <v>-149266</v>
      </c>
      <c r="Z149" s="457">
        <v>217154</v>
      </c>
      <c r="AA149" s="457">
        <v>217154</v>
      </c>
      <c r="AB149" s="457">
        <v>0</v>
      </c>
      <c r="AC149" s="457">
        <v>0</v>
      </c>
      <c r="AD149" s="457">
        <v>0</v>
      </c>
      <c r="AE149" s="457">
        <v>0</v>
      </c>
      <c r="AF149" s="457">
        <v>0</v>
      </c>
      <c r="AG149" s="457">
        <v>0</v>
      </c>
      <c r="AH149" s="457">
        <v>0</v>
      </c>
      <c r="AI149" s="457">
        <v>329248</v>
      </c>
      <c r="AJ149" s="457">
        <v>0</v>
      </c>
      <c r="AK149" s="457">
        <v>329248</v>
      </c>
      <c r="AL149" s="457">
        <v>0</v>
      </c>
      <c r="AM149" s="457">
        <v>0</v>
      </c>
      <c r="AN149" s="457">
        <v>0</v>
      </c>
      <c r="AO149" s="457">
        <v>0</v>
      </c>
      <c r="AP149" s="457">
        <v>0</v>
      </c>
      <c r="AQ149" s="457">
        <v>0</v>
      </c>
      <c r="AR149" s="457">
        <v>0</v>
      </c>
      <c r="AS149" s="457">
        <v>0</v>
      </c>
      <c r="AT149" s="457">
        <v>0</v>
      </c>
      <c r="AU149" s="457">
        <v>0</v>
      </c>
      <c r="AV149" s="457">
        <v>0</v>
      </c>
      <c r="AW149" s="457">
        <v>0</v>
      </c>
      <c r="AX149" s="457">
        <v>0</v>
      </c>
      <c r="AY149" s="457">
        <v>0</v>
      </c>
      <c r="AZ149" s="457">
        <v>0</v>
      </c>
      <c r="BA149" s="457">
        <v>615848</v>
      </c>
      <c r="BB149" s="457">
        <v>427962</v>
      </c>
      <c r="BC149" s="457">
        <v>187886</v>
      </c>
      <c r="BD149" s="457">
        <v>153962</v>
      </c>
      <c r="BE149" s="457">
        <v>106991</v>
      </c>
      <c r="BF149" s="457">
        <v>46971</v>
      </c>
      <c r="BG149" s="457">
        <v>0</v>
      </c>
      <c r="BH149" s="457">
        <v>0</v>
      </c>
      <c r="BI149" s="457">
        <v>0</v>
      </c>
    </row>
    <row r="150" spans="1:61" ht="12.75" x14ac:dyDescent="0.2">
      <c r="A150" s="446">
        <v>143</v>
      </c>
      <c r="B150" s="447" t="s">
        <v>169</v>
      </c>
      <c r="C150" s="448" t="s">
        <v>794</v>
      </c>
      <c r="D150" s="449" t="s">
        <v>1101</v>
      </c>
      <c r="E150" s="450" t="s">
        <v>1116</v>
      </c>
      <c r="F150" s="457">
        <v>87954916</v>
      </c>
      <c r="G150" s="457">
        <v>0</v>
      </c>
      <c r="H150" s="457">
        <v>0</v>
      </c>
      <c r="I150" s="457">
        <v>87954916</v>
      </c>
      <c r="J150" s="457">
        <v>91014526</v>
      </c>
      <c r="K150" s="457">
        <v>0</v>
      </c>
      <c r="L150" s="457">
        <v>0</v>
      </c>
      <c r="M150" s="457">
        <v>91014526</v>
      </c>
      <c r="N150" s="457">
        <v>-3059610</v>
      </c>
      <c r="O150" s="457">
        <v>0</v>
      </c>
      <c r="P150" s="457">
        <v>0</v>
      </c>
      <c r="Q150" s="457">
        <v>-3059610</v>
      </c>
      <c r="R150" s="457">
        <v>-162870</v>
      </c>
      <c r="S150" s="457">
        <v>0</v>
      </c>
      <c r="T150" s="457">
        <v>0</v>
      </c>
      <c r="U150" s="457">
        <v>-162870</v>
      </c>
      <c r="V150" s="457">
        <v>-2896740</v>
      </c>
      <c r="W150" s="457">
        <v>0</v>
      </c>
      <c r="X150" s="457">
        <v>0</v>
      </c>
      <c r="Y150" s="457">
        <v>-2896740</v>
      </c>
      <c r="Z150" s="457">
        <v>391992</v>
      </c>
      <c r="AA150" s="457">
        <v>377352</v>
      </c>
      <c r="AB150" s="457">
        <v>14640</v>
      </c>
      <c r="AC150" s="457">
        <v>0</v>
      </c>
      <c r="AD150" s="457">
        <v>44458</v>
      </c>
      <c r="AE150" s="457">
        <v>-44458</v>
      </c>
      <c r="AF150" s="457">
        <v>0</v>
      </c>
      <c r="AG150" s="457">
        <v>0</v>
      </c>
      <c r="AH150" s="457">
        <v>0</v>
      </c>
      <c r="AI150" s="457">
        <v>0</v>
      </c>
      <c r="AJ150" s="457">
        <v>0</v>
      </c>
      <c r="AK150" s="457">
        <v>0</v>
      </c>
      <c r="AL150" s="457">
        <v>0</v>
      </c>
      <c r="AM150" s="457">
        <v>0</v>
      </c>
      <c r="AN150" s="457">
        <v>0</v>
      </c>
      <c r="AO150" s="457">
        <v>0</v>
      </c>
      <c r="AP150" s="457">
        <v>0</v>
      </c>
      <c r="AQ150" s="457">
        <v>0</v>
      </c>
      <c r="AR150" s="457">
        <v>0</v>
      </c>
      <c r="AS150" s="457">
        <v>0</v>
      </c>
      <c r="AT150" s="457">
        <v>0</v>
      </c>
      <c r="AU150" s="457">
        <v>0</v>
      </c>
      <c r="AV150" s="457">
        <v>0</v>
      </c>
      <c r="AW150" s="457">
        <v>0</v>
      </c>
      <c r="AX150" s="457">
        <v>0</v>
      </c>
      <c r="AY150" s="457">
        <v>0</v>
      </c>
      <c r="AZ150" s="457">
        <v>0</v>
      </c>
      <c r="BA150" s="457">
        <v>1275775</v>
      </c>
      <c r="BB150" s="457">
        <v>1071856</v>
      </c>
      <c r="BC150" s="457">
        <v>203919</v>
      </c>
      <c r="BD150" s="457">
        <v>0</v>
      </c>
      <c r="BE150" s="457">
        <v>0</v>
      </c>
      <c r="BF150" s="457">
        <v>0</v>
      </c>
      <c r="BG150" s="457">
        <v>26036</v>
      </c>
      <c r="BH150" s="457">
        <v>21875</v>
      </c>
      <c r="BI150" s="457">
        <v>4161</v>
      </c>
    </row>
    <row r="151" spans="1:61" ht="12.75" x14ac:dyDescent="0.2">
      <c r="A151" s="446">
        <v>144</v>
      </c>
      <c r="B151" s="447" t="s">
        <v>171</v>
      </c>
      <c r="C151" s="448" t="s">
        <v>1098</v>
      </c>
      <c r="D151" s="449" t="s">
        <v>1099</v>
      </c>
      <c r="E151" s="450" t="s">
        <v>170</v>
      </c>
      <c r="F151" s="457">
        <v>81228731</v>
      </c>
      <c r="G151" s="457">
        <v>0</v>
      </c>
      <c r="H151" s="457">
        <v>0</v>
      </c>
      <c r="I151" s="457">
        <v>81228731</v>
      </c>
      <c r="J151" s="457">
        <v>81764157.200000003</v>
      </c>
      <c r="K151" s="457">
        <v>0</v>
      </c>
      <c r="L151" s="457">
        <v>0</v>
      </c>
      <c r="M151" s="457">
        <v>81764157.200000003</v>
      </c>
      <c r="N151" s="457">
        <v>-535426.21</v>
      </c>
      <c r="O151" s="457">
        <v>0</v>
      </c>
      <c r="P151" s="457">
        <v>0</v>
      </c>
      <c r="Q151" s="457">
        <v>-535426.21</v>
      </c>
      <c r="R151" s="457">
        <v>-7858</v>
      </c>
      <c r="S151" s="457">
        <v>0</v>
      </c>
      <c r="T151" s="457">
        <v>0</v>
      </c>
      <c r="U151" s="457">
        <v>-7858</v>
      </c>
      <c r="V151" s="457">
        <v>-527568</v>
      </c>
      <c r="W151" s="457">
        <v>0</v>
      </c>
      <c r="X151" s="457">
        <v>0</v>
      </c>
      <c r="Y151" s="457">
        <v>-527568</v>
      </c>
      <c r="Z151" s="457">
        <v>257892</v>
      </c>
      <c r="AA151" s="457">
        <v>257892</v>
      </c>
      <c r="AB151" s="457">
        <v>0</v>
      </c>
      <c r="AC151" s="457">
        <v>0</v>
      </c>
      <c r="AD151" s="457">
        <v>0</v>
      </c>
      <c r="AE151" s="457">
        <v>0</v>
      </c>
      <c r="AF151" s="457">
        <v>0</v>
      </c>
      <c r="AG151" s="457">
        <v>0</v>
      </c>
      <c r="AH151" s="457">
        <v>0</v>
      </c>
      <c r="AI151" s="457">
        <v>0</v>
      </c>
      <c r="AJ151" s="457">
        <v>0</v>
      </c>
      <c r="AK151" s="457">
        <v>0</v>
      </c>
      <c r="AL151" s="457">
        <v>0</v>
      </c>
      <c r="AM151" s="457">
        <v>0</v>
      </c>
      <c r="AN151" s="457">
        <v>0</v>
      </c>
      <c r="AO151" s="457">
        <v>0</v>
      </c>
      <c r="AP151" s="457">
        <v>0</v>
      </c>
      <c r="AQ151" s="457">
        <v>0</v>
      </c>
      <c r="AR151" s="457">
        <v>0</v>
      </c>
      <c r="AS151" s="457">
        <v>0</v>
      </c>
      <c r="AT151" s="457">
        <v>0</v>
      </c>
      <c r="AU151" s="457">
        <v>0</v>
      </c>
      <c r="AV151" s="457">
        <v>0</v>
      </c>
      <c r="AW151" s="457">
        <v>0</v>
      </c>
      <c r="AX151" s="457">
        <v>0</v>
      </c>
      <c r="AY151" s="457">
        <v>0</v>
      </c>
      <c r="AZ151" s="457">
        <v>0</v>
      </c>
      <c r="BA151" s="457">
        <v>343828</v>
      </c>
      <c r="BB151" s="457">
        <v>292428</v>
      </c>
      <c r="BC151" s="457">
        <v>51400</v>
      </c>
      <c r="BD151" s="457">
        <v>229219</v>
      </c>
      <c r="BE151" s="457">
        <v>194952</v>
      </c>
      <c r="BF151" s="457">
        <v>34267</v>
      </c>
      <c r="BG151" s="457">
        <v>0</v>
      </c>
      <c r="BH151" s="457">
        <v>0</v>
      </c>
      <c r="BI151" s="457">
        <v>0</v>
      </c>
    </row>
    <row r="152" spans="1:61" ht="12.75" x14ac:dyDescent="0.2">
      <c r="A152" s="446">
        <v>145</v>
      </c>
      <c r="B152" s="447" t="s">
        <v>173</v>
      </c>
      <c r="C152" s="448" t="s">
        <v>1100</v>
      </c>
      <c r="D152" s="449" t="s">
        <v>1101</v>
      </c>
      <c r="E152" s="450" t="s">
        <v>172</v>
      </c>
      <c r="F152" s="457">
        <v>129107387</v>
      </c>
      <c r="G152" s="457">
        <v>0</v>
      </c>
      <c r="H152" s="457">
        <v>0</v>
      </c>
      <c r="I152" s="457">
        <v>129107387</v>
      </c>
      <c r="J152" s="457">
        <v>129685057</v>
      </c>
      <c r="K152" s="457">
        <v>0</v>
      </c>
      <c r="L152" s="457">
        <v>0</v>
      </c>
      <c r="M152" s="457">
        <v>129685057</v>
      </c>
      <c r="N152" s="457">
        <v>-577670</v>
      </c>
      <c r="O152" s="457">
        <v>0</v>
      </c>
      <c r="P152" s="457">
        <v>0</v>
      </c>
      <c r="Q152" s="457">
        <v>-577670</v>
      </c>
      <c r="R152" s="457">
        <v>312391</v>
      </c>
      <c r="S152" s="457">
        <v>0</v>
      </c>
      <c r="T152" s="457">
        <v>0</v>
      </c>
      <c r="U152" s="457">
        <v>312391</v>
      </c>
      <c r="V152" s="457">
        <v>-890061</v>
      </c>
      <c r="W152" s="457">
        <v>0</v>
      </c>
      <c r="X152" s="457">
        <v>0</v>
      </c>
      <c r="Y152" s="457">
        <v>-890061</v>
      </c>
      <c r="Z152" s="457">
        <v>614074</v>
      </c>
      <c r="AA152" s="457">
        <v>614074</v>
      </c>
      <c r="AB152" s="457">
        <v>0</v>
      </c>
      <c r="AC152" s="457">
        <v>0</v>
      </c>
      <c r="AD152" s="457">
        <v>0</v>
      </c>
      <c r="AE152" s="457">
        <v>0</v>
      </c>
      <c r="AF152" s="457">
        <v>0</v>
      </c>
      <c r="AG152" s="457">
        <v>0</v>
      </c>
      <c r="AH152" s="457">
        <v>0</v>
      </c>
      <c r="AI152" s="457">
        <v>0</v>
      </c>
      <c r="AJ152" s="457">
        <v>0</v>
      </c>
      <c r="AK152" s="457">
        <v>0</v>
      </c>
      <c r="AL152" s="457">
        <v>0</v>
      </c>
      <c r="AM152" s="457">
        <v>0</v>
      </c>
      <c r="AN152" s="457">
        <v>0</v>
      </c>
      <c r="AO152" s="457">
        <v>0</v>
      </c>
      <c r="AP152" s="457">
        <v>0</v>
      </c>
      <c r="AQ152" s="457">
        <v>0</v>
      </c>
      <c r="AR152" s="457">
        <v>0</v>
      </c>
      <c r="AS152" s="457">
        <v>0</v>
      </c>
      <c r="AT152" s="457">
        <v>0</v>
      </c>
      <c r="AU152" s="457">
        <v>0</v>
      </c>
      <c r="AV152" s="457">
        <v>0</v>
      </c>
      <c r="AW152" s="457">
        <v>0</v>
      </c>
      <c r="AX152" s="457">
        <v>0</v>
      </c>
      <c r="AY152" s="457">
        <v>0</v>
      </c>
      <c r="AZ152" s="457">
        <v>0</v>
      </c>
      <c r="BA152" s="457">
        <v>2756307</v>
      </c>
      <c r="BB152" s="457">
        <v>2358065</v>
      </c>
      <c r="BC152" s="457">
        <v>398242</v>
      </c>
      <c r="BD152" s="457">
        <v>0</v>
      </c>
      <c r="BE152" s="457">
        <v>0</v>
      </c>
      <c r="BF152" s="457">
        <v>0</v>
      </c>
      <c r="BG152" s="457">
        <v>56251</v>
      </c>
      <c r="BH152" s="457">
        <v>48124</v>
      </c>
      <c r="BI152" s="457">
        <v>8127</v>
      </c>
    </row>
    <row r="153" spans="1:61" ht="12.75" x14ac:dyDescent="0.2">
      <c r="A153" s="446">
        <v>146</v>
      </c>
      <c r="B153" s="447" t="s">
        <v>175</v>
      </c>
      <c r="C153" s="448" t="s">
        <v>1100</v>
      </c>
      <c r="D153" s="449" t="s">
        <v>1095</v>
      </c>
      <c r="E153" s="450" t="s">
        <v>174</v>
      </c>
      <c r="F153" s="457">
        <v>40007405</v>
      </c>
      <c r="G153" s="457">
        <v>0</v>
      </c>
      <c r="H153" s="457">
        <v>0</v>
      </c>
      <c r="I153" s="457">
        <v>40007405</v>
      </c>
      <c r="J153" s="457">
        <v>40521286</v>
      </c>
      <c r="K153" s="457">
        <v>0</v>
      </c>
      <c r="L153" s="457">
        <v>0</v>
      </c>
      <c r="M153" s="457">
        <v>40521286</v>
      </c>
      <c r="N153" s="457">
        <v>-513881</v>
      </c>
      <c r="O153" s="457">
        <v>0</v>
      </c>
      <c r="P153" s="457">
        <v>0</v>
      </c>
      <c r="Q153" s="457">
        <v>-513881</v>
      </c>
      <c r="R153" s="457">
        <v>2642</v>
      </c>
      <c r="S153" s="457">
        <v>0</v>
      </c>
      <c r="T153" s="457">
        <v>0</v>
      </c>
      <c r="U153" s="457">
        <v>2642</v>
      </c>
      <c r="V153" s="457">
        <v>-516523</v>
      </c>
      <c r="W153" s="457">
        <v>0</v>
      </c>
      <c r="X153" s="457">
        <v>0</v>
      </c>
      <c r="Y153" s="457">
        <v>-516523</v>
      </c>
      <c r="Z153" s="457">
        <v>135691</v>
      </c>
      <c r="AA153" s="457">
        <v>135691</v>
      </c>
      <c r="AB153" s="457">
        <v>0</v>
      </c>
      <c r="AC153" s="457">
        <v>0</v>
      </c>
      <c r="AD153" s="457">
        <v>0</v>
      </c>
      <c r="AE153" s="457">
        <v>0</v>
      </c>
      <c r="AF153" s="457">
        <v>0</v>
      </c>
      <c r="AG153" s="457">
        <v>0</v>
      </c>
      <c r="AH153" s="457">
        <v>0</v>
      </c>
      <c r="AI153" s="457">
        <v>0</v>
      </c>
      <c r="AJ153" s="457">
        <v>0</v>
      </c>
      <c r="AK153" s="457">
        <v>0</v>
      </c>
      <c r="AL153" s="457">
        <v>0</v>
      </c>
      <c r="AM153" s="457">
        <v>0</v>
      </c>
      <c r="AN153" s="457">
        <v>0</v>
      </c>
      <c r="AO153" s="457">
        <v>0</v>
      </c>
      <c r="AP153" s="457">
        <v>0</v>
      </c>
      <c r="AQ153" s="457">
        <v>0</v>
      </c>
      <c r="AR153" s="457">
        <v>0</v>
      </c>
      <c r="AS153" s="457">
        <v>0</v>
      </c>
      <c r="AT153" s="457">
        <v>0</v>
      </c>
      <c r="AU153" s="457">
        <v>0</v>
      </c>
      <c r="AV153" s="457">
        <v>0</v>
      </c>
      <c r="AW153" s="457">
        <v>0</v>
      </c>
      <c r="AX153" s="457">
        <v>0</v>
      </c>
      <c r="AY153" s="457">
        <v>0</v>
      </c>
      <c r="AZ153" s="457">
        <v>0</v>
      </c>
      <c r="BA153" s="457">
        <v>405060</v>
      </c>
      <c r="BB153" s="457">
        <v>326159</v>
      </c>
      <c r="BC153" s="457">
        <v>78901</v>
      </c>
      <c r="BD153" s="457">
        <v>0</v>
      </c>
      <c r="BE153" s="457">
        <v>0</v>
      </c>
      <c r="BF153" s="457">
        <v>0</v>
      </c>
      <c r="BG153" s="457">
        <v>8267</v>
      </c>
      <c r="BH153" s="457">
        <v>6656</v>
      </c>
      <c r="BI153" s="457">
        <v>1611</v>
      </c>
    </row>
    <row r="154" spans="1:61" ht="12.75" x14ac:dyDescent="0.2">
      <c r="A154" s="446">
        <v>147</v>
      </c>
      <c r="B154" s="447" t="s">
        <v>177</v>
      </c>
      <c r="C154" s="448" t="s">
        <v>1104</v>
      </c>
      <c r="D154" s="449" t="s">
        <v>1099</v>
      </c>
      <c r="E154" s="450" t="s">
        <v>176</v>
      </c>
      <c r="F154" s="457">
        <v>123096528</v>
      </c>
      <c r="G154" s="457">
        <v>0</v>
      </c>
      <c r="H154" s="457">
        <v>0</v>
      </c>
      <c r="I154" s="457">
        <v>123096528</v>
      </c>
      <c r="J154" s="457">
        <v>123140410</v>
      </c>
      <c r="K154" s="457">
        <v>0</v>
      </c>
      <c r="L154" s="457">
        <v>0</v>
      </c>
      <c r="M154" s="457">
        <v>123140410</v>
      </c>
      <c r="N154" s="457">
        <v>-43882</v>
      </c>
      <c r="O154" s="457">
        <v>0</v>
      </c>
      <c r="P154" s="457">
        <v>0</v>
      </c>
      <c r="Q154" s="457">
        <v>-43882</v>
      </c>
      <c r="R154" s="457">
        <v>738692</v>
      </c>
      <c r="S154" s="457">
        <v>0</v>
      </c>
      <c r="T154" s="457">
        <v>0</v>
      </c>
      <c r="U154" s="457">
        <v>738692</v>
      </c>
      <c r="V154" s="457">
        <v>-782574</v>
      </c>
      <c r="W154" s="457">
        <v>0</v>
      </c>
      <c r="X154" s="457">
        <v>0</v>
      </c>
      <c r="Y154" s="457">
        <v>-782574</v>
      </c>
      <c r="Z154" s="457">
        <v>480534</v>
      </c>
      <c r="AA154" s="457">
        <v>480534</v>
      </c>
      <c r="AB154" s="457">
        <v>0</v>
      </c>
      <c r="AC154" s="457">
        <v>0</v>
      </c>
      <c r="AD154" s="457">
        <v>0</v>
      </c>
      <c r="AE154" s="457">
        <v>0</v>
      </c>
      <c r="AF154" s="457">
        <v>0</v>
      </c>
      <c r="AG154" s="457">
        <v>0</v>
      </c>
      <c r="AH154" s="457">
        <v>0</v>
      </c>
      <c r="AI154" s="457">
        <v>0</v>
      </c>
      <c r="AJ154" s="457">
        <v>0</v>
      </c>
      <c r="AK154" s="457">
        <v>0</v>
      </c>
      <c r="AL154" s="457">
        <v>0</v>
      </c>
      <c r="AM154" s="457">
        <v>0</v>
      </c>
      <c r="AN154" s="457">
        <v>0</v>
      </c>
      <c r="AO154" s="457">
        <v>0</v>
      </c>
      <c r="AP154" s="457">
        <v>0</v>
      </c>
      <c r="AQ154" s="457">
        <v>0</v>
      </c>
      <c r="AR154" s="457">
        <v>0</v>
      </c>
      <c r="AS154" s="457">
        <v>0</v>
      </c>
      <c r="AT154" s="457">
        <v>0</v>
      </c>
      <c r="AU154" s="457">
        <v>0</v>
      </c>
      <c r="AV154" s="457">
        <v>0</v>
      </c>
      <c r="AW154" s="457">
        <v>0</v>
      </c>
      <c r="AX154" s="457">
        <v>0</v>
      </c>
      <c r="AY154" s="457">
        <v>0</v>
      </c>
      <c r="AZ154" s="457">
        <v>0</v>
      </c>
      <c r="BA154" s="457">
        <v>774740</v>
      </c>
      <c r="BB154" s="457">
        <v>655510</v>
      </c>
      <c r="BC154" s="457">
        <v>119230</v>
      </c>
      <c r="BD154" s="457">
        <v>516493</v>
      </c>
      <c r="BE154" s="457">
        <v>437007</v>
      </c>
      <c r="BF154" s="457">
        <v>79486</v>
      </c>
      <c r="BG154" s="457">
        <v>0</v>
      </c>
      <c r="BH154" s="457">
        <v>0</v>
      </c>
      <c r="BI154" s="457">
        <v>0</v>
      </c>
    </row>
    <row r="155" spans="1:61" ht="12.75" x14ac:dyDescent="0.2">
      <c r="A155" s="446">
        <v>148</v>
      </c>
      <c r="B155" s="447" t="s">
        <v>179</v>
      </c>
      <c r="C155" s="448" t="s">
        <v>1093</v>
      </c>
      <c r="D155" s="449" t="s">
        <v>1095</v>
      </c>
      <c r="E155" s="450" t="s">
        <v>178</v>
      </c>
      <c r="F155" s="457">
        <v>84346429</v>
      </c>
      <c r="G155" s="457">
        <v>0</v>
      </c>
      <c r="H155" s="457">
        <v>0</v>
      </c>
      <c r="I155" s="457">
        <v>84346429</v>
      </c>
      <c r="J155" s="457">
        <v>64966772</v>
      </c>
      <c r="K155" s="457">
        <v>0</v>
      </c>
      <c r="L155" s="457">
        <v>0</v>
      </c>
      <c r="M155" s="457">
        <v>64966772</v>
      </c>
      <c r="N155" s="457">
        <v>19379657</v>
      </c>
      <c r="O155" s="457">
        <v>0</v>
      </c>
      <c r="P155" s="457">
        <v>0</v>
      </c>
      <c r="Q155" s="457">
        <v>19379657</v>
      </c>
      <c r="R155" s="457">
        <v>19804663</v>
      </c>
      <c r="S155" s="457">
        <v>0</v>
      </c>
      <c r="T155" s="457">
        <v>0</v>
      </c>
      <c r="U155" s="457">
        <v>19804663</v>
      </c>
      <c r="V155" s="457">
        <v>-425006</v>
      </c>
      <c r="W155" s="457">
        <v>0</v>
      </c>
      <c r="X155" s="457">
        <v>0</v>
      </c>
      <c r="Y155" s="457">
        <v>-425006</v>
      </c>
      <c r="Z155" s="457">
        <v>233004</v>
      </c>
      <c r="AA155" s="457">
        <v>233004</v>
      </c>
      <c r="AB155" s="457">
        <v>0</v>
      </c>
      <c r="AC155" s="457">
        <v>0</v>
      </c>
      <c r="AD155" s="457">
        <v>0</v>
      </c>
      <c r="AE155" s="457">
        <v>0</v>
      </c>
      <c r="AF155" s="457">
        <v>0</v>
      </c>
      <c r="AG155" s="457">
        <v>0</v>
      </c>
      <c r="AH155" s="457">
        <v>0</v>
      </c>
      <c r="AI155" s="457">
        <v>0</v>
      </c>
      <c r="AJ155" s="457">
        <v>169560</v>
      </c>
      <c r="AK155" s="457">
        <v>-169560</v>
      </c>
      <c r="AL155" s="457">
        <v>0</v>
      </c>
      <c r="AM155" s="457">
        <v>42390</v>
      </c>
      <c r="AN155" s="457">
        <v>-42390</v>
      </c>
      <c r="AO155" s="457">
        <v>0</v>
      </c>
      <c r="AP155" s="457">
        <v>0</v>
      </c>
      <c r="AQ155" s="457">
        <v>0</v>
      </c>
      <c r="AR155" s="457">
        <v>0</v>
      </c>
      <c r="AS155" s="457">
        <v>0</v>
      </c>
      <c r="AT155" s="457">
        <v>0</v>
      </c>
      <c r="AU155" s="457">
        <v>0</v>
      </c>
      <c r="AV155" s="457">
        <v>0</v>
      </c>
      <c r="AW155" s="457">
        <v>0</v>
      </c>
      <c r="AX155" s="457">
        <v>0</v>
      </c>
      <c r="AY155" s="457">
        <v>0</v>
      </c>
      <c r="AZ155" s="457">
        <v>0</v>
      </c>
      <c r="BA155" s="457">
        <v>621031</v>
      </c>
      <c r="BB155" s="457">
        <v>547294</v>
      </c>
      <c r="BC155" s="457">
        <v>73737</v>
      </c>
      <c r="BD155" s="457">
        <v>139732</v>
      </c>
      <c r="BE155" s="457">
        <v>123141</v>
      </c>
      <c r="BF155" s="457">
        <v>16591</v>
      </c>
      <c r="BG155" s="457">
        <v>15526</v>
      </c>
      <c r="BH155" s="457">
        <v>13682</v>
      </c>
      <c r="BI155" s="457">
        <v>1844</v>
      </c>
    </row>
    <row r="156" spans="1:61" ht="12.75" x14ac:dyDescent="0.2">
      <c r="A156" s="446">
        <v>149</v>
      </c>
      <c r="B156" s="447" t="s">
        <v>181</v>
      </c>
      <c r="C156" s="448" t="s">
        <v>1100</v>
      </c>
      <c r="D156" s="449" t="s">
        <v>1101</v>
      </c>
      <c r="E156" s="450" t="s">
        <v>180</v>
      </c>
      <c r="F156" s="457">
        <v>420575841</v>
      </c>
      <c r="G156" s="457">
        <v>0</v>
      </c>
      <c r="H156" s="457">
        <v>898590</v>
      </c>
      <c r="I156" s="457">
        <v>421474431</v>
      </c>
      <c r="J156" s="457">
        <v>421854380</v>
      </c>
      <c r="K156" s="457">
        <v>0</v>
      </c>
      <c r="L156" s="457">
        <v>898590</v>
      </c>
      <c r="M156" s="457">
        <v>422752970</v>
      </c>
      <c r="N156" s="457">
        <v>-1278539</v>
      </c>
      <c r="O156" s="457">
        <v>0</v>
      </c>
      <c r="P156" s="457">
        <v>0</v>
      </c>
      <c r="Q156" s="457">
        <v>-1278539</v>
      </c>
      <c r="R156" s="457">
        <v>770205</v>
      </c>
      <c r="S156" s="457">
        <v>0</v>
      </c>
      <c r="T156" s="457">
        <v>0</v>
      </c>
      <c r="U156" s="457">
        <v>770205</v>
      </c>
      <c r="V156" s="457">
        <v>-2048744</v>
      </c>
      <c r="W156" s="457">
        <v>0</v>
      </c>
      <c r="X156" s="457">
        <v>0</v>
      </c>
      <c r="Y156" s="457">
        <v>-2048744</v>
      </c>
      <c r="Z156" s="457">
        <v>1234002</v>
      </c>
      <c r="AA156" s="457">
        <v>1234002</v>
      </c>
      <c r="AB156" s="457">
        <v>0</v>
      </c>
      <c r="AC156" s="457">
        <v>0</v>
      </c>
      <c r="AD156" s="457">
        <v>150019</v>
      </c>
      <c r="AE156" s="457">
        <v>-150019</v>
      </c>
      <c r="AF156" s="457">
        <v>0</v>
      </c>
      <c r="AG156" s="457">
        <v>0</v>
      </c>
      <c r="AH156" s="457">
        <v>0</v>
      </c>
      <c r="AI156" s="457">
        <v>0</v>
      </c>
      <c r="AJ156" s="457">
        <v>0</v>
      </c>
      <c r="AK156" s="457">
        <v>0</v>
      </c>
      <c r="AL156" s="457">
        <v>0</v>
      </c>
      <c r="AM156" s="457">
        <v>0</v>
      </c>
      <c r="AN156" s="457">
        <v>0</v>
      </c>
      <c r="AO156" s="457">
        <v>274990</v>
      </c>
      <c r="AP156" s="457">
        <v>150000</v>
      </c>
      <c r="AQ156" s="457">
        <v>124990</v>
      </c>
      <c r="AR156" s="457">
        <v>274990</v>
      </c>
      <c r="AS156" s="457">
        <v>150000</v>
      </c>
      <c r="AT156" s="457">
        <v>124990</v>
      </c>
      <c r="AU156" s="457">
        <v>0</v>
      </c>
      <c r="AV156" s="457">
        <v>0</v>
      </c>
      <c r="AW156" s="457">
        <v>0</v>
      </c>
      <c r="AX156" s="457">
        <v>0</v>
      </c>
      <c r="AY156" s="457">
        <v>0</v>
      </c>
      <c r="AZ156" s="457">
        <v>0</v>
      </c>
      <c r="BA156" s="457">
        <v>3709337</v>
      </c>
      <c r="BB156" s="457">
        <v>3206282</v>
      </c>
      <c r="BC156" s="457">
        <v>503055</v>
      </c>
      <c r="BD156" s="457">
        <v>0</v>
      </c>
      <c r="BE156" s="457">
        <v>0</v>
      </c>
      <c r="BF156" s="457">
        <v>0</v>
      </c>
      <c r="BG156" s="457">
        <v>75701</v>
      </c>
      <c r="BH156" s="457">
        <v>65434</v>
      </c>
      <c r="BI156" s="457">
        <v>10267</v>
      </c>
    </row>
    <row r="157" spans="1:61" ht="12.75" x14ac:dyDescent="0.2">
      <c r="A157" s="446">
        <v>150</v>
      </c>
      <c r="B157" s="447" t="s">
        <v>183</v>
      </c>
      <c r="C157" s="448" t="s">
        <v>794</v>
      </c>
      <c r="D157" s="449" t="s">
        <v>1096</v>
      </c>
      <c r="E157" s="450" t="s">
        <v>723</v>
      </c>
      <c r="F157" s="457">
        <v>100116135</v>
      </c>
      <c r="G157" s="457">
        <v>0</v>
      </c>
      <c r="H157" s="457">
        <v>0</v>
      </c>
      <c r="I157" s="457">
        <v>100116135</v>
      </c>
      <c r="J157" s="457">
        <v>100496322</v>
      </c>
      <c r="K157" s="457">
        <v>0</v>
      </c>
      <c r="L157" s="457">
        <v>0</v>
      </c>
      <c r="M157" s="457">
        <v>100496322</v>
      </c>
      <c r="N157" s="457">
        <v>-380187</v>
      </c>
      <c r="O157" s="457">
        <v>0</v>
      </c>
      <c r="P157" s="457">
        <v>0</v>
      </c>
      <c r="Q157" s="457">
        <v>-380187</v>
      </c>
      <c r="R157" s="457">
        <v>-44911</v>
      </c>
      <c r="S157" s="457">
        <v>0</v>
      </c>
      <c r="T157" s="457">
        <v>0</v>
      </c>
      <c r="U157" s="457">
        <v>-44911</v>
      </c>
      <c r="V157" s="457">
        <v>-335276</v>
      </c>
      <c r="W157" s="457">
        <v>0</v>
      </c>
      <c r="X157" s="457">
        <v>0</v>
      </c>
      <c r="Y157" s="457">
        <v>-335276</v>
      </c>
      <c r="Z157" s="457">
        <v>488470</v>
      </c>
      <c r="AA157" s="457">
        <v>488470</v>
      </c>
      <c r="AB157" s="457">
        <v>0</v>
      </c>
      <c r="AC157" s="457">
        <v>0</v>
      </c>
      <c r="AD157" s="457">
        <v>0</v>
      </c>
      <c r="AE157" s="457">
        <v>0</v>
      </c>
      <c r="AF157" s="457">
        <v>0</v>
      </c>
      <c r="AG157" s="457">
        <v>0</v>
      </c>
      <c r="AH157" s="457">
        <v>0</v>
      </c>
      <c r="AI157" s="457">
        <v>0</v>
      </c>
      <c r="AJ157" s="457">
        <v>0</v>
      </c>
      <c r="AK157" s="457">
        <v>0</v>
      </c>
      <c r="AL157" s="457">
        <v>0</v>
      </c>
      <c r="AM157" s="457">
        <v>0</v>
      </c>
      <c r="AN157" s="457">
        <v>0</v>
      </c>
      <c r="AO157" s="457">
        <v>0</v>
      </c>
      <c r="AP157" s="457">
        <v>0</v>
      </c>
      <c r="AQ157" s="457">
        <v>0</v>
      </c>
      <c r="AR157" s="457">
        <v>0</v>
      </c>
      <c r="AS157" s="457">
        <v>0</v>
      </c>
      <c r="AT157" s="457">
        <v>0</v>
      </c>
      <c r="AU157" s="457">
        <v>0</v>
      </c>
      <c r="AV157" s="457">
        <v>0</v>
      </c>
      <c r="AW157" s="457">
        <v>0</v>
      </c>
      <c r="AX157" s="457">
        <v>0</v>
      </c>
      <c r="AY157" s="457">
        <v>0</v>
      </c>
      <c r="AZ157" s="457">
        <v>0</v>
      </c>
      <c r="BA157" s="457">
        <v>1912103</v>
      </c>
      <c r="BB157" s="457">
        <v>1630407</v>
      </c>
      <c r="BC157" s="457">
        <v>281696</v>
      </c>
      <c r="BD157" s="457">
        <v>0</v>
      </c>
      <c r="BE157" s="457">
        <v>0</v>
      </c>
      <c r="BF157" s="457">
        <v>0</v>
      </c>
      <c r="BG157" s="457">
        <v>39023</v>
      </c>
      <c r="BH157" s="457">
        <v>33274</v>
      </c>
      <c r="BI157" s="457">
        <v>5749</v>
      </c>
    </row>
    <row r="158" spans="1:61" ht="12.75" x14ac:dyDescent="0.2">
      <c r="A158" s="446">
        <v>151</v>
      </c>
      <c r="B158" s="447" t="s">
        <v>185</v>
      </c>
      <c r="C158" s="448" t="s">
        <v>1093</v>
      </c>
      <c r="D158" s="449" t="s">
        <v>1094</v>
      </c>
      <c r="E158" s="450" t="s">
        <v>184</v>
      </c>
      <c r="F158" s="457">
        <v>23894957</v>
      </c>
      <c r="G158" s="457">
        <v>0</v>
      </c>
      <c r="H158" s="457">
        <v>0</v>
      </c>
      <c r="I158" s="457">
        <v>23894957</v>
      </c>
      <c r="J158" s="457">
        <v>23873157</v>
      </c>
      <c r="K158" s="457">
        <v>0</v>
      </c>
      <c r="L158" s="457">
        <v>0</v>
      </c>
      <c r="M158" s="457">
        <v>23873157</v>
      </c>
      <c r="N158" s="457">
        <v>21800</v>
      </c>
      <c r="O158" s="457">
        <v>0</v>
      </c>
      <c r="P158" s="457">
        <v>0</v>
      </c>
      <c r="Q158" s="457">
        <v>21800</v>
      </c>
      <c r="R158" s="457">
        <v>172100</v>
      </c>
      <c r="S158" s="457">
        <v>0</v>
      </c>
      <c r="T158" s="457">
        <v>0</v>
      </c>
      <c r="U158" s="457">
        <v>172100</v>
      </c>
      <c r="V158" s="457">
        <v>-150300</v>
      </c>
      <c r="W158" s="457">
        <v>0</v>
      </c>
      <c r="X158" s="457">
        <v>0</v>
      </c>
      <c r="Y158" s="457">
        <v>-150300</v>
      </c>
      <c r="Z158" s="457">
        <v>128276</v>
      </c>
      <c r="AA158" s="457">
        <v>128276</v>
      </c>
      <c r="AB158" s="457">
        <v>0</v>
      </c>
      <c r="AC158" s="457">
        <v>0</v>
      </c>
      <c r="AD158" s="457">
        <v>0</v>
      </c>
      <c r="AE158" s="457">
        <v>0</v>
      </c>
      <c r="AF158" s="457">
        <v>0</v>
      </c>
      <c r="AG158" s="457">
        <v>0</v>
      </c>
      <c r="AH158" s="457">
        <v>0</v>
      </c>
      <c r="AI158" s="457">
        <v>0</v>
      </c>
      <c r="AJ158" s="457">
        <v>0</v>
      </c>
      <c r="AK158" s="457">
        <v>0</v>
      </c>
      <c r="AL158" s="457">
        <v>0</v>
      </c>
      <c r="AM158" s="457">
        <v>0</v>
      </c>
      <c r="AN158" s="457">
        <v>0</v>
      </c>
      <c r="AO158" s="457">
        <v>0</v>
      </c>
      <c r="AP158" s="457">
        <v>0</v>
      </c>
      <c r="AQ158" s="457">
        <v>0</v>
      </c>
      <c r="AR158" s="457">
        <v>0</v>
      </c>
      <c r="AS158" s="457">
        <v>0</v>
      </c>
      <c r="AT158" s="457">
        <v>0</v>
      </c>
      <c r="AU158" s="457">
        <v>0</v>
      </c>
      <c r="AV158" s="457">
        <v>0</v>
      </c>
      <c r="AW158" s="457">
        <v>0</v>
      </c>
      <c r="AX158" s="457">
        <v>0</v>
      </c>
      <c r="AY158" s="457">
        <v>0</v>
      </c>
      <c r="AZ158" s="457">
        <v>0</v>
      </c>
      <c r="BA158" s="457">
        <v>418774</v>
      </c>
      <c r="BB158" s="457">
        <v>342203</v>
      </c>
      <c r="BC158" s="457">
        <v>76571</v>
      </c>
      <c r="BD158" s="457">
        <v>94224</v>
      </c>
      <c r="BE158" s="457">
        <v>76996</v>
      </c>
      <c r="BF158" s="457">
        <v>17228</v>
      </c>
      <c r="BG158" s="457">
        <v>10469</v>
      </c>
      <c r="BH158" s="457">
        <v>8555</v>
      </c>
      <c r="BI158" s="457">
        <v>1914</v>
      </c>
    </row>
    <row r="159" spans="1:61" ht="12.75" x14ac:dyDescent="0.2">
      <c r="A159" s="446">
        <v>152</v>
      </c>
      <c r="B159" s="447" t="s">
        <v>187</v>
      </c>
      <c r="C159" s="448" t="s">
        <v>1104</v>
      </c>
      <c r="D159" s="449" t="s">
        <v>1099</v>
      </c>
      <c r="E159" s="450" t="s">
        <v>186</v>
      </c>
      <c r="F159" s="457">
        <v>51497915</v>
      </c>
      <c r="G159" s="457">
        <v>0</v>
      </c>
      <c r="H159" s="457">
        <v>0</v>
      </c>
      <c r="I159" s="457">
        <v>51497915</v>
      </c>
      <c r="J159" s="457">
        <v>51466728</v>
      </c>
      <c r="K159" s="457">
        <v>0</v>
      </c>
      <c r="L159" s="457">
        <v>0</v>
      </c>
      <c r="M159" s="457">
        <v>51466728</v>
      </c>
      <c r="N159" s="457">
        <v>31187</v>
      </c>
      <c r="O159" s="457">
        <v>0</v>
      </c>
      <c r="P159" s="457">
        <v>0</v>
      </c>
      <c r="Q159" s="457">
        <v>31187</v>
      </c>
      <c r="R159" s="457">
        <v>84562</v>
      </c>
      <c r="S159" s="457">
        <v>0</v>
      </c>
      <c r="T159" s="457">
        <v>0</v>
      </c>
      <c r="U159" s="457">
        <v>84562</v>
      </c>
      <c r="V159" s="457">
        <v>-53375</v>
      </c>
      <c r="W159" s="457">
        <v>0</v>
      </c>
      <c r="X159" s="457">
        <v>0</v>
      </c>
      <c r="Y159" s="457">
        <v>-53375</v>
      </c>
      <c r="Z159" s="457">
        <v>309920</v>
      </c>
      <c r="AA159" s="457">
        <v>306296</v>
      </c>
      <c r="AB159" s="457">
        <v>3624</v>
      </c>
      <c r="AC159" s="457">
        <v>0</v>
      </c>
      <c r="AD159" s="457">
        <v>0</v>
      </c>
      <c r="AE159" s="457">
        <v>0</v>
      </c>
      <c r="AF159" s="457">
        <v>0</v>
      </c>
      <c r="AG159" s="457">
        <v>0</v>
      </c>
      <c r="AH159" s="457">
        <v>0</v>
      </c>
      <c r="AI159" s="457">
        <v>0</v>
      </c>
      <c r="AJ159" s="457">
        <v>0</v>
      </c>
      <c r="AK159" s="457">
        <v>0</v>
      </c>
      <c r="AL159" s="457">
        <v>0</v>
      </c>
      <c r="AM159" s="457">
        <v>0</v>
      </c>
      <c r="AN159" s="457">
        <v>0</v>
      </c>
      <c r="AO159" s="457">
        <v>0</v>
      </c>
      <c r="AP159" s="457">
        <v>0</v>
      </c>
      <c r="AQ159" s="457">
        <v>0</v>
      </c>
      <c r="AR159" s="457">
        <v>0</v>
      </c>
      <c r="AS159" s="457">
        <v>0</v>
      </c>
      <c r="AT159" s="457">
        <v>0</v>
      </c>
      <c r="AU159" s="457">
        <v>0</v>
      </c>
      <c r="AV159" s="457">
        <v>0</v>
      </c>
      <c r="AW159" s="457">
        <v>0</v>
      </c>
      <c r="AX159" s="457">
        <v>0</v>
      </c>
      <c r="AY159" s="457">
        <v>0</v>
      </c>
      <c r="AZ159" s="457">
        <v>0</v>
      </c>
      <c r="BA159" s="457">
        <v>688474</v>
      </c>
      <c r="BB159" s="457">
        <v>587849</v>
      </c>
      <c r="BC159" s="457">
        <v>100625</v>
      </c>
      <c r="BD159" s="457">
        <v>458983</v>
      </c>
      <c r="BE159" s="457">
        <v>391900</v>
      </c>
      <c r="BF159" s="457">
        <v>67083</v>
      </c>
      <c r="BG159" s="457">
        <v>0</v>
      </c>
      <c r="BH159" s="457">
        <v>0</v>
      </c>
      <c r="BI159" s="457">
        <v>0</v>
      </c>
    </row>
    <row r="160" spans="1:61" ht="12.75" x14ac:dyDescent="0.2">
      <c r="A160" s="446">
        <v>153</v>
      </c>
      <c r="B160" s="447" t="s">
        <v>189</v>
      </c>
      <c r="C160" s="448" t="s">
        <v>1093</v>
      </c>
      <c r="D160" s="449" t="s">
        <v>1103</v>
      </c>
      <c r="E160" s="450" t="s">
        <v>188</v>
      </c>
      <c r="F160" s="457">
        <v>114282</v>
      </c>
      <c r="G160" s="457">
        <v>0</v>
      </c>
      <c r="H160" s="457">
        <v>0</v>
      </c>
      <c r="I160" s="457">
        <v>114282</v>
      </c>
      <c r="J160" s="457">
        <v>0</v>
      </c>
      <c r="K160" s="457">
        <v>0</v>
      </c>
      <c r="L160" s="457">
        <v>0</v>
      </c>
      <c r="M160" s="457">
        <v>0</v>
      </c>
      <c r="N160" s="457">
        <v>114282</v>
      </c>
      <c r="O160" s="457">
        <v>0</v>
      </c>
      <c r="P160" s="457">
        <v>0</v>
      </c>
      <c r="Q160" s="457">
        <v>114282</v>
      </c>
      <c r="R160" s="457">
        <v>-2290083</v>
      </c>
      <c r="S160" s="457">
        <v>0</v>
      </c>
      <c r="T160" s="457">
        <v>0</v>
      </c>
      <c r="U160" s="457">
        <v>-2290083</v>
      </c>
      <c r="V160" s="457">
        <v>2404365</v>
      </c>
      <c r="W160" s="457">
        <v>0</v>
      </c>
      <c r="X160" s="457">
        <v>0</v>
      </c>
      <c r="Y160" s="457">
        <v>2404365</v>
      </c>
      <c r="Z160" s="457">
        <v>125090</v>
      </c>
      <c r="AA160" s="457">
        <v>125090</v>
      </c>
      <c r="AB160" s="457">
        <v>0</v>
      </c>
      <c r="AC160" s="457">
        <v>0</v>
      </c>
      <c r="AD160" s="457">
        <v>0</v>
      </c>
      <c r="AE160" s="457">
        <v>0</v>
      </c>
      <c r="AF160" s="457">
        <v>0</v>
      </c>
      <c r="AG160" s="457">
        <v>0</v>
      </c>
      <c r="AH160" s="457">
        <v>0</v>
      </c>
      <c r="AI160" s="457">
        <v>0</v>
      </c>
      <c r="AJ160" s="457">
        <v>0</v>
      </c>
      <c r="AK160" s="457">
        <v>0</v>
      </c>
      <c r="AL160" s="457">
        <v>0</v>
      </c>
      <c r="AM160" s="457">
        <v>0</v>
      </c>
      <c r="AN160" s="457">
        <v>0</v>
      </c>
      <c r="AO160" s="457">
        <v>0</v>
      </c>
      <c r="AP160" s="457">
        <v>0</v>
      </c>
      <c r="AQ160" s="457">
        <v>0</v>
      </c>
      <c r="AR160" s="457">
        <v>0</v>
      </c>
      <c r="AS160" s="457">
        <v>0</v>
      </c>
      <c r="AT160" s="457">
        <v>0</v>
      </c>
      <c r="AU160" s="457">
        <v>0</v>
      </c>
      <c r="AV160" s="457">
        <v>0</v>
      </c>
      <c r="AW160" s="457">
        <v>0</v>
      </c>
      <c r="AX160" s="457">
        <v>0</v>
      </c>
      <c r="AY160" s="457">
        <v>0</v>
      </c>
      <c r="AZ160" s="457">
        <v>0</v>
      </c>
      <c r="BA160" s="457">
        <v>309614</v>
      </c>
      <c r="BB160" s="457">
        <v>234198</v>
      </c>
      <c r="BC160" s="457">
        <v>75416</v>
      </c>
      <c r="BD160" s="457">
        <v>69663</v>
      </c>
      <c r="BE160" s="457">
        <v>52695</v>
      </c>
      <c r="BF160" s="457">
        <v>16968</v>
      </c>
      <c r="BG160" s="457">
        <v>7740</v>
      </c>
      <c r="BH160" s="457">
        <v>5855</v>
      </c>
      <c r="BI160" s="457">
        <v>1885</v>
      </c>
    </row>
    <row r="161" spans="1:61" ht="12.75" x14ac:dyDescent="0.2">
      <c r="A161" s="446">
        <v>154</v>
      </c>
      <c r="B161" s="447" t="s">
        <v>191</v>
      </c>
      <c r="C161" s="448" t="s">
        <v>1093</v>
      </c>
      <c r="D161" s="449" t="s">
        <v>1096</v>
      </c>
      <c r="E161" s="450" t="s">
        <v>190</v>
      </c>
      <c r="F161" s="457">
        <v>40693329</v>
      </c>
      <c r="G161" s="457">
        <v>0</v>
      </c>
      <c r="H161" s="457">
        <v>0</v>
      </c>
      <c r="I161" s="457">
        <v>40693329</v>
      </c>
      <c r="J161" s="457">
        <v>40938983</v>
      </c>
      <c r="K161" s="457">
        <v>0</v>
      </c>
      <c r="L161" s="457">
        <v>0</v>
      </c>
      <c r="M161" s="457">
        <v>40938983</v>
      </c>
      <c r="N161" s="457">
        <v>-245654</v>
      </c>
      <c r="O161" s="457">
        <v>0</v>
      </c>
      <c r="P161" s="457">
        <v>0</v>
      </c>
      <c r="Q161" s="457">
        <v>-245654</v>
      </c>
      <c r="R161" s="457">
        <v>1873</v>
      </c>
      <c r="S161" s="457">
        <v>0</v>
      </c>
      <c r="T161" s="457">
        <v>0</v>
      </c>
      <c r="U161" s="457">
        <v>1873</v>
      </c>
      <c r="V161" s="457">
        <v>-247527</v>
      </c>
      <c r="W161" s="457">
        <v>0</v>
      </c>
      <c r="X161" s="457">
        <v>0</v>
      </c>
      <c r="Y161" s="457">
        <v>-247527</v>
      </c>
      <c r="Z161" s="457">
        <v>151340</v>
      </c>
      <c r="AA161" s="457">
        <v>151340</v>
      </c>
      <c r="AB161" s="457">
        <v>0</v>
      </c>
      <c r="AC161" s="457">
        <v>0</v>
      </c>
      <c r="AD161" s="457">
        <v>0</v>
      </c>
      <c r="AE161" s="457">
        <v>0</v>
      </c>
      <c r="AF161" s="457">
        <v>0</v>
      </c>
      <c r="AG161" s="457">
        <v>0</v>
      </c>
      <c r="AH161" s="457">
        <v>0</v>
      </c>
      <c r="AI161" s="457">
        <v>0</v>
      </c>
      <c r="AJ161" s="457">
        <v>0</v>
      </c>
      <c r="AK161" s="457">
        <v>0</v>
      </c>
      <c r="AL161" s="457">
        <v>0</v>
      </c>
      <c r="AM161" s="457">
        <v>0</v>
      </c>
      <c r="AN161" s="457">
        <v>0</v>
      </c>
      <c r="AO161" s="457">
        <v>0</v>
      </c>
      <c r="AP161" s="457">
        <v>0</v>
      </c>
      <c r="AQ161" s="457">
        <v>0</v>
      </c>
      <c r="AR161" s="457">
        <v>0</v>
      </c>
      <c r="AS161" s="457">
        <v>0</v>
      </c>
      <c r="AT161" s="457">
        <v>0</v>
      </c>
      <c r="AU161" s="457">
        <v>0</v>
      </c>
      <c r="AV161" s="457">
        <v>0</v>
      </c>
      <c r="AW161" s="457">
        <v>0</v>
      </c>
      <c r="AX161" s="457">
        <v>0</v>
      </c>
      <c r="AY161" s="457">
        <v>0</v>
      </c>
      <c r="AZ161" s="457">
        <v>0</v>
      </c>
      <c r="BA161" s="457">
        <v>352179</v>
      </c>
      <c r="BB161" s="457">
        <v>305275</v>
      </c>
      <c r="BC161" s="457">
        <v>46904</v>
      </c>
      <c r="BD161" s="457">
        <v>88045</v>
      </c>
      <c r="BE161" s="457">
        <v>76319</v>
      </c>
      <c r="BF161" s="457">
        <v>11726</v>
      </c>
      <c r="BG161" s="457">
        <v>0</v>
      </c>
      <c r="BH161" s="457">
        <v>0</v>
      </c>
      <c r="BI161" s="457">
        <v>0</v>
      </c>
    </row>
    <row r="162" spans="1:61" ht="12.75" x14ac:dyDescent="0.2">
      <c r="A162" s="446">
        <v>155</v>
      </c>
      <c r="B162" s="447" t="s">
        <v>193</v>
      </c>
      <c r="C162" s="448" t="s">
        <v>1100</v>
      </c>
      <c r="D162" s="449" t="s">
        <v>1095</v>
      </c>
      <c r="E162" s="450" t="s">
        <v>192</v>
      </c>
      <c r="F162" s="457">
        <v>159774699</v>
      </c>
      <c r="G162" s="457">
        <v>0</v>
      </c>
      <c r="H162" s="457">
        <v>29141448</v>
      </c>
      <c r="I162" s="457">
        <v>188916147</v>
      </c>
      <c r="J162" s="457">
        <v>162027486</v>
      </c>
      <c r="K162" s="457">
        <v>0</v>
      </c>
      <c r="L162" s="457">
        <v>29077964</v>
      </c>
      <c r="M162" s="457">
        <v>191105450</v>
      </c>
      <c r="N162" s="457">
        <v>-2252787</v>
      </c>
      <c r="O162" s="457">
        <v>0</v>
      </c>
      <c r="P162" s="457">
        <v>63484</v>
      </c>
      <c r="Q162" s="457">
        <v>-2189303</v>
      </c>
      <c r="R162" s="457">
        <v>1145148</v>
      </c>
      <c r="S162" s="457">
        <v>0</v>
      </c>
      <c r="T162" s="457">
        <v>0</v>
      </c>
      <c r="U162" s="457">
        <v>1145148</v>
      </c>
      <c r="V162" s="457">
        <v>-3397935</v>
      </c>
      <c r="W162" s="457">
        <v>0</v>
      </c>
      <c r="X162" s="457">
        <v>63484</v>
      </c>
      <c r="Y162" s="457">
        <v>-3334451</v>
      </c>
      <c r="Z162" s="457">
        <v>762931</v>
      </c>
      <c r="AA162" s="457">
        <v>762931</v>
      </c>
      <c r="AB162" s="457">
        <v>0</v>
      </c>
      <c r="AC162" s="457">
        <v>0</v>
      </c>
      <c r="AD162" s="457">
        <v>0</v>
      </c>
      <c r="AE162" s="457">
        <v>0</v>
      </c>
      <c r="AF162" s="457">
        <v>0</v>
      </c>
      <c r="AG162" s="457">
        <v>0</v>
      </c>
      <c r="AH162" s="457">
        <v>0</v>
      </c>
      <c r="AI162" s="457">
        <v>0</v>
      </c>
      <c r="AJ162" s="457">
        <v>0</v>
      </c>
      <c r="AK162" s="457">
        <v>0</v>
      </c>
      <c r="AL162" s="457">
        <v>0</v>
      </c>
      <c r="AM162" s="457">
        <v>0</v>
      </c>
      <c r="AN162" s="457">
        <v>0</v>
      </c>
      <c r="AO162" s="457">
        <v>0</v>
      </c>
      <c r="AP162" s="457">
        <v>0</v>
      </c>
      <c r="AQ162" s="457">
        <v>0</v>
      </c>
      <c r="AR162" s="457">
        <v>0</v>
      </c>
      <c r="AS162" s="457">
        <v>0</v>
      </c>
      <c r="AT162" s="457">
        <v>0</v>
      </c>
      <c r="AU162" s="457">
        <v>0</v>
      </c>
      <c r="AV162" s="457">
        <v>0</v>
      </c>
      <c r="AW162" s="457">
        <v>0</v>
      </c>
      <c r="AX162" s="457">
        <v>0</v>
      </c>
      <c r="AY162" s="457">
        <v>0</v>
      </c>
      <c r="AZ162" s="457">
        <v>0</v>
      </c>
      <c r="BA162" s="457">
        <v>1999454</v>
      </c>
      <c r="BB162" s="457">
        <v>1749637</v>
      </c>
      <c r="BC162" s="457">
        <v>249817</v>
      </c>
      <c r="BD162" s="457">
        <v>0</v>
      </c>
      <c r="BE162" s="457">
        <v>0</v>
      </c>
      <c r="BF162" s="457">
        <v>0</v>
      </c>
      <c r="BG162" s="457">
        <v>36515</v>
      </c>
      <c r="BH162" s="457">
        <v>35707</v>
      </c>
      <c r="BI162" s="457">
        <v>808</v>
      </c>
    </row>
    <row r="163" spans="1:61" ht="12.75" x14ac:dyDescent="0.2">
      <c r="A163" s="446">
        <v>156</v>
      </c>
      <c r="B163" s="447" t="s">
        <v>195</v>
      </c>
      <c r="C163" s="448" t="s">
        <v>794</v>
      </c>
      <c r="D163" s="449" t="s">
        <v>1097</v>
      </c>
      <c r="E163" s="450" t="s">
        <v>724</v>
      </c>
      <c r="F163" s="457">
        <v>844471</v>
      </c>
      <c r="G163" s="457">
        <v>0</v>
      </c>
      <c r="H163" s="457">
        <v>0</v>
      </c>
      <c r="I163" s="457">
        <v>844471</v>
      </c>
      <c r="J163" s="457">
        <v>177664</v>
      </c>
      <c r="K163" s="457">
        <v>0</v>
      </c>
      <c r="L163" s="457">
        <v>0</v>
      </c>
      <c r="M163" s="457">
        <v>177664</v>
      </c>
      <c r="N163" s="457">
        <v>666807</v>
      </c>
      <c r="O163" s="457">
        <v>0</v>
      </c>
      <c r="P163" s="457">
        <v>0</v>
      </c>
      <c r="Q163" s="457">
        <v>666807</v>
      </c>
      <c r="R163" s="457">
        <v>1754424</v>
      </c>
      <c r="S163" s="457">
        <v>0</v>
      </c>
      <c r="T163" s="457">
        <v>0</v>
      </c>
      <c r="U163" s="457">
        <v>1754424</v>
      </c>
      <c r="V163" s="457">
        <v>-1087617</v>
      </c>
      <c r="W163" s="457">
        <v>0</v>
      </c>
      <c r="X163" s="457">
        <v>0</v>
      </c>
      <c r="Y163" s="457">
        <v>-1087617</v>
      </c>
      <c r="Z163" s="457">
        <v>259196</v>
      </c>
      <c r="AA163" s="457">
        <v>259196</v>
      </c>
      <c r="AB163" s="457">
        <v>0</v>
      </c>
      <c r="AC163" s="457">
        <v>0</v>
      </c>
      <c r="AD163" s="457">
        <v>0</v>
      </c>
      <c r="AE163" s="457">
        <v>0</v>
      </c>
      <c r="AF163" s="457">
        <v>0</v>
      </c>
      <c r="AG163" s="457">
        <v>0</v>
      </c>
      <c r="AH163" s="457">
        <v>0</v>
      </c>
      <c r="AI163" s="457">
        <v>0</v>
      </c>
      <c r="AJ163" s="457">
        <v>0</v>
      </c>
      <c r="AK163" s="457">
        <v>0</v>
      </c>
      <c r="AL163" s="457">
        <v>0</v>
      </c>
      <c r="AM163" s="457">
        <v>0</v>
      </c>
      <c r="AN163" s="457">
        <v>0</v>
      </c>
      <c r="AO163" s="457">
        <v>0</v>
      </c>
      <c r="AP163" s="457">
        <v>0</v>
      </c>
      <c r="AQ163" s="457">
        <v>0</v>
      </c>
      <c r="AR163" s="457">
        <v>0</v>
      </c>
      <c r="AS163" s="457">
        <v>0</v>
      </c>
      <c r="AT163" s="457">
        <v>0</v>
      </c>
      <c r="AU163" s="457">
        <v>0</v>
      </c>
      <c r="AV163" s="457">
        <v>0</v>
      </c>
      <c r="AW163" s="457">
        <v>0</v>
      </c>
      <c r="AX163" s="457">
        <v>0</v>
      </c>
      <c r="AY163" s="457">
        <v>0</v>
      </c>
      <c r="AZ163" s="457">
        <v>0</v>
      </c>
      <c r="BA163" s="457">
        <v>637662</v>
      </c>
      <c r="BB163" s="457">
        <v>540257</v>
      </c>
      <c r="BC163" s="457">
        <v>97405</v>
      </c>
      <c r="BD163" s="457">
        <v>0</v>
      </c>
      <c r="BE163" s="457">
        <v>0</v>
      </c>
      <c r="BF163" s="457">
        <v>0</v>
      </c>
      <c r="BG163" s="457">
        <v>13014</v>
      </c>
      <c r="BH163" s="457">
        <v>11026</v>
      </c>
      <c r="BI163" s="457">
        <v>1988</v>
      </c>
    </row>
    <row r="164" spans="1:61" ht="12.75" x14ac:dyDescent="0.2">
      <c r="A164" s="446">
        <v>157</v>
      </c>
      <c r="B164" s="447" t="s">
        <v>197</v>
      </c>
      <c r="C164" s="448" t="s">
        <v>1093</v>
      </c>
      <c r="D164" s="449" t="s">
        <v>1094</v>
      </c>
      <c r="E164" s="450" t="s">
        <v>196</v>
      </c>
      <c r="F164" s="457">
        <v>162181</v>
      </c>
      <c r="G164" s="457">
        <v>0</v>
      </c>
      <c r="H164" s="457">
        <v>0</v>
      </c>
      <c r="I164" s="457">
        <v>162181</v>
      </c>
      <c r="J164" s="457">
        <v>139544</v>
      </c>
      <c r="K164" s="457">
        <v>0</v>
      </c>
      <c r="L164" s="457">
        <v>0</v>
      </c>
      <c r="M164" s="457">
        <v>139544</v>
      </c>
      <c r="N164" s="457">
        <v>-22637</v>
      </c>
      <c r="O164" s="457">
        <v>0</v>
      </c>
      <c r="P164" s="457">
        <v>0</v>
      </c>
      <c r="Q164" s="457">
        <v>-22637</v>
      </c>
      <c r="R164" s="457">
        <v>-34150</v>
      </c>
      <c r="S164" s="457">
        <v>0</v>
      </c>
      <c r="T164" s="457">
        <v>0</v>
      </c>
      <c r="U164" s="457">
        <v>-34150</v>
      </c>
      <c r="V164" s="457">
        <v>11513</v>
      </c>
      <c r="W164" s="457">
        <v>0</v>
      </c>
      <c r="X164" s="457">
        <v>0</v>
      </c>
      <c r="Y164" s="457">
        <v>11513</v>
      </c>
      <c r="Z164" s="457">
        <v>206754</v>
      </c>
      <c r="AA164" s="457">
        <v>206754</v>
      </c>
      <c r="AB164" s="457">
        <v>0</v>
      </c>
      <c r="AC164" s="457">
        <v>0</v>
      </c>
      <c r="AD164" s="457">
        <v>0</v>
      </c>
      <c r="AE164" s="457">
        <v>0</v>
      </c>
      <c r="AF164" s="457">
        <v>0</v>
      </c>
      <c r="AG164" s="457">
        <v>0</v>
      </c>
      <c r="AH164" s="457">
        <v>0</v>
      </c>
      <c r="AI164" s="457">
        <v>0</v>
      </c>
      <c r="AJ164" s="457">
        <v>0</v>
      </c>
      <c r="AK164" s="457">
        <v>0</v>
      </c>
      <c r="AL164" s="457">
        <v>0</v>
      </c>
      <c r="AM164" s="457">
        <v>0</v>
      </c>
      <c r="AN164" s="457">
        <v>0</v>
      </c>
      <c r="AO164" s="457">
        <v>0</v>
      </c>
      <c r="AP164" s="457">
        <v>0</v>
      </c>
      <c r="AQ164" s="457">
        <v>0</v>
      </c>
      <c r="AR164" s="457">
        <v>0</v>
      </c>
      <c r="AS164" s="457">
        <v>0</v>
      </c>
      <c r="AT164" s="457">
        <v>0</v>
      </c>
      <c r="AU164" s="457">
        <v>0</v>
      </c>
      <c r="AV164" s="457">
        <v>0</v>
      </c>
      <c r="AW164" s="457">
        <v>0</v>
      </c>
      <c r="AX164" s="457">
        <v>0</v>
      </c>
      <c r="AY164" s="457">
        <v>0</v>
      </c>
      <c r="AZ164" s="457">
        <v>0</v>
      </c>
      <c r="BA164" s="457">
        <v>438780</v>
      </c>
      <c r="BB164" s="457">
        <v>350436</v>
      </c>
      <c r="BC164" s="457">
        <v>88344</v>
      </c>
      <c r="BD164" s="457">
        <v>98726</v>
      </c>
      <c r="BE164" s="457">
        <v>78848</v>
      </c>
      <c r="BF164" s="457">
        <v>19878</v>
      </c>
      <c r="BG164" s="457">
        <v>10970</v>
      </c>
      <c r="BH164" s="457">
        <v>8761</v>
      </c>
      <c r="BI164" s="457">
        <v>2209</v>
      </c>
    </row>
    <row r="165" spans="1:61" ht="12.75" x14ac:dyDescent="0.2">
      <c r="A165" s="446">
        <v>158</v>
      </c>
      <c r="B165" s="447" t="s">
        <v>199</v>
      </c>
      <c r="C165" s="448" t="s">
        <v>1093</v>
      </c>
      <c r="D165" s="449" t="s">
        <v>1097</v>
      </c>
      <c r="E165" s="450" t="s">
        <v>198</v>
      </c>
      <c r="F165" s="457">
        <v>13095653</v>
      </c>
      <c r="G165" s="457">
        <v>0</v>
      </c>
      <c r="H165" s="457">
        <v>0</v>
      </c>
      <c r="I165" s="457">
        <v>13095653</v>
      </c>
      <c r="J165" s="457">
        <v>13038459</v>
      </c>
      <c r="K165" s="457">
        <v>0</v>
      </c>
      <c r="L165" s="457">
        <v>0</v>
      </c>
      <c r="M165" s="457">
        <v>13038459</v>
      </c>
      <c r="N165" s="457">
        <v>57194</v>
      </c>
      <c r="O165" s="457">
        <v>0</v>
      </c>
      <c r="P165" s="457">
        <v>0</v>
      </c>
      <c r="Q165" s="457">
        <v>57194</v>
      </c>
      <c r="R165" s="457">
        <v>48795</v>
      </c>
      <c r="S165" s="457">
        <v>0</v>
      </c>
      <c r="T165" s="457">
        <v>0</v>
      </c>
      <c r="U165" s="457">
        <v>48795</v>
      </c>
      <c r="V165" s="457">
        <v>8399</v>
      </c>
      <c r="W165" s="457">
        <v>0</v>
      </c>
      <c r="X165" s="457">
        <v>0</v>
      </c>
      <c r="Y165" s="457">
        <v>8399</v>
      </c>
      <c r="Z165" s="457">
        <v>92237</v>
      </c>
      <c r="AA165" s="457">
        <v>92237</v>
      </c>
      <c r="AB165" s="457">
        <v>0</v>
      </c>
      <c r="AC165" s="457">
        <v>0</v>
      </c>
      <c r="AD165" s="457">
        <v>0</v>
      </c>
      <c r="AE165" s="457">
        <v>0</v>
      </c>
      <c r="AF165" s="457">
        <v>0</v>
      </c>
      <c r="AG165" s="457">
        <v>0</v>
      </c>
      <c r="AH165" s="457">
        <v>0</v>
      </c>
      <c r="AI165" s="457">
        <v>164760</v>
      </c>
      <c r="AJ165" s="457">
        <v>0</v>
      </c>
      <c r="AK165" s="457">
        <v>164760</v>
      </c>
      <c r="AL165" s="457">
        <v>0</v>
      </c>
      <c r="AM165" s="457">
        <v>0</v>
      </c>
      <c r="AN165" s="457">
        <v>0</v>
      </c>
      <c r="AO165" s="457">
        <v>0</v>
      </c>
      <c r="AP165" s="457">
        <v>0</v>
      </c>
      <c r="AQ165" s="457">
        <v>0</v>
      </c>
      <c r="AR165" s="457">
        <v>0</v>
      </c>
      <c r="AS165" s="457">
        <v>0</v>
      </c>
      <c r="AT165" s="457">
        <v>0</v>
      </c>
      <c r="AU165" s="457">
        <v>0</v>
      </c>
      <c r="AV165" s="457">
        <v>0</v>
      </c>
      <c r="AW165" s="457">
        <v>0</v>
      </c>
      <c r="AX165" s="457">
        <v>0</v>
      </c>
      <c r="AY165" s="457">
        <v>0</v>
      </c>
      <c r="AZ165" s="457">
        <v>0</v>
      </c>
      <c r="BA165" s="457">
        <v>339455</v>
      </c>
      <c r="BB165" s="457">
        <v>282198</v>
      </c>
      <c r="BC165" s="457">
        <v>57257</v>
      </c>
      <c r="BD165" s="457">
        <v>76377</v>
      </c>
      <c r="BE165" s="457">
        <v>63494</v>
      </c>
      <c r="BF165" s="457">
        <v>12883</v>
      </c>
      <c r="BG165" s="457">
        <v>8486</v>
      </c>
      <c r="BH165" s="457">
        <v>7055</v>
      </c>
      <c r="BI165" s="457">
        <v>1431</v>
      </c>
    </row>
    <row r="166" spans="1:61" ht="12.75" x14ac:dyDescent="0.2">
      <c r="A166" s="446">
        <v>159</v>
      </c>
      <c r="B166" s="447" t="s">
        <v>201</v>
      </c>
      <c r="C166" s="448" t="s">
        <v>1093</v>
      </c>
      <c r="D166" s="449" t="s">
        <v>1103</v>
      </c>
      <c r="E166" s="450" t="s">
        <v>1117</v>
      </c>
      <c r="F166" s="457">
        <v>14604286</v>
      </c>
      <c r="G166" s="457">
        <v>0</v>
      </c>
      <c r="H166" s="457">
        <v>0</v>
      </c>
      <c r="I166" s="457">
        <v>14604286</v>
      </c>
      <c r="J166" s="457">
        <v>14624439</v>
      </c>
      <c r="K166" s="457">
        <v>0</v>
      </c>
      <c r="L166" s="457">
        <v>0</v>
      </c>
      <c r="M166" s="457">
        <v>14624439</v>
      </c>
      <c r="N166" s="457">
        <v>-20153</v>
      </c>
      <c r="O166" s="457">
        <v>0</v>
      </c>
      <c r="P166" s="457">
        <v>0</v>
      </c>
      <c r="Q166" s="457">
        <v>-20153</v>
      </c>
      <c r="R166" s="457">
        <v>79194</v>
      </c>
      <c r="S166" s="457">
        <v>0</v>
      </c>
      <c r="T166" s="457">
        <v>0</v>
      </c>
      <c r="U166" s="457">
        <v>79194</v>
      </c>
      <c r="V166" s="457">
        <v>-99347</v>
      </c>
      <c r="W166" s="457">
        <v>0</v>
      </c>
      <c r="X166" s="457">
        <v>0</v>
      </c>
      <c r="Y166" s="457">
        <v>-99347</v>
      </c>
      <c r="Z166" s="457">
        <v>107953</v>
      </c>
      <c r="AA166" s="457">
        <v>107953</v>
      </c>
      <c r="AB166" s="457">
        <v>0</v>
      </c>
      <c r="AC166" s="457">
        <v>0</v>
      </c>
      <c r="AD166" s="457">
        <v>0</v>
      </c>
      <c r="AE166" s="457">
        <v>0</v>
      </c>
      <c r="AF166" s="457">
        <v>0</v>
      </c>
      <c r="AG166" s="457">
        <v>0</v>
      </c>
      <c r="AH166" s="457">
        <v>0</v>
      </c>
      <c r="AI166" s="457">
        <v>0</v>
      </c>
      <c r="AJ166" s="457">
        <v>0</v>
      </c>
      <c r="AK166" s="457">
        <v>0</v>
      </c>
      <c r="AL166" s="457">
        <v>0</v>
      </c>
      <c r="AM166" s="457">
        <v>0</v>
      </c>
      <c r="AN166" s="457">
        <v>0</v>
      </c>
      <c r="AO166" s="457">
        <v>0</v>
      </c>
      <c r="AP166" s="457">
        <v>0</v>
      </c>
      <c r="AQ166" s="457">
        <v>0</v>
      </c>
      <c r="AR166" s="457">
        <v>0</v>
      </c>
      <c r="AS166" s="457">
        <v>0</v>
      </c>
      <c r="AT166" s="457">
        <v>0</v>
      </c>
      <c r="AU166" s="457">
        <v>0</v>
      </c>
      <c r="AV166" s="457">
        <v>0</v>
      </c>
      <c r="AW166" s="457">
        <v>0</v>
      </c>
      <c r="AX166" s="457">
        <v>0</v>
      </c>
      <c r="AY166" s="457">
        <v>0</v>
      </c>
      <c r="AZ166" s="457">
        <v>0</v>
      </c>
      <c r="BA166" s="457">
        <v>376874</v>
      </c>
      <c r="BB166" s="457">
        <v>325962</v>
      </c>
      <c r="BC166" s="457">
        <v>50912</v>
      </c>
      <c r="BD166" s="457">
        <v>84797</v>
      </c>
      <c r="BE166" s="457">
        <v>73342</v>
      </c>
      <c r="BF166" s="457">
        <v>11455</v>
      </c>
      <c r="BG166" s="457">
        <v>9422</v>
      </c>
      <c r="BH166" s="457">
        <v>8149</v>
      </c>
      <c r="BI166" s="457">
        <v>1273</v>
      </c>
    </row>
    <row r="167" spans="1:61" ht="12.75" x14ac:dyDescent="0.2">
      <c r="A167" s="446">
        <v>160</v>
      </c>
      <c r="B167" s="447" t="s">
        <v>203</v>
      </c>
      <c r="C167" s="448" t="s">
        <v>1100</v>
      </c>
      <c r="D167" s="449" t="s">
        <v>1095</v>
      </c>
      <c r="E167" s="450" t="s">
        <v>202</v>
      </c>
      <c r="F167" s="457">
        <v>310802441</v>
      </c>
      <c r="G167" s="457">
        <v>0</v>
      </c>
      <c r="H167" s="457">
        <v>4329964</v>
      </c>
      <c r="I167" s="457">
        <v>315132405</v>
      </c>
      <c r="J167" s="457">
        <v>314461316</v>
      </c>
      <c r="K167" s="457">
        <v>0</v>
      </c>
      <c r="L167" s="457">
        <v>4385577</v>
      </c>
      <c r="M167" s="457">
        <v>318846893</v>
      </c>
      <c r="N167" s="457">
        <v>-3658875</v>
      </c>
      <c r="O167" s="457">
        <v>0</v>
      </c>
      <c r="P167" s="457">
        <v>-55613</v>
      </c>
      <c r="Q167" s="457">
        <v>-3714488</v>
      </c>
      <c r="R167" s="457">
        <v>982316</v>
      </c>
      <c r="S167" s="457">
        <v>0</v>
      </c>
      <c r="T167" s="457">
        <v>0</v>
      </c>
      <c r="U167" s="457">
        <v>982316</v>
      </c>
      <c r="V167" s="457">
        <v>-4641191</v>
      </c>
      <c r="W167" s="457">
        <v>0</v>
      </c>
      <c r="X167" s="457">
        <v>-55613</v>
      </c>
      <c r="Y167" s="457">
        <v>-4696804</v>
      </c>
      <c r="Z167" s="457">
        <v>1108164</v>
      </c>
      <c r="AA167" s="457">
        <v>1108164</v>
      </c>
      <c r="AB167" s="457">
        <v>0</v>
      </c>
      <c r="AC167" s="457">
        <v>0</v>
      </c>
      <c r="AD167" s="457">
        <v>0</v>
      </c>
      <c r="AE167" s="457">
        <v>0</v>
      </c>
      <c r="AF167" s="457">
        <v>0</v>
      </c>
      <c r="AG167" s="457">
        <v>0</v>
      </c>
      <c r="AH167" s="457">
        <v>0</v>
      </c>
      <c r="AI167" s="457">
        <v>0</v>
      </c>
      <c r="AJ167" s="457">
        <v>0</v>
      </c>
      <c r="AK167" s="457">
        <v>0</v>
      </c>
      <c r="AL167" s="457">
        <v>0</v>
      </c>
      <c r="AM167" s="457">
        <v>0</v>
      </c>
      <c r="AN167" s="457">
        <v>0</v>
      </c>
      <c r="AO167" s="457">
        <v>302645</v>
      </c>
      <c r="AP167" s="457">
        <v>40153</v>
      </c>
      <c r="AQ167" s="457">
        <v>262492</v>
      </c>
      <c r="AR167" s="457">
        <v>302645</v>
      </c>
      <c r="AS167" s="457">
        <v>0</v>
      </c>
      <c r="AT167" s="457">
        <v>302645</v>
      </c>
      <c r="AU167" s="457">
        <v>0</v>
      </c>
      <c r="AV167" s="457">
        <v>0</v>
      </c>
      <c r="AW167" s="457">
        <v>0</v>
      </c>
      <c r="AX167" s="457">
        <v>0</v>
      </c>
      <c r="AY167" s="457">
        <v>0</v>
      </c>
      <c r="AZ167" s="457">
        <v>0</v>
      </c>
      <c r="BA167" s="457">
        <v>2223396</v>
      </c>
      <c r="BB167" s="457">
        <v>1730475</v>
      </c>
      <c r="BC167" s="457">
        <v>492921</v>
      </c>
      <c r="BD167" s="457">
        <v>0</v>
      </c>
      <c r="BE167" s="457">
        <v>0</v>
      </c>
      <c r="BF167" s="457">
        <v>0</v>
      </c>
      <c r="BG167" s="457">
        <v>45147</v>
      </c>
      <c r="BH167" s="457">
        <v>35316</v>
      </c>
      <c r="BI167" s="457">
        <v>9831</v>
      </c>
    </row>
    <row r="168" spans="1:61" ht="12.75" x14ac:dyDescent="0.2">
      <c r="A168" s="446">
        <v>161</v>
      </c>
      <c r="B168" s="447" t="s">
        <v>205</v>
      </c>
      <c r="C168" s="448" t="s">
        <v>1093</v>
      </c>
      <c r="D168" s="449" t="s">
        <v>1096</v>
      </c>
      <c r="E168" s="450" t="s">
        <v>204</v>
      </c>
      <c r="F168" s="457">
        <v>28335096</v>
      </c>
      <c r="G168" s="457">
        <v>0</v>
      </c>
      <c r="H168" s="457">
        <v>0</v>
      </c>
      <c r="I168" s="457">
        <v>28335096</v>
      </c>
      <c r="J168" s="457">
        <v>28443692</v>
      </c>
      <c r="K168" s="457">
        <v>0</v>
      </c>
      <c r="L168" s="457">
        <v>0</v>
      </c>
      <c r="M168" s="457">
        <v>28443692</v>
      </c>
      <c r="N168" s="457">
        <v>-108596</v>
      </c>
      <c r="O168" s="457">
        <v>0</v>
      </c>
      <c r="P168" s="457">
        <v>0</v>
      </c>
      <c r="Q168" s="457">
        <v>-108596</v>
      </c>
      <c r="R168" s="457">
        <v>-108539</v>
      </c>
      <c r="S168" s="457">
        <v>0</v>
      </c>
      <c r="T168" s="457">
        <v>0</v>
      </c>
      <c r="U168" s="457">
        <v>-108539</v>
      </c>
      <c r="V168" s="457">
        <v>-57</v>
      </c>
      <c r="W168" s="457">
        <v>0</v>
      </c>
      <c r="X168" s="457">
        <v>0</v>
      </c>
      <c r="Y168" s="457">
        <v>-57</v>
      </c>
      <c r="Z168" s="457">
        <v>129143</v>
      </c>
      <c r="AA168" s="457">
        <v>129143</v>
      </c>
      <c r="AB168" s="457">
        <v>0</v>
      </c>
      <c r="AC168" s="457">
        <v>0</v>
      </c>
      <c r="AD168" s="457">
        <v>0</v>
      </c>
      <c r="AE168" s="457">
        <v>0</v>
      </c>
      <c r="AF168" s="457">
        <v>0</v>
      </c>
      <c r="AG168" s="457">
        <v>0</v>
      </c>
      <c r="AH168" s="457">
        <v>0</v>
      </c>
      <c r="AI168" s="457">
        <v>0</v>
      </c>
      <c r="AJ168" s="457">
        <v>0</v>
      </c>
      <c r="AK168" s="457">
        <v>0</v>
      </c>
      <c r="AL168" s="457">
        <v>0</v>
      </c>
      <c r="AM168" s="457">
        <v>0</v>
      </c>
      <c r="AN168" s="457">
        <v>0</v>
      </c>
      <c r="AO168" s="457">
        <v>0</v>
      </c>
      <c r="AP168" s="457">
        <v>0</v>
      </c>
      <c r="AQ168" s="457">
        <v>0</v>
      </c>
      <c r="AR168" s="457">
        <v>0</v>
      </c>
      <c r="AS168" s="457">
        <v>0</v>
      </c>
      <c r="AT168" s="457">
        <v>0</v>
      </c>
      <c r="AU168" s="457">
        <v>0</v>
      </c>
      <c r="AV168" s="457">
        <v>0</v>
      </c>
      <c r="AW168" s="457">
        <v>0</v>
      </c>
      <c r="AX168" s="457">
        <v>0</v>
      </c>
      <c r="AY168" s="457">
        <v>0</v>
      </c>
      <c r="AZ168" s="457">
        <v>0</v>
      </c>
      <c r="BA168" s="457">
        <v>321319</v>
      </c>
      <c r="BB168" s="457">
        <v>129492</v>
      </c>
      <c r="BC168" s="457">
        <v>191827</v>
      </c>
      <c r="BD168" s="457">
        <v>72297</v>
      </c>
      <c r="BE168" s="457">
        <v>29136</v>
      </c>
      <c r="BF168" s="457">
        <v>43161</v>
      </c>
      <c r="BG168" s="457">
        <v>8033</v>
      </c>
      <c r="BH168" s="457">
        <v>3237</v>
      </c>
      <c r="BI168" s="457">
        <v>4796</v>
      </c>
    </row>
    <row r="169" spans="1:61" ht="12.75" x14ac:dyDescent="0.2">
      <c r="A169" s="446">
        <v>162</v>
      </c>
      <c r="B169" s="447" t="s">
        <v>207</v>
      </c>
      <c r="C169" s="448" t="s">
        <v>794</v>
      </c>
      <c r="D169" s="449" t="s">
        <v>1094</v>
      </c>
      <c r="E169" s="450" t="s">
        <v>725</v>
      </c>
      <c r="F169" s="457">
        <v>87779483</v>
      </c>
      <c r="G169" s="457">
        <v>0</v>
      </c>
      <c r="H169" s="457">
        <v>0</v>
      </c>
      <c r="I169" s="457">
        <v>87779483</v>
      </c>
      <c r="J169" s="457">
        <v>86241874</v>
      </c>
      <c r="K169" s="457">
        <v>0</v>
      </c>
      <c r="L169" s="457">
        <v>0</v>
      </c>
      <c r="M169" s="457">
        <v>86241874</v>
      </c>
      <c r="N169" s="457">
        <v>1537609</v>
      </c>
      <c r="O169" s="457">
        <v>0</v>
      </c>
      <c r="P169" s="457">
        <v>0</v>
      </c>
      <c r="Q169" s="457">
        <v>1537609</v>
      </c>
      <c r="R169" s="457">
        <v>2061330</v>
      </c>
      <c r="S169" s="457">
        <v>0</v>
      </c>
      <c r="T169" s="457">
        <v>0</v>
      </c>
      <c r="U169" s="457">
        <v>2061330</v>
      </c>
      <c r="V169" s="457">
        <v>-523721</v>
      </c>
      <c r="W169" s="457">
        <v>0</v>
      </c>
      <c r="X169" s="457">
        <v>0</v>
      </c>
      <c r="Y169" s="457">
        <v>-523721</v>
      </c>
      <c r="Z169" s="457">
        <v>292567</v>
      </c>
      <c r="AA169" s="457">
        <v>292567</v>
      </c>
      <c r="AB169" s="457">
        <v>0</v>
      </c>
      <c r="AC169" s="457">
        <v>0</v>
      </c>
      <c r="AD169" s="457">
        <v>0</v>
      </c>
      <c r="AE169" s="457">
        <v>0</v>
      </c>
      <c r="AF169" s="457">
        <v>0</v>
      </c>
      <c r="AG169" s="457">
        <v>0</v>
      </c>
      <c r="AH169" s="457">
        <v>0</v>
      </c>
      <c r="AI169" s="457">
        <v>0</v>
      </c>
      <c r="AJ169" s="457">
        <v>0</v>
      </c>
      <c r="AK169" s="457">
        <v>0</v>
      </c>
      <c r="AL169" s="457">
        <v>0</v>
      </c>
      <c r="AM169" s="457">
        <v>0</v>
      </c>
      <c r="AN169" s="457">
        <v>0</v>
      </c>
      <c r="AO169" s="457">
        <v>0</v>
      </c>
      <c r="AP169" s="457">
        <v>0</v>
      </c>
      <c r="AQ169" s="457">
        <v>0</v>
      </c>
      <c r="AR169" s="457">
        <v>0</v>
      </c>
      <c r="AS169" s="457">
        <v>0</v>
      </c>
      <c r="AT169" s="457">
        <v>0</v>
      </c>
      <c r="AU169" s="457">
        <v>0</v>
      </c>
      <c r="AV169" s="457">
        <v>0</v>
      </c>
      <c r="AW169" s="457">
        <v>0</v>
      </c>
      <c r="AX169" s="457">
        <v>0</v>
      </c>
      <c r="AY169" s="457">
        <v>0</v>
      </c>
      <c r="AZ169" s="457">
        <v>0</v>
      </c>
      <c r="BA169" s="457">
        <v>889449</v>
      </c>
      <c r="BB169" s="457">
        <v>751843</v>
      </c>
      <c r="BC169" s="457">
        <v>137606</v>
      </c>
      <c r="BD169" s="457">
        <v>0</v>
      </c>
      <c r="BE169" s="457">
        <v>0</v>
      </c>
      <c r="BF169" s="457">
        <v>0</v>
      </c>
      <c r="BG169" s="457">
        <v>18152</v>
      </c>
      <c r="BH169" s="457">
        <v>15344</v>
      </c>
      <c r="BI169" s="457">
        <v>2808</v>
      </c>
    </row>
    <row r="170" spans="1:61" ht="12.75" x14ac:dyDescent="0.2">
      <c r="A170" s="446">
        <v>163</v>
      </c>
      <c r="B170" s="447" t="s">
        <v>209</v>
      </c>
      <c r="C170" s="448" t="s">
        <v>1093</v>
      </c>
      <c r="D170" s="449" t="s">
        <v>1096</v>
      </c>
      <c r="E170" s="450" t="s">
        <v>208</v>
      </c>
      <c r="F170" s="457">
        <v>12911296</v>
      </c>
      <c r="G170" s="457">
        <v>0</v>
      </c>
      <c r="H170" s="457">
        <v>0</v>
      </c>
      <c r="I170" s="457">
        <v>12911296</v>
      </c>
      <c r="J170" s="457">
        <v>12851810</v>
      </c>
      <c r="K170" s="457">
        <v>0</v>
      </c>
      <c r="L170" s="457">
        <v>0</v>
      </c>
      <c r="M170" s="457">
        <v>12851810</v>
      </c>
      <c r="N170" s="457">
        <v>59486</v>
      </c>
      <c r="O170" s="457">
        <v>0</v>
      </c>
      <c r="P170" s="457">
        <v>0</v>
      </c>
      <c r="Q170" s="457">
        <v>59486</v>
      </c>
      <c r="R170" s="457">
        <v>65491</v>
      </c>
      <c r="S170" s="457">
        <v>0</v>
      </c>
      <c r="T170" s="457">
        <v>0</v>
      </c>
      <c r="U170" s="457">
        <v>65491</v>
      </c>
      <c r="V170" s="457">
        <v>-6005</v>
      </c>
      <c r="W170" s="457">
        <v>0</v>
      </c>
      <c r="X170" s="457">
        <v>0</v>
      </c>
      <c r="Y170" s="457">
        <v>-6005</v>
      </c>
      <c r="Z170" s="457">
        <v>61924</v>
      </c>
      <c r="AA170" s="457">
        <v>61924</v>
      </c>
      <c r="AB170" s="457">
        <v>0</v>
      </c>
      <c r="AC170" s="457">
        <v>0</v>
      </c>
      <c r="AD170" s="457">
        <v>0</v>
      </c>
      <c r="AE170" s="457">
        <v>0</v>
      </c>
      <c r="AF170" s="457">
        <v>0</v>
      </c>
      <c r="AG170" s="457">
        <v>0</v>
      </c>
      <c r="AH170" s="457">
        <v>0</v>
      </c>
      <c r="AI170" s="457">
        <v>0</v>
      </c>
      <c r="AJ170" s="457">
        <v>0</v>
      </c>
      <c r="AK170" s="457">
        <v>0</v>
      </c>
      <c r="AL170" s="457">
        <v>0</v>
      </c>
      <c r="AM170" s="457">
        <v>0</v>
      </c>
      <c r="AN170" s="457">
        <v>0</v>
      </c>
      <c r="AO170" s="457">
        <v>0</v>
      </c>
      <c r="AP170" s="457">
        <v>0</v>
      </c>
      <c r="AQ170" s="457">
        <v>0</v>
      </c>
      <c r="AR170" s="457">
        <v>0</v>
      </c>
      <c r="AS170" s="457">
        <v>0</v>
      </c>
      <c r="AT170" s="457">
        <v>0</v>
      </c>
      <c r="AU170" s="457">
        <v>0</v>
      </c>
      <c r="AV170" s="457">
        <v>0</v>
      </c>
      <c r="AW170" s="457">
        <v>0</v>
      </c>
      <c r="AX170" s="457">
        <v>0</v>
      </c>
      <c r="AY170" s="457">
        <v>0</v>
      </c>
      <c r="AZ170" s="457">
        <v>0</v>
      </c>
      <c r="BA170" s="457">
        <v>201537</v>
      </c>
      <c r="BB170" s="457">
        <v>167596</v>
      </c>
      <c r="BC170" s="457">
        <v>33941</v>
      </c>
      <c r="BD170" s="457">
        <v>45346</v>
      </c>
      <c r="BE170" s="457">
        <v>37709</v>
      </c>
      <c r="BF170" s="457">
        <v>7637</v>
      </c>
      <c r="BG170" s="457">
        <v>5038</v>
      </c>
      <c r="BH170" s="457">
        <v>4190</v>
      </c>
      <c r="BI170" s="457">
        <v>848</v>
      </c>
    </row>
    <row r="171" spans="1:61" ht="12.75" x14ac:dyDescent="0.2">
      <c r="A171" s="446">
        <v>164</v>
      </c>
      <c r="B171" s="447" t="s">
        <v>211</v>
      </c>
      <c r="C171" s="448" t="s">
        <v>1093</v>
      </c>
      <c r="D171" s="449" t="s">
        <v>1102</v>
      </c>
      <c r="E171" s="450" t="s">
        <v>210</v>
      </c>
      <c r="F171" s="457">
        <v>33159160</v>
      </c>
      <c r="G171" s="457">
        <v>0</v>
      </c>
      <c r="H171" s="457">
        <v>0</v>
      </c>
      <c r="I171" s="457">
        <v>33159160</v>
      </c>
      <c r="J171" s="457">
        <v>33206338</v>
      </c>
      <c r="K171" s="457">
        <v>0</v>
      </c>
      <c r="L171" s="457">
        <v>0</v>
      </c>
      <c r="M171" s="457">
        <v>33206338</v>
      </c>
      <c r="N171" s="457">
        <v>-47178</v>
      </c>
      <c r="O171" s="457">
        <v>0</v>
      </c>
      <c r="P171" s="457">
        <v>0</v>
      </c>
      <c r="Q171" s="457">
        <v>-47178</v>
      </c>
      <c r="R171" s="457">
        <v>226081</v>
      </c>
      <c r="S171" s="457">
        <v>0</v>
      </c>
      <c r="T171" s="457">
        <v>0</v>
      </c>
      <c r="U171" s="457">
        <v>226081</v>
      </c>
      <c r="V171" s="457">
        <v>-273259</v>
      </c>
      <c r="W171" s="457">
        <v>0</v>
      </c>
      <c r="X171" s="457">
        <v>0</v>
      </c>
      <c r="Y171" s="457">
        <v>-273259</v>
      </c>
      <c r="Z171" s="457">
        <v>162892</v>
      </c>
      <c r="AA171" s="457">
        <v>162142</v>
      </c>
      <c r="AB171" s="457">
        <v>750</v>
      </c>
      <c r="AC171" s="457">
        <v>0</v>
      </c>
      <c r="AD171" s="457">
        <v>0</v>
      </c>
      <c r="AE171" s="457">
        <v>0</v>
      </c>
      <c r="AF171" s="457">
        <v>0</v>
      </c>
      <c r="AG171" s="457">
        <v>0</v>
      </c>
      <c r="AH171" s="457">
        <v>0</v>
      </c>
      <c r="AI171" s="457">
        <v>0</v>
      </c>
      <c r="AJ171" s="457">
        <v>0</v>
      </c>
      <c r="AK171" s="457">
        <v>0</v>
      </c>
      <c r="AL171" s="457">
        <v>0</v>
      </c>
      <c r="AM171" s="457">
        <v>0</v>
      </c>
      <c r="AN171" s="457">
        <v>0</v>
      </c>
      <c r="AO171" s="457">
        <v>0</v>
      </c>
      <c r="AP171" s="457">
        <v>0</v>
      </c>
      <c r="AQ171" s="457">
        <v>0</v>
      </c>
      <c r="AR171" s="457">
        <v>0</v>
      </c>
      <c r="AS171" s="457">
        <v>0</v>
      </c>
      <c r="AT171" s="457">
        <v>0</v>
      </c>
      <c r="AU171" s="457">
        <v>0</v>
      </c>
      <c r="AV171" s="457">
        <v>0</v>
      </c>
      <c r="AW171" s="457">
        <v>0</v>
      </c>
      <c r="AX171" s="457">
        <v>0</v>
      </c>
      <c r="AY171" s="457">
        <v>0</v>
      </c>
      <c r="AZ171" s="457">
        <v>0</v>
      </c>
      <c r="BA171" s="457">
        <v>568509</v>
      </c>
      <c r="BB171" s="457">
        <v>464081</v>
      </c>
      <c r="BC171" s="457">
        <v>104428</v>
      </c>
      <c r="BD171" s="457">
        <v>127915</v>
      </c>
      <c r="BE171" s="457">
        <v>104418</v>
      </c>
      <c r="BF171" s="457">
        <v>23497</v>
      </c>
      <c r="BG171" s="457">
        <v>14213</v>
      </c>
      <c r="BH171" s="457">
        <v>11602</v>
      </c>
      <c r="BI171" s="457">
        <v>2611</v>
      </c>
    </row>
    <row r="172" spans="1:61" ht="12.75" x14ac:dyDescent="0.2">
      <c r="A172" s="446">
        <v>165</v>
      </c>
      <c r="B172" s="447" t="s">
        <v>213</v>
      </c>
      <c r="C172" s="448" t="s">
        <v>1098</v>
      </c>
      <c r="D172" s="449" t="s">
        <v>1099</v>
      </c>
      <c r="E172" s="450" t="s">
        <v>212</v>
      </c>
      <c r="F172" s="457">
        <v>92668700</v>
      </c>
      <c r="G172" s="457">
        <v>0</v>
      </c>
      <c r="H172" s="457">
        <v>0</v>
      </c>
      <c r="I172" s="457">
        <v>92668700</v>
      </c>
      <c r="J172" s="457">
        <v>92839362</v>
      </c>
      <c r="K172" s="457">
        <v>0</v>
      </c>
      <c r="L172" s="457">
        <v>0</v>
      </c>
      <c r="M172" s="457">
        <v>92839362</v>
      </c>
      <c r="N172" s="457">
        <v>-170662</v>
      </c>
      <c r="O172" s="457">
        <v>0</v>
      </c>
      <c r="P172" s="457">
        <v>0</v>
      </c>
      <c r="Q172" s="457">
        <v>-170662</v>
      </c>
      <c r="R172" s="457">
        <v>98736</v>
      </c>
      <c r="S172" s="457">
        <v>0</v>
      </c>
      <c r="T172" s="457">
        <v>0</v>
      </c>
      <c r="U172" s="457">
        <v>98736</v>
      </c>
      <c r="V172" s="457">
        <v>-269398</v>
      </c>
      <c r="W172" s="457">
        <v>0</v>
      </c>
      <c r="X172" s="457">
        <v>0</v>
      </c>
      <c r="Y172" s="457">
        <v>-269398</v>
      </c>
      <c r="Z172" s="457">
        <v>280580</v>
      </c>
      <c r="AA172" s="457">
        <v>280580</v>
      </c>
      <c r="AB172" s="457">
        <v>0</v>
      </c>
      <c r="AC172" s="457">
        <v>0</v>
      </c>
      <c r="AD172" s="457">
        <v>0</v>
      </c>
      <c r="AE172" s="457">
        <v>0</v>
      </c>
      <c r="AF172" s="457">
        <v>0</v>
      </c>
      <c r="AG172" s="457">
        <v>0</v>
      </c>
      <c r="AH172" s="457">
        <v>0</v>
      </c>
      <c r="AI172" s="457">
        <v>0</v>
      </c>
      <c r="AJ172" s="457">
        <v>0</v>
      </c>
      <c r="AK172" s="457">
        <v>0</v>
      </c>
      <c r="AL172" s="457">
        <v>0</v>
      </c>
      <c r="AM172" s="457">
        <v>0</v>
      </c>
      <c r="AN172" s="457">
        <v>0</v>
      </c>
      <c r="AO172" s="457">
        <v>0</v>
      </c>
      <c r="AP172" s="457">
        <v>0</v>
      </c>
      <c r="AQ172" s="457">
        <v>0</v>
      </c>
      <c r="AR172" s="457">
        <v>0</v>
      </c>
      <c r="AS172" s="457">
        <v>0</v>
      </c>
      <c r="AT172" s="457">
        <v>0</v>
      </c>
      <c r="AU172" s="457">
        <v>0</v>
      </c>
      <c r="AV172" s="457">
        <v>0</v>
      </c>
      <c r="AW172" s="457">
        <v>0</v>
      </c>
      <c r="AX172" s="457">
        <v>0</v>
      </c>
      <c r="AY172" s="457">
        <v>0</v>
      </c>
      <c r="AZ172" s="457">
        <v>0</v>
      </c>
      <c r="BA172" s="457">
        <v>400786</v>
      </c>
      <c r="BB172" s="457">
        <v>345860</v>
      </c>
      <c r="BC172" s="457">
        <v>54926</v>
      </c>
      <c r="BD172" s="457">
        <v>267191</v>
      </c>
      <c r="BE172" s="457">
        <v>230574</v>
      </c>
      <c r="BF172" s="457">
        <v>36617</v>
      </c>
      <c r="BG172" s="457">
        <v>0</v>
      </c>
      <c r="BH172" s="457">
        <v>0</v>
      </c>
      <c r="BI172" s="457">
        <v>0</v>
      </c>
    </row>
    <row r="173" spans="1:61" ht="12.75" x14ac:dyDescent="0.2">
      <c r="A173" s="446">
        <v>166</v>
      </c>
      <c r="B173" s="447" t="s">
        <v>215</v>
      </c>
      <c r="C173" s="448" t="s">
        <v>1093</v>
      </c>
      <c r="D173" s="449" t="s">
        <v>1102</v>
      </c>
      <c r="E173" s="450" t="s">
        <v>214</v>
      </c>
      <c r="F173" s="457">
        <v>18302570.399999999</v>
      </c>
      <c r="G173" s="457">
        <v>0</v>
      </c>
      <c r="H173" s="457">
        <v>0</v>
      </c>
      <c r="I173" s="457">
        <v>18302570.399999999</v>
      </c>
      <c r="J173" s="457">
        <v>18224693.800000001</v>
      </c>
      <c r="K173" s="457">
        <v>0</v>
      </c>
      <c r="L173" s="457">
        <v>0</v>
      </c>
      <c r="M173" s="457">
        <v>18224693.800000001</v>
      </c>
      <c r="N173" s="457">
        <v>77876.570000000007</v>
      </c>
      <c r="O173" s="457">
        <v>0</v>
      </c>
      <c r="P173" s="457">
        <v>0</v>
      </c>
      <c r="Q173" s="457">
        <v>77876.570000000007</v>
      </c>
      <c r="R173" s="457">
        <v>56247</v>
      </c>
      <c r="S173" s="457">
        <v>0</v>
      </c>
      <c r="T173" s="457">
        <v>0</v>
      </c>
      <c r="U173" s="457">
        <v>56247</v>
      </c>
      <c r="V173" s="457">
        <v>21630</v>
      </c>
      <c r="W173" s="457">
        <v>0</v>
      </c>
      <c r="X173" s="457">
        <v>0</v>
      </c>
      <c r="Y173" s="457">
        <v>21630</v>
      </c>
      <c r="Z173" s="457">
        <v>106404</v>
      </c>
      <c r="AA173" s="457">
        <v>106404</v>
      </c>
      <c r="AB173" s="457">
        <v>0</v>
      </c>
      <c r="AC173" s="457">
        <v>0</v>
      </c>
      <c r="AD173" s="457">
        <v>0</v>
      </c>
      <c r="AE173" s="457">
        <v>0</v>
      </c>
      <c r="AF173" s="457">
        <v>0</v>
      </c>
      <c r="AG173" s="457">
        <v>0</v>
      </c>
      <c r="AH173" s="457">
        <v>0</v>
      </c>
      <c r="AI173" s="457">
        <v>40779</v>
      </c>
      <c r="AJ173" s="457">
        <v>23100</v>
      </c>
      <c r="AK173" s="457">
        <v>17679</v>
      </c>
      <c r="AL173" s="457">
        <v>0</v>
      </c>
      <c r="AM173" s="457">
        <v>0</v>
      </c>
      <c r="AN173" s="457">
        <v>0</v>
      </c>
      <c r="AO173" s="457">
        <v>0</v>
      </c>
      <c r="AP173" s="457">
        <v>0</v>
      </c>
      <c r="AQ173" s="457">
        <v>0</v>
      </c>
      <c r="AR173" s="457">
        <v>0</v>
      </c>
      <c r="AS173" s="457">
        <v>0</v>
      </c>
      <c r="AT173" s="457">
        <v>0</v>
      </c>
      <c r="AU173" s="457">
        <v>0</v>
      </c>
      <c r="AV173" s="457">
        <v>0</v>
      </c>
      <c r="AW173" s="457">
        <v>0</v>
      </c>
      <c r="AX173" s="457">
        <v>0</v>
      </c>
      <c r="AY173" s="457">
        <v>0</v>
      </c>
      <c r="AZ173" s="457">
        <v>0</v>
      </c>
      <c r="BA173" s="457">
        <v>370728</v>
      </c>
      <c r="BB173" s="457">
        <v>317768</v>
      </c>
      <c r="BC173" s="457">
        <v>52960</v>
      </c>
      <c r="BD173" s="457">
        <v>83414</v>
      </c>
      <c r="BE173" s="457">
        <v>71498</v>
      </c>
      <c r="BF173" s="457">
        <v>11916</v>
      </c>
      <c r="BG173" s="457">
        <v>9268</v>
      </c>
      <c r="BH173" s="457">
        <v>7944</v>
      </c>
      <c r="BI173" s="457">
        <v>1324</v>
      </c>
    </row>
    <row r="174" spans="1:61" ht="12.75" x14ac:dyDescent="0.2">
      <c r="A174" s="446">
        <v>167</v>
      </c>
      <c r="B174" s="447" t="s">
        <v>217</v>
      </c>
      <c r="C174" s="448" t="s">
        <v>1093</v>
      </c>
      <c r="D174" s="449" t="s">
        <v>1097</v>
      </c>
      <c r="E174" s="450" t="s">
        <v>216</v>
      </c>
      <c r="F174" s="457">
        <v>25267608</v>
      </c>
      <c r="G174" s="457">
        <v>0</v>
      </c>
      <c r="H174" s="457">
        <v>0</v>
      </c>
      <c r="I174" s="457">
        <v>25267608</v>
      </c>
      <c r="J174" s="457">
        <v>25328589</v>
      </c>
      <c r="K174" s="457">
        <v>0</v>
      </c>
      <c r="L174" s="457">
        <v>0</v>
      </c>
      <c r="M174" s="457">
        <v>25328589</v>
      </c>
      <c r="N174" s="457">
        <v>-60981</v>
      </c>
      <c r="O174" s="457">
        <v>0</v>
      </c>
      <c r="P174" s="457">
        <v>0</v>
      </c>
      <c r="Q174" s="457">
        <v>-60981</v>
      </c>
      <c r="R174" s="457">
        <v>80438</v>
      </c>
      <c r="S174" s="457">
        <v>0</v>
      </c>
      <c r="T174" s="457">
        <v>0</v>
      </c>
      <c r="U174" s="457">
        <v>80438</v>
      </c>
      <c r="V174" s="457">
        <v>-141419</v>
      </c>
      <c r="W174" s="457">
        <v>0</v>
      </c>
      <c r="X174" s="457">
        <v>0</v>
      </c>
      <c r="Y174" s="457">
        <v>-141419</v>
      </c>
      <c r="Z174" s="457">
        <v>128540</v>
      </c>
      <c r="AA174" s="457">
        <v>128540</v>
      </c>
      <c r="AB174" s="457">
        <v>0</v>
      </c>
      <c r="AC174" s="457">
        <v>0</v>
      </c>
      <c r="AD174" s="457">
        <v>0</v>
      </c>
      <c r="AE174" s="457">
        <v>0</v>
      </c>
      <c r="AF174" s="457">
        <v>0</v>
      </c>
      <c r="AG174" s="457">
        <v>0</v>
      </c>
      <c r="AH174" s="457">
        <v>0</v>
      </c>
      <c r="AI174" s="457">
        <v>40762</v>
      </c>
      <c r="AJ174" s="457">
        <v>0</v>
      </c>
      <c r="AK174" s="457">
        <v>40762</v>
      </c>
      <c r="AL174" s="457">
        <v>0</v>
      </c>
      <c r="AM174" s="457">
        <v>0</v>
      </c>
      <c r="AN174" s="457">
        <v>0</v>
      </c>
      <c r="AO174" s="457">
        <v>0</v>
      </c>
      <c r="AP174" s="457">
        <v>0</v>
      </c>
      <c r="AQ174" s="457">
        <v>0</v>
      </c>
      <c r="AR174" s="457">
        <v>0</v>
      </c>
      <c r="AS174" s="457">
        <v>0</v>
      </c>
      <c r="AT174" s="457">
        <v>0</v>
      </c>
      <c r="AU174" s="457">
        <v>0</v>
      </c>
      <c r="AV174" s="457">
        <v>0</v>
      </c>
      <c r="AW174" s="457">
        <v>0</v>
      </c>
      <c r="AX174" s="457">
        <v>0</v>
      </c>
      <c r="AY174" s="457">
        <v>0</v>
      </c>
      <c r="AZ174" s="457">
        <v>0</v>
      </c>
      <c r="BA174" s="457">
        <v>358942</v>
      </c>
      <c r="BB174" s="457">
        <v>271782</v>
      </c>
      <c r="BC174" s="457">
        <v>87160</v>
      </c>
      <c r="BD174" s="457">
        <v>89735</v>
      </c>
      <c r="BE174" s="457">
        <v>67946</v>
      </c>
      <c r="BF174" s="457">
        <v>21789</v>
      </c>
      <c r="BG174" s="457">
        <v>0</v>
      </c>
      <c r="BH174" s="457">
        <v>0</v>
      </c>
      <c r="BI174" s="457">
        <v>0</v>
      </c>
    </row>
    <row r="175" spans="1:61" ht="12.75" x14ac:dyDescent="0.2">
      <c r="A175" s="446">
        <v>168</v>
      </c>
      <c r="B175" s="447" t="s">
        <v>219</v>
      </c>
      <c r="C175" s="448" t="s">
        <v>1093</v>
      </c>
      <c r="D175" s="449" t="s">
        <v>1094</v>
      </c>
      <c r="E175" s="450" t="s">
        <v>218</v>
      </c>
      <c r="F175" s="457">
        <v>41762233</v>
      </c>
      <c r="G175" s="457">
        <v>0</v>
      </c>
      <c r="H175" s="457">
        <v>0</v>
      </c>
      <c r="I175" s="457">
        <v>41762233</v>
      </c>
      <c r="J175" s="457">
        <v>41850376</v>
      </c>
      <c r="K175" s="457">
        <v>0</v>
      </c>
      <c r="L175" s="457">
        <v>0</v>
      </c>
      <c r="M175" s="457">
        <v>41850376</v>
      </c>
      <c r="N175" s="457">
        <v>-88143</v>
      </c>
      <c r="O175" s="457">
        <v>0</v>
      </c>
      <c r="P175" s="457">
        <v>0</v>
      </c>
      <c r="Q175" s="457">
        <v>-88143</v>
      </c>
      <c r="R175" s="457">
        <v>66732</v>
      </c>
      <c r="S175" s="457">
        <v>0</v>
      </c>
      <c r="T175" s="457">
        <v>0</v>
      </c>
      <c r="U175" s="457">
        <v>66732</v>
      </c>
      <c r="V175" s="457">
        <v>-154875</v>
      </c>
      <c r="W175" s="457">
        <v>0</v>
      </c>
      <c r="X175" s="457">
        <v>0</v>
      </c>
      <c r="Y175" s="457">
        <v>-154875</v>
      </c>
      <c r="Z175" s="457">
        <v>172028</v>
      </c>
      <c r="AA175" s="457">
        <v>172028</v>
      </c>
      <c r="AB175" s="457">
        <v>0</v>
      </c>
      <c r="AC175" s="457">
        <v>0</v>
      </c>
      <c r="AD175" s="457">
        <v>0</v>
      </c>
      <c r="AE175" s="457">
        <v>0</v>
      </c>
      <c r="AF175" s="457">
        <v>0</v>
      </c>
      <c r="AG175" s="457">
        <v>0</v>
      </c>
      <c r="AH175" s="457">
        <v>0</v>
      </c>
      <c r="AI175" s="457">
        <v>0</v>
      </c>
      <c r="AJ175" s="457">
        <v>0</v>
      </c>
      <c r="AK175" s="457">
        <v>0</v>
      </c>
      <c r="AL175" s="457">
        <v>0</v>
      </c>
      <c r="AM175" s="457">
        <v>0</v>
      </c>
      <c r="AN175" s="457">
        <v>0</v>
      </c>
      <c r="AO175" s="457">
        <v>0</v>
      </c>
      <c r="AP175" s="457">
        <v>0</v>
      </c>
      <c r="AQ175" s="457">
        <v>0</v>
      </c>
      <c r="AR175" s="457">
        <v>0</v>
      </c>
      <c r="AS175" s="457">
        <v>0</v>
      </c>
      <c r="AT175" s="457">
        <v>0</v>
      </c>
      <c r="AU175" s="457">
        <v>0</v>
      </c>
      <c r="AV175" s="457">
        <v>0</v>
      </c>
      <c r="AW175" s="457">
        <v>0</v>
      </c>
      <c r="AX175" s="457">
        <v>0</v>
      </c>
      <c r="AY175" s="457">
        <v>0</v>
      </c>
      <c r="AZ175" s="457">
        <v>0</v>
      </c>
      <c r="BA175" s="457">
        <v>435741</v>
      </c>
      <c r="BB175" s="457">
        <v>354436</v>
      </c>
      <c r="BC175" s="457">
        <v>81305</v>
      </c>
      <c r="BD175" s="457">
        <v>108935</v>
      </c>
      <c r="BE175" s="457">
        <v>88609</v>
      </c>
      <c r="BF175" s="457">
        <v>20326</v>
      </c>
      <c r="BG175" s="457">
        <v>0</v>
      </c>
      <c r="BH175" s="457">
        <v>0</v>
      </c>
      <c r="BI175" s="457">
        <v>0</v>
      </c>
    </row>
    <row r="176" spans="1:61" ht="12.75" x14ac:dyDescent="0.2">
      <c r="A176" s="446">
        <v>169</v>
      </c>
      <c r="B176" s="447" t="s">
        <v>221</v>
      </c>
      <c r="C176" s="448" t="s">
        <v>794</v>
      </c>
      <c r="D176" s="449" t="s">
        <v>1105</v>
      </c>
      <c r="E176" s="450" t="s">
        <v>726</v>
      </c>
      <c r="F176" s="457">
        <v>39726229.200000003</v>
      </c>
      <c r="G176" s="457">
        <v>0</v>
      </c>
      <c r="H176" s="457">
        <v>0</v>
      </c>
      <c r="I176" s="457">
        <v>39726229.200000003</v>
      </c>
      <c r="J176" s="457">
        <v>40231796.700000003</v>
      </c>
      <c r="K176" s="457">
        <v>0</v>
      </c>
      <c r="L176" s="457">
        <v>0</v>
      </c>
      <c r="M176" s="457">
        <v>40231796.700000003</v>
      </c>
      <c r="N176" s="457">
        <v>-505567.46</v>
      </c>
      <c r="O176" s="457">
        <v>0</v>
      </c>
      <c r="P176" s="457">
        <v>0</v>
      </c>
      <c r="Q176" s="457">
        <v>-505567.46</v>
      </c>
      <c r="R176" s="457">
        <v>1277</v>
      </c>
      <c r="S176" s="457">
        <v>0</v>
      </c>
      <c r="T176" s="457">
        <v>0</v>
      </c>
      <c r="U176" s="457">
        <v>1277</v>
      </c>
      <c r="V176" s="457">
        <v>-506844</v>
      </c>
      <c r="W176" s="457">
        <v>0</v>
      </c>
      <c r="X176" s="457">
        <v>0</v>
      </c>
      <c r="Y176" s="457">
        <v>-506844</v>
      </c>
      <c r="Z176" s="457">
        <v>179446</v>
      </c>
      <c r="AA176" s="457">
        <v>179446</v>
      </c>
      <c r="AB176" s="457">
        <v>0</v>
      </c>
      <c r="AC176" s="457">
        <v>0</v>
      </c>
      <c r="AD176" s="457">
        <v>0</v>
      </c>
      <c r="AE176" s="457">
        <v>0</v>
      </c>
      <c r="AF176" s="457">
        <v>0</v>
      </c>
      <c r="AG176" s="457">
        <v>0</v>
      </c>
      <c r="AH176" s="457">
        <v>0</v>
      </c>
      <c r="AI176" s="457">
        <v>0</v>
      </c>
      <c r="AJ176" s="457">
        <v>0</v>
      </c>
      <c r="AK176" s="457">
        <v>0</v>
      </c>
      <c r="AL176" s="457">
        <v>0</v>
      </c>
      <c r="AM176" s="457">
        <v>0</v>
      </c>
      <c r="AN176" s="457">
        <v>0</v>
      </c>
      <c r="AO176" s="457">
        <v>0</v>
      </c>
      <c r="AP176" s="457">
        <v>0</v>
      </c>
      <c r="AQ176" s="457">
        <v>0</v>
      </c>
      <c r="AR176" s="457">
        <v>0</v>
      </c>
      <c r="AS176" s="457">
        <v>0</v>
      </c>
      <c r="AT176" s="457">
        <v>0</v>
      </c>
      <c r="AU176" s="457">
        <v>0</v>
      </c>
      <c r="AV176" s="457">
        <v>0</v>
      </c>
      <c r="AW176" s="457">
        <v>0</v>
      </c>
      <c r="AX176" s="457">
        <v>0</v>
      </c>
      <c r="AY176" s="457">
        <v>0</v>
      </c>
      <c r="AZ176" s="457">
        <v>0</v>
      </c>
      <c r="BA176" s="457">
        <v>543983</v>
      </c>
      <c r="BB176" s="457">
        <v>466036</v>
      </c>
      <c r="BC176" s="457">
        <v>77947</v>
      </c>
      <c r="BD176" s="457">
        <v>0</v>
      </c>
      <c r="BE176" s="457">
        <v>0</v>
      </c>
      <c r="BF176" s="457">
        <v>0</v>
      </c>
      <c r="BG176" s="457">
        <v>11102</v>
      </c>
      <c r="BH176" s="457">
        <v>9511</v>
      </c>
      <c r="BI176" s="457">
        <v>1591</v>
      </c>
    </row>
    <row r="177" spans="1:61" ht="12.75" x14ac:dyDescent="0.2">
      <c r="A177" s="446">
        <v>170</v>
      </c>
      <c r="B177" s="447" t="s">
        <v>223</v>
      </c>
      <c r="C177" s="448" t="s">
        <v>794</v>
      </c>
      <c r="D177" s="449" t="s">
        <v>1094</v>
      </c>
      <c r="E177" s="450" t="s">
        <v>727</v>
      </c>
      <c r="F177" s="457">
        <v>147666710</v>
      </c>
      <c r="G177" s="457">
        <v>0</v>
      </c>
      <c r="H177" s="457">
        <v>0</v>
      </c>
      <c r="I177" s="457">
        <v>147666710</v>
      </c>
      <c r="J177" s="457">
        <v>149612595</v>
      </c>
      <c r="K177" s="457">
        <v>0</v>
      </c>
      <c r="L177" s="457">
        <v>0</v>
      </c>
      <c r="M177" s="457">
        <v>149612595</v>
      </c>
      <c r="N177" s="457">
        <v>-1945885</v>
      </c>
      <c r="O177" s="457">
        <v>0</v>
      </c>
      <c r="P177" s="457">
        <v>0</v>
      </c>
      <c r="Q177" s="457">
        <v>-1945885</v>
      </c>
      <c r="R177" s="457">
        <v>-376513</v>
      </c>
      <c r="S177" s="457">
        <v>0</v>
      </c>
      <c r="T177" s="457">
        <v>0</v>
      </c>
      <c r="U177" s="457">
        <v>-376513</v>
      </c>
      <c r="V177" s="457">
        <v>-1569372</v>
      </c>
      <c r="W177" s="457">
        <v>0</v>
      </c>
      <c r="X177" s="457">
        <v>0</v>
      </c>
      <c r="Y177" s="457">
        <v>-1569372</v>
      </c>
      <c r="Z177" s="457">
        <v>373542</v>
      </c>
      <c r="AA177" s="457">
        <v>373542</v>
      </c>
      <c r="AB177" s="457">
        <v>0</v>
      </c>
      <c r="AC177" s="457">
        <v>0</v>
      </c>
      <c r="AD177" s="457">
        <v>0</v>
      </c>
      <c r="AE177" s="457">
        <v>0</v>
      </c>
      <c r="AF177" s="457">
        <v>0</v>
      </c>
      <c r="AG177" s="457">
        <v>0</v>
      </c>
      <c r="AH177" s="457">
        <v>0</v>
      </c>
      <c r="AI177" s="457">
        <v>0</v>
      </c>
      <c r="AJ177" s="457">
        <v>0</v>
      </c>
      <c r="AK177" s="457">
        <v>0</v>
      </c>
      <c r="AL177" s="457">
        <v>0</v>
      </c>
      <c r="AM177" s="457">
        <v>0</v>
      </c>
      <c r="AN177" s="457">
        <v>0</v>
      </c>
      <c r="AO177" s="457">
        <v>0</v>
      </c>
      <c r="AP177" s="457">
        <v>0</v>
      </c>
      <c r="AQ177" s="457">
        <v>0</v>
      </c>
      <c r="AR177" s="457">
        <v>0</v>
      </c>
      <c r="AS177" s="457">
        <v>0</v>
      </c>
      <c r="AT177" s="457">
        <v>0</v>
      </c>
      <c r="AU177" s="457">
        <v>0</v>
      </c>
      <c r="AV177" s="457">
        <v>0</v>
      </c>
      <c r="AW177" s="457">
        <v>0</v>
      </c>
      <c r="AX177" s="457">
        <v>0</v>
      </c>
      <c r="AY177" s="457">
        <v>0</v>
      </c>
      <c r="AZ177" s="457">
        <v>0</v>
      </c>
      <c r="BA177" s="457">
        <v>733547</v>
      </c>
      <c r="BB177" s="457">
        <v>597177</v>
      </c>
      <c r="BC177" s="457">
        <v>136370</v>
      </c>
      <c r="BD177" s="457">
        <v>0</v>
      </c>
      <c r="BE177" s="457">
        <v>0</v>
      </c>
      <c r="BF177" s="457">
        <v>0</v>
      </c>
      <c r="BG177" s="457">
        <v>14970</v>
      </c>
      <c r="BH177" s="457">
        <v>12187</v>
      </c>
      <c r="BI177" s="457">
        <v>2783</v>
      </c>
    </row>
    <row r="178" spans="1:61" ht="12.75" x14ac:dyDescent="0.2">
      <c r="A178" s="446">
        <v>171</v>
      </c>
      <c r="B178" s="447" t="s">
        <v>225</v>
      </c>
      <c r="C178" s="448" t="s">
        <v>1093</v>
      </c>
      <c r="D178" s="449" t="s">
        <v>1094</v>
      </c>
      <c r="E178" s="450" t="s">
        <v>224</v>
      </c>
      <c r="F178" s="457">
        <v>36502757</v>
      </c>
      <c r="G178" s="457">
        <v>0</v>
      </c>
      <c r="H178" s="457">
        <v>0</v>
      </c>
      <c r="I178" s="457">
        <v>36502757</v>
      </c>
      <c r="J178" s="457">
        <v>36637536</v>
      </c>
      <c r="K178" s="457">
        <v>0</v>
      </c>
      <c r="L178" s="457">
        <v>0</v>
      </c>
      <c r="M178" s="457">
        <v>36637536</v>
      </c>
      <c r="N178" s="457">
        <v>-134779</v>
      </c>
      <c r="O178" s="457">
        <v>0</v>
      </c>
      <c r="P178" s="457">
        <v>0</v>
      </c>
      <c r="Q178" s="457">
        <v>-134779</v>
      </c>
      <c r="R178" s="457">
        <v>27861</v>
      </c>
      <c r="S178" s="457">
        <v>0</v>
      </c>
      <c r="T178" s="457">
        <v>0</v>
      </c>
      <c r="U178" s="457">
        <v>27861</v>
      </c>
      <c r="V178" s="457">
        <v>-162640</v>
      </c>
      <c r="W178" s="457">
        <v>0</v>
      </c>
      <c r="X178" s="457">
        <v>0</v>
      </c>
      <c r="Y178" s="457">
        <v>-162640</v>
      </c>
      <c r="Z178" s="457">
        <v>152970</v>
      </c>
      <c r="AA178" s="457">
        <v>152970</v>
      </c>
      <c r="AB178" s="457">
        <v>0</v>
      </c>
      <c r="AC178" s="457">
        <v>0</v>
      </c>
      <c r="AD178" s="457">
        <v>0</v>
      </c>
      <c r="AE178" s="457">
        <v>0</v>
      </c>
      <c r="AF178" s="457">
        <v>0</v>
      </c>
      <c r="AG178" s="457">
        <v>0</v>
      </c>
      <c r="AH178" s="457">
        <v>0</v>
      </c>
      <c r="AI178" s="457">
        <v>0</v>
      </c>
      <c r="AJ178" s="457">
        <v>0</v>
      </c>
      <c r="AK178" s="457">
        <v>0</v>
      </c>
      <c r="AL178" s="457">
        <v>0</v>
      </c>
      <c r="AM178" s="457">
        <v>0</v>
      </c>
      <c r="AN178" s="457">
        <v>0</v>
      </c>
      <c r="AO178" s="457">
        <v>0</v>
      </c>
      <c r="AP178" s="457">
        <v>0</v>
      </c>
      <c r="AQ178" s="457">
        <v>0</v>
      </c>
      <c r="AR178" s="457">
        <v>0</v>
      </c>
      <c r="AS178" s="457">
        <v>0</v>
      </c>
      <c r="AT178" s="457">
        <v>0</v>
      </c>
      <c r="AU178" s="457">
        <v>0</v>
      </c>
      <c r="AV178" s="457">
        <v>0</v>
      </c>
      <c r="AW178" s="457">
        <v>0</v>
      </c>
      <c r="AX178" s="457">
        <v>0</v>
      </c>
      <c r="AY178" s="457">
        <v>0</v>
      </c>
      <c r="AZ178" s="457">
        <v>0</v>
      </c>
      <c r="BA178" s="457">
        <v>336561</v>
      </c>
      <c r="BB178" s="457">
        <v>271334</v>
      </c>
      <c r="BC178" s="457">
        <v>65227</v>
      </c>
      <c r="BD178" s="457">
        <v>84140</v>
      </c>
      <c r="BE178" s="457">
        <v>67833</v>
      </c>
      <c r="BF178" s="457">
        <v>16307</v>
      </c>
      <c r="BG178" s="457">
        <v>0</v>
      </c>
      <c r="BH178" s="457">
        <v>0</v>
      </c>
      <c r="BI178" s="457">
        <v>0</v>
      </c>
    </row>
    <row r="179" spans="1:61" ht="12.75" x14ac:dyDescent="0.2">
      <c r="A179" s="446">
        <v>172</v>
      </c>
      <c r="B179" s="447" t="s">
        <v>227</v>
      </c>
      <c r="C179" s="448" t="s">
        <v>1093</v>
      </c>
      <c r="D179" s="449" t="s">
        <v>1094</v>
      </c>
      <c r="E179" s="450" t="s">
        <v>226</v>
      </c>
      <c r="F179" s="457">
        <v>71778346</v>
      </c>
      <c r="G179" s="457">
        <v>0</v>
      </c>
      <c r="H179" s="457">
        <v>0</v>
      </c>
      <c r="I179" s="457">
        <v>71778346</v>
      </c>
      <c r="J179" s="457">
        <v>70619801</v>
      </c>
      <c r="K179" s="457">
        <v>0</v>
      </c>
      <c r="L179" s="457">
        <v>0</v>
      </c>
      <c r="M179" s="457">
        <v>70619801</v>
      </c>
      <c r="N179" s="457">
        <v>1158545</v>
      </c>
      <c r="O179" s="457">
        <v>0</v>
      </c>
      <c r="P179" s="457">
        <v>0</v>
      </c>
      <c r="Q179" s="457">
        <v>1158545</v>
      </c>
      <c r="R179" s="457">
        <v>1000087</v>
      </c>
      <c r="S179" s="457">
        <v>0</v>
      </c>
      <c r="T179" s="457">
        <v>0</v>
      </c>
      <c r="U179" s="457">
        <v>1000087</v>
      </c>
      <c r="V179" s="457">
        <v>158458</v>
      </c>
      <c r="W179" s="457">
        <v>0</v>
      </c>
      <c r="X179" s="457">
        <v>0</v>
      </c>
      <c r="Y179" s="457">
        <v>158458</v>
      </c>
      <c r="Z179" s="457">
        <v>286160</v>
      </c>
      <c r="AA179" s="457">
        <v>286160</v>
      </c>
      <c r="AB179" s="457">
        <v>0</v>
      </c>
      <c r="AC179" s="457">
        <v>0</v>
      </c>
      <c r="AD179" s="457">
        <v>0</v>
      </c>
      <c r="AE179" s="457">
        <v>0</v>
      </c>
      <c r="AF179" s="457">
        <v>0</v>
      </c>
      <c r="AG179" s="457">
        <v>0</v>
      </c>
      <c r="AH179" s="457">
        <v>0</v>
      </c>
      <c r="AI179" s="457">
        <v>278</v>
      </c>
      <c r="AJ179" s="457">
        <v>0</v>
      </c>
      <c r="AK179" s="457">
        <v>278</v>
      </c>
      <c r="AL179" s="457">
        <v>0</v>
      </c>
      <c r="AM179" s="457">
        <v>0</v>
      </c>
      <c r="AN179" s="457">
        <v>0</v>
      </c>
      <c r="AO179" s="457">
        <v>0</v>
      </c>
      <c r="AP179" s="457">
        <v>0</v>
      </c>
      <c r="AQ179" s="457">
        <v>0</v>
      </c>
      <c r="AR179" s="457">
        <v>0</v>
      </c>
      <c r="AS179" s="457">
        <v>0</v>
      </c>
      <c r="AT179" s="457">
        <v>0</v>
      </c>
      <c r="AU179" s="457">
        <v>0</v>
      </c>
      <c r="AV179" s="457">
        <v>0</v>
      </c>
      <c r="AW179" s="457">
        <v>0</v>
      </c>
      <c r="AX179" s="457">
        <v>0</v>
      </c>
      <c r="AY179" s="457">
        <v>0</v>
      </c>
      <c r="AZ179" s="457">
        <v>0</v>
      </c>
      <c r="BA179" s="457">
        <v>799012</v>
      </c>
      <c r="BB179" s="457">
        <v>704008</v>
      </c>
      <c r="BC179" s="457">
        <v>95004</v>
      </c>
      <c r="BD179" s="457">
        <v>179778</v>
      </c>
      <c r="BE179" s="457">
        <v>158402</v>
      </c>
      <c r="BF179" s="457">
        <v>21376</v>
      </c>
      <c r="BG179" s="457">
        <v>19975</v>
      </c>
      <c r="BH179" s="457">
        <v>17600</v>
      </c>
      <c r="BI179" s="457">
        <v>2375</v>
      </c>
    </row>
    <row r="180" spans="1:61" ht="12.75" x14ac:dyDescent="0.2">
      <c r="A180" s="446">
        <v>173</v>
      </c>
      <c r="B180" s="447" t="s">
        <v>229</v>
      </c>
      <c r="C180" s="448" t="s">
        <v>1093</v>
      </c>
      <c r="D180" s="449" t="s">
        <v>1096</v>
      </c>
      <c r="E180" s="450" t="s">
        <v>728</v>
      </c>
      <c r="F180" s="457">
        <v>60722</v>
      </c>
      <c r="G180" s="457">
        <v>0</v>
      </c>
      <c r="H180" s="457">
        <v>0</v>
      </c>
      <c r="I180" s="457">
        <v>60722</v>
      </c>
      <c r="J180" s="457">
        <v>177296</v>
      </c>
      <c r="K180" s="457">
        <v>0</v>
      </c>
      <c r="L180" s="457">
        <v>0</v>
      </c>
      <c r="M180" s="457">
        <v>177296</v>
      </c>
      <c r="N180" s="457">
        <v>-116574</v>
      </c>
      <c r="O180" s="457">
        <v>0</v>
      </c>
      <c r="P180" s="457">
        <v>0</v>
      </c>
      <c r="Q180" s="457">
        <v>-116574</v>
      </c>
      <c r="R180" s="457">
        <v>50711</v>
      </c>
      <c r="S180" s="457">
        <v>0</v>
      </c>
      <c r="T180" s="457">
        <v>0</v>
      </c>
      <c r="U180" s="457">
        <v>50711</v>
      </c>
      <c r="V180" s="457">
        <v>-167285</v>
      </c>
      <c r="W180" s="457">
        <v>0</v>
      </c>
      <c r="X180" s="457">
        <v>0</v>
      </c>
      <c r="Y180" s="457">
        <v>-167285</v>
      </c>
      <c r="Z180" s="457">
        <v>164324</v>
      </c>
      <c r="AA180" s="457">
        <v>164324</v>
      </c>
      <c r="AB180" s="457">
        <v>0</v>
      </c>
      <c r="AC180" s="457">
        <v>0</v>
      </c>
      <c r="AD180" s="457">
        <v>0</v>
      </c>
      <c r="AE180" s="457">
        <v>0</v>
      </c>
      <c r="AF180" s="457">
        <v>0</v>
      </c>
      <c r="AG180" s="457">
        <v>0</v>
      </c>
      <c r="AH180" s="457">
        <v>0</v>
      </c>
      <c r="AI180" s="457">
        <v>0</v>
      </c>
      <c r="AJ180" s="457">
        <v>0</v>
      </c>
      <c r="AK180" s="457">
        <v>0</v>
      </c>
      <c r="AL180" s="457">
        <v>0</v>
      </c>
      <c r="AM180" s="457">
        <v>0</v>
      </c>
      <c r="AN180" s="457">
        <v>0</v>
      </c>
      <c r="AO180" s="457">
        <v>0</v>
      </c>
      <c r="AP180" s="457">
        <v>0</v>
      </c>
      <c r="AQ180" s="457">
        <v>0</v>
      </c>
      <c r="AR180" s="457">
        <v>0</v>
      </c>
      <c r="AS180" s="457">
        <v>0</v>
      </c>
      <c r="AT180" s="457">
        <v>0</v>
      </c>
      <c r="AU180" s="457">
        <v>0</v>
      </c>
      <c r="AV180" s="457">
        <v>0</v>
      </c>
      <c r="AW180" s="457">
        <v>0</v>
      </c>
      <c r="AX180" s="457">
        <v>0</v>
      </c>
      <c r="AY180" s="457">
        <v>0</v>
      </c>
      <c r="AZ180" s="457">
        <v>0</v>
      </c>
      <c r="BA180" s="457">
        <v>453442</v>
      </c>
      <c r="BB180" s="457">
        <v>389064</v>
      </c>
      <c r="BC180" s="457">
        <v>64378</v>
      </c>
      <c r="BD180" s="457">
        <v>102024</v>
      </c>
      <c r="BE180" s="457">
        <v>87539</v>
      </c>
      <c r="BF180" s="457">
        <v>14485</v>
      </c>
      <c r="BG180" s="457">
        <v>11336</v>
      </c>
      <c r="BH180" s="457">
        <v>9727</v>
      </c>
      <c r="BI180" s="457">
        <v>1609</v>
      </c>
    </row>
    <row r="181" spans="1:61" ht="12.75" x14ac:dyDescent="0.2">
      <c r="A181" s="446">
        <v>174</v>
      </c>
      <c r="B181" s="447" t="s">
        <v>231</v>
      </c>
      <c r="C181" s="448" t="s">
        <v>1100</v>
      </c>
      <c r="D181" s="449" t="s">
        <v>1105</v>
      </c>
      <c r="E181" s="450" t="s">
        <v>1118</v>
      </c>
      <c r="F181" s="457">
        <v>141613545</v>
      </c>
      <c r="G181" s="457">
        <v>0</v>
      </c>
      <c r="H181" s="457">
        <v>0</v>
      </c>
      <c r="I181" s="457">
        <v>141613545</v>
      </c>
      <c r="J181" s="457">
        <v>141724619</v>
      </c>
      <c r="K181" s="457">
        <v>1639</v>
      </c>
      <c r="L181" s="457">
        <v>0</v>
      </c>
      <c r="M181" s="457">
        <v>141726258</v>
      </c>
      <c r="N181" s="457">
        <v>-111074</v>
      </c>
      <c r="O181" s="457">
        <v>-1639</v>
      </c>
      <c r="P181" s="457">
        <v>0</v>
      </c>
      <c r="Q181" s="457">
        <v>-112713</v>
      </c>
      <c r="R181" s="457">
        <v>148786</v>
      </c>
      <c r="S181" s="457">
        <v>0</v>
      </c>
      <c r="T181" s="457">
        <v>0</v>
      </c>
      <c r="U181" s="457">
        <v>148786</v>
      </c>
      <c r="V181" s="457">
        <v>-259860</v>
      </c>
      <c r="W181" s="457">
        <v>-1639</v>
      </c>
      <c r="X181" s="457">
        <v>0</v>
      </c>
      <c r="Y181" s="457">
        <v>-261499</v>
      </c>
      <c r="Z181" s="457">
        <v>461240</v>
      </c>
      <c r="AA181" s="457">
        <v>461240</v>
      </c>
      <c r="AB181" s="457">
        <v>0</v>
      </c>
      <c r="AC181" s="457">
        <v>258625</v>
      </c>
      <c r="AD181" s="457">
        <v>164850</v>
      </c>
      <c r="AE181" s="457">
        <v>93775</v>
      </c>
      <c r="AF181" s="457">
        <v>1132971</v>
      </c>
      <c r="AG181" s="457">
        <v>0</v>
      </c>
      <c r="AH181" s="457">
        <v>1132971</v>
      </c>
      <c r="AI181" s="457">
        <v>0</v>
      </c>
      <c r="AJ181" s="457">
        <v>0</v>
      </c>
      <c r="AK181" s="457">
        <v>0</v>
      </c>
      <c r="AL181" s="457">
        <v>0</v>
      </c>
      <c r="AM181" s="457">
        <v>0</v>
      </c>
      <c r="AN181" s="457">
        <v>0</v>
      </c>
      <c r="AO181" s="457">
        <v>0</v>
      </c>
      <c r="AP181" s="457">
        <v>0</v>
      </c>
      <c r="AQ181" s="457">
        <v>0</v>
      </c>
      <c r="AR181" s="457">
        <v>0</v>
      </c>
      <c r="AS181" s="457">
        <v>0</v>
      </c>
      <c r="AT181" s="457">
        <v>0</v>
      </c>
      <c r="AU181" s="457">
        <v>0</v>
      </c>
      <c r="AV181" s="457">
        <v>0</v>
      </c>
      <c r="AW181" s="457">
        <v>0</v>
      </c>
      <c r="AX181" s="457">
        <v>0</v>
      </c>
      <c r="AY181" s="457">
        <v>0</v>
      </c>
      <c r="AZ181" s="457">
        <v>0</v>
      </c>
      <c r="BA181" s="457">
        <v>1113085</v>
      </c>
      <c r="BB181" s="457">
        <v>927143</v>
      </c>
      <c r="BC181" s="457">
        <v>185942</v>
      </c>
      <c r="BD181" s="457">
        <v>0</v>
      </c>
      <c r="BE181" s="457">
        <v>0</v>
      </c>
      <c r="BF181" s="457">
        <v>0</v>
      </c>
      <c r="BG181" s="457">
        <v>22567</v>
      </c>
      <c r="BH181" s="457">
        <v>18921</v>
      </c>
      <c r="BI181" s="457">
        <v>3646</v>
      </c>
    </row>
    <row r="182" spans="1:61" ht="12.75" x14ac:dyDescent="0.2">
      <c r="A182" s="446">
        <v>175</v>
      </c>
      <c r="B182" s="447" t="s">
        <v>233</v>
      </c>
      <c r="C182" s="448" t="s">
        <v>1093</v>
      </c>
      <c r="D182" s="449" t="s">
        <v>1103</v>
      </c>
      <c r="E182" s="450" t="s">
        <v>232</v>
      </c>
      <c r="F182" s="457">
        <v>33167323</v>
      </c>
      <c r="G182" s="457">
        <v>0</v>
      </c>
      <c r="H182" s="457">
        <v>0</v>
      </c>
      <c r="I182" s="457">
        <v>33167323</v>
      </c>
      <c r="J182" s="457">
        <v>33091007</v>
      </c>
      <c r="K182" s="457">
        <v>0</v>
      </c>
      <c r="L182" s="457">
        <v>0</v>
      </c>
      <c r="M182" s="457">
        <v>33091007</v>
      </c>
      <c r="N182" s="457">
        <v>76316</v>
      </c>
      <c r="O182" s="457">
        <v>0</v>
      </c>
      <c r="P182" s="457">
        <v>0</v>
      </c>
      <c r="Q182" s="457">
        <v>76316</v>
      </c>
      <c r="R182" s="457">
        <v>-129479</v>
      </c>
      <c r="S182" s="457">
        <v>0</v>
      </c>
      <c r="T182" s="457">
        <v>0</v>
      </c>
      <c r="U182" s="457">
        <v>-129479</v>
      </c>
      <c r="V182" s="457">
        <v>205795</v>
      </c>
      <c r="W182" s="457">
        <v>0</v>
      </c>
      <c r="X182" s="457">
        <v>0</v>
      </c>
      <c r="Y182" s="457">
        <v>205795</v>
      </c>
      <c r="Z182" s="457">
        <v>141676</v>
      </c>
      <c r="AA182" s="457">
        <v>141676</v>
      </c>
      <c r="AB182" s="457">
        <v>0</v>
      </c>
      <c r="AC182" s="457">
        <v>0</v>
      </c>
      <c r="AD182" s="457">
        <v>0</v>
      </c>
      <c r="AE182" s="457">
        <v>0</v>
      </c>
      <c r="AF182" s="457">
        <v>0</v>
      </c>
      <c r="AG182" s="457">
        <v>0</v>
      </c>
      <c r="AH182" s="457">
        <v>0</v>
      </c>
      <c r="AI182" s="457">
        <v>0</v>
      </c>
      <c r="AJ182" s="457">
        <v>0</v>
      </c>
      <c r="AK182" s="457">
        <v>0</v>
      </c>
      <c r="AL182" s="457">
        <v>0</v>
      </c>
      <c r="AM182" s="457">
        <v>0</v>
      </c>
      <c r="AN182" s="457">
        <v>0</v>
      </c>
      <c r="AO182" s="457">
        <v>0</v>
      </c>
      <c r="AP182" s="457">
        <v>0</v>
      </c>
      <c r="AQ182" s="457">
        <v>0</v>
      </c>
      <c r="AR182" s="457">
        <v>0</v>
      </c>
      <c r="AS182" s="457">
        <v>0</v>
      </c>
      <c r="AT182" s="457">
        <v>0</v>
      </c>
      <c r="AU182" s="457">
        <v>0</v>
      </c>
      <c r="AV182" s="457">
        <v>0</v>
      </c>
      <c r="AW182" s="457">
        <v>0</v>
      </c>
      <c r="AX182" s="457">
        <v>0</v>
      </c>
      <c r="AY182" s="457">
        <v>0</v>
      </c>
      <c r="AZ182" s="457">
        <v>0</v>
      </c>
      <c r="BA182" s="457">
        <v>411490</v>
      </c>
      <c r="BB182" s="457">
        <v>336838</v>
      </c>
      <c r="BC182" s="457">
        <v>74652</v>
      </c>
      <c r="BD182" s="457">
        <v>92585</v>
      </c>
      <c r="BE182" s="457">
        <v>75788</v>
      </c>
      <c r="BF182" s="457">
        <v>16797</v>
      </c>
      <c r="BG182" s="457">
        <v>10287</v>
      </c>
      <c r="BH182" s="457">
        <v>8421</v>
      </c>
      <c r="BI182" s="457">
        <v>1866</v>
      </c>
    </row>
    <row r="183" spans="1:61" ht="12.75" x14ac:dyDescent="0.2">
      <c r="A183" s="446">
        <v>176</v>
      </c>
      <c r="B183" s="447" t="s">
        <v>235</v>
      </c>
      <c r="C183" s="448" t="s">
        <v>1098</v>
      </c>
      <c r="D183" s="449" t="s">
        <v>1099</v>
      </c>
      <c r="E183" s="450" t="s">
        <v>234</v>
      </c>
      <c r="F183" s="457">
        <v>126922380</v>
      </c>
      <c r="G183" s="457">
        <v>0</v>
      </c>
      <c r="H183" s="457">
        <v>404449</v>
      </c>
      <c r="I183" s="457">
        <v>127326829</v>
      </c>
      <c r="J183" s="457">
        <v>126537146</v>
      </c>
      <c r="K183" s="457">
        <v>0</v>
      </c>
      <c r="L183" s="457">
        <v>404055</v>
      </c>
      <c r="M183" s="457">
        <v>126941201</v>
      </c>
      <c r="N183" s="457">
        <v>385234</v>
      </c>
      <c r="O183" s="457">
        <v>0</v>
      </c>
      <c r="P183" s="457">
        <v>394</v>
      </c>
      <c r="Q183" s="457">
        <v>385628</v>
      </c>
      <c r="R183" s="457">
        <v>1350226</v>
      </c>
      <c r="S183" s="457">
        <v>0</v>
      </c>
      <c r="T183" s="457">
        <v>0</v>
      </c>
      <c r="U183" s="457">
        <v>1350226</v>
      </c>
      <c r="V183" s="457">
        <v>-964992</v>
      </c>
      <c r="W183" s="457">
        <v>0</v>
      </c>
      <c r="X183" s="457">
        <v>394</v>
      </c>
      <c r="Y183" s="457">
        <v>-964598</v>
      </c>
      <c r="Z183" s="457">
        <v>387053</v>
      </c>
      <c r="AA183" s="457">
        <v>387053</v>
      </c>
      <c r="AB183" s="457">
        <v>0</v>
      </c>
      <c r="AC183" s="457">
        <v>173688</v>
      </c>
      <c r="AD183" s="457">
        <v>0</v>
      </c>
      <c r="AE183" s="457">
        <v>173688</v>
      </c>
      <c r="AF183" s="457">
        <v>0</v>
      </c>
      <c r="AG183" s="457">
        <v>0</v>
      </c>
      <c r="AH183" s="457">
        <v>0</v>
      </c>
      <c r="AI183" s="457">
        <v>0</v>
      </c>
      <c r="AJ183" s="457">
        <v>0</v>
      </c>
      <c r="AK183" s="457">
        <v>0</v>
      </c>
      <c r="AL183" s="457">
        <v>0</v>
      </c>
      <c r="AM183" s="457">
        <v>0</v>
      </c>
      <c r="AN183" s="457">
        <v>0</v>
      </c>
      <c r="AO183" s="457">
        <v>101389</v>
      </c>
      <c r="AP183" s="457">
        <v>151485</v>
      </c>
      <c r="AQ183" s="457">
        <v>-50096</v>
      </c>
      <c r="AR183" s="457">
        <v>101389</v>
      </c>
      <c r="AS183" s="457">
        <v>151485</v>
      </c>
      <c r="AT183" s="457">
        <v>-50096</v>
      </c>
      <c r="AU183" s="457">
        <v>0</v>
      </c>
      <c r="AV183" s="457">
        <v>0</v>
      </c>
      <c r="AW183" s="457">
        <v>0</v>
      </c>
      <c r="AX183" s="457">
        <v>0</v>
      </c>
      <c r="AY183" s="457">
        <v>0</v>
      </c>
      <c r="AZ183" s="457">
        <v>0</v>
      </c>
      <c r="BA183" s="457">
        <v>624654</v>
      </c>
      <c r="BB183" s="457">
        <v>247039</v>
      </c>
      <c r="BC183" s="457">
        <v>377615</v>
      </c>
      <c r="BD183" s="457">
        <v>414932</v>
      </c>
      <c r="BE183" s="457">
        <v>164693</v>
      </c>
      <c r="BF183" s="457">
        <v>250239</v>
      </c>
      <c r="BG183" s="457">
        <v>0</v>
      </c>
      <c r="BH183" s="457">
        <v>0</v>
      </c>
      <c r="BI183" s="457">
        <v>0</v>
      </c>
    </row>
    <row r="184" spans="1:61" ht="12.75" x14ac:dyDescent="0.2">
      <c r="A184" s="446">
        <v>177</v>
      </c>
      <c r="B184" s="447" t="s">
        <v>237</v>
      </c>
      <c r="C184" s="448" t="s">
        <v>1093</v>
      </c>
      <c r="D184" s="449" t="s">
        <v>1102</v>
      </c>
      <c r="E184" s="450" t="s">
        <v>236</v>
      </c>
      <c r="F184" s="457">
        <v>34944863</v>
      </c>
      <c r="G184" s="457">
        <v>0</v>
      </c>
      <c r="H184" s="457">
        <v>0</v>
      </c>
      <c r="I184" s="457">
        <v>34944863</v>
      </c>
      <c r="J184" s="457">
        <v>34788287</v>
      </c>
      <c r="K184" s="457">
        <v>0</v>
      </c>
      <c r="L184" s="457">
        <v>0</v>
      </c>
      <c r="M184" s="457">
        <v>34788287</v>
      </c>
      <c r="N184" s="457">
        <v>156576</v>
      </c>
      <c r="O184" s="457">
        <v>0</v>
      </c>
      <c r="P184" s="457">
        <v>0</v>
      </c>
      <c r="Q184" s="457">
        <v>156576</v>
      </c>
      <c r="R184" s="457">
        <v>254836</v>
      </c>
      <c r="S184" s="457">
        <v>0</v>
      </c>
      <c r="T184" s="457">
        <v>0</v>
      </c>
      <c r="U184" s="457">
        <v>254836</v>
      </c>
      <c r="V184" s="457">
        <v>-98260</v>
      </c>
      <c r="W184" s="457">
        <v>0</v>
      </c>
      <c r="X184" s="457">
        <v>0</v>
      </c>
      <c r="Y184" s="457">
        <v>-98260</v>
      </c>
      <c r="Z184" s="457">
        <v>202305</v>
      </c>
      <c r="AA184" s="457">
        <v>202305</v>
      </c>
      <c r="AB184" s="457">
        <v>0</v>
      </c>
      <c r="AC184" s="457">
        <v>0</v>
      </c>
      <c r="AD184" s="457">
        <v>0</v>
      </c>
      <c r="AE184" s="457">
        <v>0</v>
      </c>
      <c r="AF184" s="457">
        <v>0</v>
      </c>
      <c r="AG184" s="457">
        <v>0</v>
      </c>
      <c r="AH184" s="457">
        <v>0</v>
      </c>
      <c r="AI184" s="457">
        <v>0</v>
      </c>
      <c r="AJ184" s="457">
        <v>0</v>
      </c>
      <c r="AK184" s="457">
        <v>0</v>
      </c>
      <c r="AL184" s="457">
        <v>0</v>
      </c>
      <c r="AM184" s="457">
        <v>0</v>
      </c>
      <c r="AN184" s="457">
        <v>0</v>
      </c>
      <c r="AO184" s="457">
        <v>0</v>
      </c>
      <c r="AP184" s="457">
        <v>0</v>
      </c>
      <c r="AQ184" s="457">
        <v>0</v>
      </c>
      <c r="AR184" s="457">
        <v>0</v>
      </c>
      <c r="AS184" s="457">
        <v>0</v>
      </c>
      <c r="AT184" s="457">
        <v>0</v>
      </c>
      <c r="AU184" s="457">
        <v>0</v>
      </c>
      <c r="AV184" s="457">
        <v>0</v>
      </c>
      <c r="AW184" s="457">
        <v>0</v>
      </c>
      <c r="AX184" s="457">
        <v>0</v>
      </c>
      <c r="AY184" s="457">
        <v>0</v>
      </c>
      <c r="AZ184" s="457">
        <v>0</v>
      </c>
      <c r="BA184" s="457">
        <v>749188</v>
      </c>
      <c r="BB184" s="457">
        <v>635489</v>
      </c>
      <c r="BC184" s="457">
        <v>113699</v>
      </c>
      <c r="BD184" s="457">
        <v>168567</v>
      </c>
      <c r="BE184" s="457">
        <v>142985</v>
      </c>
      <c r="BF184" s="457">
        <v>25582</v>
      </c>
      <c r="BG184" s="457">
        <v>18730</v>
      </c>
      <c r="BH184" s="457">
        <v>15887</v>
      </c>
      <c r="BI184" s="457">
        <v>2843</v>
      </c>
    </row>
    <row r="185" spans="1:61" ht="12.75" x14ac:dyDescent="0.2">
      <c r="A185" s="446">
        <v>178</v>
      </c>
      <c r="B185" s="447" t="s">
        <v>239</v>
      </c>
      <c r="C185" s="448" t="s">
        <v>1093</v>
      </c>
      <c r="D185" s="449" t="s">
        <v>1102</v>
      </c>
      <c r="E185" s="450" t="s">
        <v>238</v>
      </c>
      <c r="F185" s="457">
        <v>17656978</v>
      </c>
      <c r="G185" s="457">
        <v>0</v>
      </c>
      <c r="H185" s="457">
        <v>0</v>
      </c>
      <c r="I185" s="457">
        <v>17656978</v>
      </c>
      <c r="J185" s="457">
        <v>17645596</v>
      </c>
      <c r="K185" s="457">
        <v>0</v>
      </c>
      <c r="L185" s="457">
        <v>0</v>
      </c>
      <c r="M185" s="457">
        <v>17645596</v>
      </c>
      <c r="N185" s="457">
        <v>11382</v>
      </c>
      <c r="O185" s="457">
        <v>0</v>
      </c>
      <c r="P185" s="457">
        <v>0</v>
      </c>
      <c r="Q185" s="457">
        <v>11382</v>
      </c>
      <c r="R185" s="457">
        <v>-77596</v>
      </c>
      <c r="S185" s="457">
        <v>0</v>
      </c>
      <c r="T185" s="457">
        <v>0</v>
      </c>
      <c r="U185" s="457">
        <v>-77596</v>
      </c>
      <c r="V185" s="457">
        <v>88978</v>
      </c>
      <c r="W185" s="457">
        <v>0</v>
      </c>
      <c r="X185" s="457">
        <v>0</v>
      </c>
      <c r="Y185" s="457">
        <v>88978</v>
      </c>
      <c r="Z185" s="457">
        <v>91750</v>
      </c>
      <c r="AA185" s="457">
        <v>91750</v>
      </c>
      <c r="AB185" s="457">
        <v>0</v>
      </c>
      <c r="AC185" s="457">
        <v>0</v>
      </c>
      <c r="AD185" s="457">
        <v>0</v>
      </c>
      <c r="AE185" s="457">
        <v>0</v>
      </c>
      <c r="AF185" s="457">
        <v>0</v>
      </c>
      <c r="AG185" s="457">
        <v>0</v>
      </c>
      <c r="AH185" s="457">
        <v>0</v>
      </c>
      <c r="AI185" s="457">
        <v>0</v>
      </c>
      <c r="AJ185" s="457">
        <v>0</v>
      </c>
      <c r="AK185" s="457">
        <v>0</v>
      </c>
      <c r="AL185" s="457">
        <v>0</v>
      </c>
      <c r="AM185" s="457">
        <v>0</v>
      </c>
      <c r="AN185" s="457">
        <v>0</v>
      </c>
      <c r="AO185" s="457">
        <v>0</v>
      </c>
      <c r="AP185" s="457">
        <v>0</v>
      </c>
      <c r="AQ185" s="457">
        <v>0</v>
      </c>
      <c r="AR185" s="457">
        <v>0</v>
      </c>
      <c r="AS185" s="457">
        <v>0</v>
      </c>
      <c r="AT185" s="457">
        <v>0</v>
      </c>
      <c r="AU185" s="457">
        <v>0</v>
      </c>
      <c r="AV185" s="457">
        <v>0</v>
      </c>
      <c r="AW185" s="457">
        <v>0</v>
      </c>
      <c r="AX185" s="457">
        <v>0</v>
      </c>
      <c r="AY185" s="457">
        <v>0</v>
      </c>
      <c r="AZ185" s="457">
        <v>0</v>
      </c>
      <c r="BA185" s="457">
        <v>328232</v>
      </c>
      <c r="BB185" s="457">
        <v>275171</v>
      </c>
      <c r="BC185" s="457">
        <v>53061</v>
      </c>
      <c r="BD185" s="457">
        <v>73852</v>
      </c>
      <c r="BE185" s="457">
        <v>61914</v>
      </c>
      <c r="BF185" s="457">
        <v>11938</v>
      </c>
      <c r="BG185" s="457">
        <v>8206</v>
      </c>
      <c r="BH185" s="457">
        <v>6879</v>
      </c>
      <c r="BI185" s="457">
        <v>1327</v>
      </c>
    </row>
    <row r="186" spans="1:61" ht="12.75" x14ac:dyDescent="0.2">
      <c r="A186" s="446">
        <v>179</v>
      </c>
      <c r="B186" s="447" t="s">
        <v>241</v>
      </c>
      <c r="C186" s="448" t="s">
        <v>1093</v>
      </c>
      <c r="D186" s="449" t="s">
        <v>1096</v>
      </c>
      <c r="E186" s="450" t="s">
        <v>240</v>
      </c>
      <c r="F186" s="457">
        <v>15535076.5</v>
      </c>
      <c r="G186" s="457">
        <v>0</v>
      </c>
      <c r="H186" s="457">
        <v>0</v>
      </c>
      <c r="I186" s="457">
        <v>15535076.5</v>
      </c>
      <c r="J186" s="457">
        <v>15495369.4</v>
      </c>
      <c r="K186" s="457">
        <v>0</v>
      </c>
      <c r="L186" s="457">
        <v>0</v>
      </c>
      <c r="M186" s="457">
        <v>15495369.4</v>
      </c>
      <c r="N186" s="457">
        <v>39707.160000000003</v>
      </c>
      <c r="O186" s="457">
        <v>0</v>
      </c>
      <c r="P186" s="457">
        <v>0</v>
      </c>
      <c r="Q186" s="457">
        <v>39707.160000000003</v>
      </c>
      <c r="R186" s="457">
        <v>65653</v>
      </c>
      <c r="S186" s="457">
        <v>0</v>
      </c>
      <c r="T186" s="457">
        <v>0</v>
      </c>
      <c r="U186" s="457">
        <v>65653</v>
      </c>
      <c r="V186" s="457">
        <v>-25946</v>
      </c>
      <c r="W186" s="457">
        <v>0</v>
      </c>
      <c r="X186" s="457">
        <v>0</v>
      </c>
      <c r="Y186" s="457">
        <v>-25946</v>
      </c>
      <c r="Z186" s="457">
        <v>97498</v>
      </c>
      <c r="AA186" s="457">
        <v>97498</v>
      </c>
      <c r="AB186" s="457">
        <v>0</v>
      </c>
      <c r="AC186" s="457">
        <v>0</v>
      </c>
      <c r="AD186" s="457">
        <v>0</v>
      </c>
      <c r="AE186" s="457">
        <v>0</v>
      </c>
      <c r="AF186" s="457">
        <v>0</v>
      </c>
      <c r="AG186" s="457">
        <v>0</v>
      </c>
      <c r="AH186" s="457">
        <v>0</v>
      </c>
      <c r="AI186" s="457">
        <v>0</v>
      </c>
      <c r="AJ186" s="457">
        <v>0</v>
      </c>
      <c r="AK186" s="457">
        <v>0</v>
      </c>
      <c r="AL186" s="457">
        <v>0</v>
      </c>
      <c r="AM186" s="457">
        <v>0</v>
      </c>
      <c r="AN186" s="457">
        <v>0</v>
      </c>
      <c r="AO186" s="457">
        <v>0</v>
      </c>
      <c r="AP186" s="457">
        <v>0</v>
      </c>
      <c r="AQ186" s="457">
        <v>0</v>
      </c>
      <c r="AR186" s="457">
        <v>0</v>
      </c>
      <c r="AS186" s="457">
        <v>0</v>
      </c>
      <c r="AT186" s="457">
        <v>0</v>
      </c>
      <c r="AU186" s="457">
        <v>0</v>
      </c>
      <c r="AV186" s="457">
        <v>0</v>
      </c>
      <c r="AW186" s="457">
        <v>0</v>
      </c>
      <c r="AX186" s="457">
        <v>0</v>
      </c>
      <c r="AY186" s="457">
        <v>0</v>
      </c>
      <c r="AZ186" s="457">
        <v>0</v>
      </c>
      <c r="BA186" s="457">
        <v>312482</v>
      </c>
      <c r="BB186" s="457">
        <v>258585</v>
      </c>
      <c r="BC186" s="457">
        <v>53897</v>
      </c>
      <c r="BD186" s="457">
        <v>70308</v>
      </c>
      <c r="BE186" s="457">
        <v>58182</v>
      </c>
      <c r="BF186" s="457">
        <v>12126</v>
      </c>
      <c r="BG186" s="457">
        <v>7812</v>
      </c>
      <c r="BH186" s="457">
        <v>6465</v>
      </c>
      <c r="BI186" s="457">
        <v>1347</v>
      </c>
    </row>
    <row r="187" spans="1:61" ht="12.75" x14ac:dyDescent="0.2">
      <c r="A187" s="446">
        <v>180</v>
      </c>
      <c r="B187" s="447" t="s">
        <v>243</v>
      </c>
      <c r="C187" s="448" t="s">
        <v>794</v>
      </c>
      <c r="D187" s="449" t="s">
        <v>1101</v>
      </c>
      <c r="E187" s="450" t="s">
        <v>729</v>
      </c>
      <c r="F187" s="457">
        <v>73254152</v>
      </c>
      <c r="G187" s="457">
        <v>0</v>
      </c>
      <c r="H187" s="457">
        <v>0</v>
      </c>
      <c r="I187" s="457">
        <v>73254152</v>
      </c>
      <c r="J187" s="457">
        <v>73038960</v>
      </c>
      <c r="K187" s="457">
        <v>0</v>
      </c>
      <c r="L187" s="457">
        <v>0</v>
      </c>
      <c r="M187" s="457">
        <v>73038960</v>
      </c>
      <c r="N187" s="457">
        <v>215192</v>
      </c>
      <c r="O187" s="457">
        <v>0</v>
      </c>
      <c r="P187" s="457">
        <v>0</v>
      </c>
      <c r="Q187" s="457">
        <v>215192</v>
      </c>
      <c r="R187" s="457">
        <v>672994</v>
      </c>
      <c r="S187" s="457">
        <v>0</v>
      </c>
      <c r="T187" s="457">
        <v>0</v>
      </c>
      <c r="U187" s="457">
        <v>672994</v>
      </c>
      <c r="V187" s="457">
        <v>-457802</v>
      </c>
      <c r="W187" s="457">
        <v>0</v>
      </c>
      <c r="X187" s="457">
        <v>0</v>
      </c>
      <c r="Y187" s="457">
        <v>-457802</v>
      </c>
      <c r="Z187" s="457">
        <v>241084</v>
      </c>
      <c r="AA187" s="457">
        <v>241084</v>
      </c>
      <c r="AB187" s="457">
        <v>0</v>
      </c>
      <c r="AC187" s="457">
        <v>0</v>
      </c>
      <c r="AD187" s="457">
        <v>0</v>
      </c>
      <c r="AE187" s="457">
        <v>0</v>
      </c>
      <c r="AF187" s="457">
        <v>0</v>
      </c>
      <c r="AG187" s="457">
        <v>0</v>
      </c>
      <c r="AH187" s="457">
        <v>0</v>
      </c>
      <c r="AI187" s="457">
        <v>0</v>
      </c>
      <c r="AJ187" s="457">
        <v>0</v>
      </c>
      <c r="AK187" s="457">
        <v>0</v>
      </c>
      <c r="AL187" s="457">
        <v>0</v>
      </c>
      <c r="AM187" s="457">
        <v>0</v>
      </c>
      <c r="AN187" s="457">
        <v>0</v>
      </c>
      <c r="AO187" s="457">
        <v>0</v>
      </c>
      <c r="AP187" s="457">
        <v>0</v>
      </c>
      <c r="AQ187" s="457">
        <v>0</v>
      </c>
      <c r="AR187" s="457">
        <v>0</v>
      </c>
      <c r="AS187" s="457">
        <v>0</v>
      </c>
      <c r="AT187" s="457">
        <v>0</v>
      </c>
      <c r="AU187" s="457">
        <v>0</v>
      </c>
      <c r="AV187" s="457">
        <v>0</v>
      </c>
      <c r="AW187" s="457">
        <v>0</v>
      </c>
      <c r="AX187" s="457">
        <v>0</v>
      </c>
      <c r="AY187" s="457">
        <v>0</v>
      </c>
      <c r="AZ187" s="457">
        <v>0</v>
      </c>
      <c r="BA187" s="457">
        <v>746988</v>
      </c>
      <c r="BB187" s="457">
        <v>625277</v>
      </c>
      <c r="BC187" s="457">
        <v>121711</v>
      </c>
      <c r="BD187" s="457">
        <v>0</v>
      </c>
      <c r="BE187" s="457">
        <v>0</v>
      </c>
      <c r="BF187" s="457">
        <v>0</v>
      </c>
      <c r="BG187" s="457">
        <v>15245</v>
      </c>
      <c r="BH187" s="457">
        <v>12761</v>
      </c>
      <c r="BI187" s="457">
        <v>2484</v>
      </c>
    </row>
    <row r="188" spans="1:61" ht="12.75" x14ac:dyDescent="0.2">
      <c r="A188" s="446">
        <v>181</v>
      </c>
      <c r="B188" s="447" t="s">
        <v>245</v>
      </c>
      <c r="C188" s="448" t="s">
        <v>1093</v>
      </c>
      <c r="D188" s="449" t="s">
        <v>1097</v>
      </c>
      <c r="E188" s="450" t="s">
        <v>244</v>
      </c>
      <c r="F188" s="457">
        <v>37328905</v>
      </c>
      <c r="G188" s="457">
        <v>0</v>
      </c>
      <c r="H188" s="457">
        <v>0</v>
      </c>
      <c r="I188" s="457">
        <v>37328905</v>
      </c>
      <c r="J188" s="457">
        <v>37682429</v>
      </c>
      <c r="K188" s="457">
        <v>0</v>
      </c>
      <c r="L188" s="457">
        <v>0</v>
      </c>
      <c r="M188" s="457">
        <v>37682429</v>
      </c>
      <c r="N188" s="457">
        <v>-353524</v>
      </c>
      <c r="O188" s="457">
        <v>0</v>
      </c>
      <c r="P188" s="457">
        <v>0</v>
      </c>
      <c r="Q188" s="457">
        <v>-353524</v>
      </c>
      <c r="R188" s="457">
        <v>71696</v>
      </c>
      <c r="S188" s="457">
        <v>0</v>
      </c>
      <c r="T188" s="457">
        <v>0</v>
      </c>
      <c r="U188" s="457">
        <v>71696</v>
      </c>
      <c r="V188" s="457">
        <v>-425220</v>
      </c>
      <c r="W188" s="457">
        <v>0</v>
      </c>
      <c r="X188" s="457">
        <v>0</v>
      </c>
      <c r="Y188" s="457">
        <v>-425220</v>
      </c>
      <c r="Z188" s="457">
        <v>182381</v>
      </c>
      <c r="AA188" s="457">
        <v>182381</v>
      </c>
      <c r="AB188" s="457">
        <v>0</v>
      </c>
      <c r="AC188" s="457">
        <v>0</v>
      </c>
      <c r="AD188" s="457">
        <v>0</v>
      </c>
      <c r="AE188" s="457">
        <v>0</v>
      </c>
      <c r="AF188" s="457">
        <v>0</v>
      </c>
      <c r="AG188" s="457">
        <v>0</v>
      </c>
      <c r="AH188" s="457">
        <v>0</v>
      </c>
      <c r="AI188" s="457">
        <v>0</v>
      </c>
      <c r="AJ188" s="457">
        <v>0</v>
      </c>
      <c r="AK188" s="457">
        <v>0</v>
      </c>
      <c r="AL188" s="457">
        <v>0</v>
      </c>
      <c r="AM188" s="457">
        <v>0</v>
      </c>
      <c r="AN188" s="457">
        <v>0</v>
      </c>
      <c r="AO188" s="457">
        <v>0</v>
      </c>
      <c r="AP188" s="457">
        <v>0</v>
      </c>
      <c r="AQ188" s="457">
        <v>0</v>
      </c>
      <c r="AR188" s="457">
        <v>0</v>
      </c>
      <c r="AS188" s="457">
        <v>0</v>
      </c>
      <c r="AT188" s="457">
        <v>0</v>
      </c>
      <c r="AU188" s="457">
        <v>0</v>
      </c>
      <c r="AV188" s="457">
        <v>0</v>
      </c>
      <c r="AW188" s="457">
        <v>0</v>
      </c>
      <c r="AX188" s="457">
        <v>0</v>
      </c>
      <c r="AY188" s="457">
        <v>0</v>
      </c>
      <c r="AZ188" s="457">
        <v>0</v>
      </c>
      <c r="BA188" s="457">
        <v>444785</v>
      </c>
      <c r="BB188" s="457">
        <v>372826</v>
      </c>
      <c r="BC188" s="457">
        <v>71959</v>
      </c>
      <c r="BD188" s="457">
        <v>111196</v>
      </c>
      <c r="BE188" s="457">
        <v>93207</v>
      </c>
      <c r="BF188" s="457">
        <v>17989</v>
      </c>
      <c r="BG188" s="457">
        <v>0</v>
      </c>
      <c r="BH188" s="457">
        <v>0</v>
      </c>
      <c r="BI188" s="457">
        <v>0</v>
      </c>
    </row>
    <row r="189" spans="1:61" ht="12.75" x14ac:dyDescent="0.2">
      <c r="A189" s="446">
        <v>182</v>
      </c>
      <c r="B189" s="447" t="s">
        <v>247</v>
      </c>
      <c r="C189" s="448" t="s">
        <v>1093</v>
      </c>
      <c r="D189" s="449" t="s">
        <v>1096</v>
      </c>
      <c r="E189" s="450" t="s">
        <v>246</v>
      </c>
      <c r="F189" s="457">
        <v>22692529</v>
      </c>
      <c r="G189" s="457">
        <v>0</v>
      </c>
      <c r="H189" s="457">
        <v>0</v>
      </c>
      <c r="I189" s="457">
        <v>22692529</v>
      </c>
      <c r="J189" s="457">
        <v>22750134</v>
      </c>
      <c r="K189" s="457">
        <v>0</v>
      </c>
      <c r="L189" s="457">
        <v>0</v>
      </c>
      <c r="M189" s="457">
        <v>22750134</v>
      </c>
      <c r="N189" s="457">
        <v>-57605</v>
      </c>
      <c r="O189" s="457">
        <v>0</v>
      </c>
      <c r="P189" s="457">
        <v>0</v>
      </c>
      <c r="Q189" s="457">
        <v>-57605</v>
      </c>
      <c r="R189" s="457">
        <v>59353</v>
      </c>
      <c r="S189" s="457">
        <v>0</v>
      </c>
      <c r="T189" s="457">
        <v>0</v>
      </c>
      <c r="U189" s="457">
        <v>59353</v>
      </c>
      <c r="V189" s="457">
        <v>-116958</v>
      </c>
      <c r="W189" s="457">
        <v>0</v>
      </c>
      <c r="X189" s="457">
        <v>0</v>
      </c>
      <c r="Y189" s="457">
        <v>-116958</v>
      </c>
      <c r="Z189" s="457">
        <v>122912</v>
      </c>
      <c r="AA189" s="457">
        <v>122912</v>
      </c>
      <c r="AB189" s="457">
        <v>0</v>
      </c>
      <c r="AC189" s="457">
        <v>0</v>
      </c>
      <c r="AD189" s="457">
        <v>0</v>
      </c>
      <c r="AE189" s="457">
        <v>0</v>
      </c>
      <c r="AF189" s="457">
        <v>0</v>
      </c>
      <c r="AG189" s="457">
        <v>0</v>
      </c>
      <c r="AH189" s="457">
        <v>0</v>
      </c>
      <c r="AI189" s="457">
        <v>0</v>
      </c>
      <c r="AJ189" s="457">
        <v>231000</v>
      </c>
      <c r="AK189" s="457">
        <v>-231000</v>
      </c>
      <c r="AL189" s="457">
        <v>0</v>
      </c>
      <c r="AM189" s="457">
        <v>0</v>
      </c>
      <c r="AN189" s="457">
        <v>0</v>
      </c>
      <c r="AO189" s="457">
        <v>0</v>
      </c>
      <c r="AP189" s="457">
        <v>0</v>
      </c>
      <c r="AQ189" s="457">
        <v>0</v>
      </c>
      <c r="AR189" s="457">
        <v>0</v>
      </c>
      <c r="AS189" s="457">
        <v>0</v>
      </c>
      <c r="AT189" s="457">
        <v>0</v>
      </c>
      <c r="AU189" s="457">
        <v>0</v>
      </c>
      <c r="AV189" s="457">
        <v>0</v>
      </c>
      <c r="AW189" s="457">
        <v>0</v>
      </c>
      <c r="AX189" s="457">
        <v>0</v>
      </c>
      <c r="AY189" s="457">
        <v>0</v>
      </c>
      <c r="AZ189" s="457">
        <v>0</v>
      </c>
      <c r="BA189" s="457">
        <v>420606</v>
      </c>
      <c r="BB189" s="457">
        <v>368506</v>
      </c>
      <c r="BC189" s="457">
        <v>52100</v>
      </c>
      <c r="BD189" s="457">
        <v>105152</v>
      </c>
      <c r="BE189" s="457">
        <v>92126</v>
      </c>
      <c r="BF189" s="457">
        <v>13026</v>
      </c>
      <c r="BG189" s="457">
        <v>0</v>
      </c>
      <c r="BH189" s="457">
        <v>0</v>
      </c>
      <c r="BI189" s="457">
        <v>0</v>
      </c>
    </row>
    <row r="190" spans="1:61" ht="12.75" x14ac:dyDescent="0.2">
      <c r="A190" s="446">
        <v>183</v>
      </c>
      <c r="B190" s="447" t="s">
        <v>249</v>
      </c>
      <c r="C190" s="448" t="s">
        <v>794</v>
      </c>
      <c r="D190" s="449" t="s">
        <v>1101</v>
      </c>
      <c r="E190" s="450" t="s">
        <v>730</v>
      </c>
      <c r="F190" s="457">
        <v>96293650</v>
      </c>
      <c r="G190" s="457">
        <v>0</v>
      </c>
      <c r="H190" s="457">
        <v>0</v>
      </c>
      <c r="I190" s="457">
        <v>96293650</v>
      </c>
      <c r="J190" s="457">
        <v>93505742</v>
      </c>
      <c r="K190" s="457">
        <v>0</v>
      </c>
      <c r="L190" s="457">
        <v>0</v>
      </c>
      <c r="M190" s="457">
        <v>93505742</v>
      </c>
      <c r="N190" s="457">
        <v>2787908</v>
      </c>
      <c r="O190" s="457">
        <v>0</v>
      </c>
      <c r="P190" s="457">
        <v>0</v>
      </c>
      <c r="Q190" s="457">
        <v>2787908</v>
      </c>
      <c r="R190" s="457">
        <v>2892043</v>
      </c>
      <c r="S190" s="457">
        <v>0</v>
      </c>
      <c r="T190" s="457">
        <v>0</v>
      </c>
      <c r="U190" s="457">
        <v>2892043</v>
      </c>
      <c r="V190" s="457">
        <v>-104135</v>
      </c>
      <c r="W190" s="457">
        <v>0</v>
      </c>
      <c r="X190" s="457">
        <v>0</v>
      </c>
      <c r="Y190" s="457">
        <v>-104135</v>
      </c>
      <c r="Z190" s="457">
        <v>255809</v>
      </c>
      <c r="AA190" s="457">
        <v>255809</v>
      </c>
      <c r="AB190" s="457">
        <v>0</v>
      </c>
      <c r="AC190" s="457">
        <v>0</v>
      </c>
      <c r="AD190" s="457">
        <v>0</v>
      </c>
      <c r="AE190" s="457">
        <v>0</v>
      </c>
      <c r="AF190" s="457">
        <v>0</v>
      </c>
      <c r="AG190" s="457">
        <v>0</v>
      </c>
      <c r="AH190" s="457">
        <v>0</v>
      </c>
      <c r="AI190" s="457">
        <v>22179</v>
      </c>
      <c r="AJ190" s="457">
        <v>0</v>
      </c>
      <c r="AK190" s="457">
        <v>22179</v>
      </c>
      <c r="AL190" s="457">
        <v>0</v>
      </c>
      <c r="AM190" s="457">
        <v>0</v>
      </c>
      <c r="AN190" s="457">
        <v>0</v>
      </c>
      <c r="AO190" s="457">
        <v>0</v>
      </c>
      <c r="AP190" s="457">
        <v>0</v>
      </c>
      <c r="AQ190" s="457">
        <v>0</v>
      </c>
      <c r="AR190" s="457">
        <v>0</v>
      </c>
      <c r="AS190" s="457">
        <v>0</v>
      </c>
      <c r="AT190" s="457">
        <v>0</v>
      </c>
      <c r="AU190" s="457">
        <v>0</v>
      </c>
      <c r="AV190" s="457">
        <v>0</v>
      </c>
      <c r="AW190" s="457">
        <v>0</v>
      </c>
      <c r="AX190" s="457">
        <v>0</v>
      </c>
      <c r="AY190" s="457">
        <v>0</v>
      </c>
      <c r="AZ190" s="457">
        <v>0</v>
      </c>
      <c r="BA190" s="457">
        <v>783727</v>
      </c>
      <c r="BB190" s="457">
        <v>666629</v>
      </c>
      <c r="BC190" s="457">
        <v>117098</v>
      </c>
      <c r="BD190" s="457">
        <v>0</v>
      </c>
      <c r="BE190" s="457">
        <v>0</v>
      </c>
      <c r="BF190" s="457">
        <v>0</v>
      </c>
      <c r="BG190" s="457">
        <v>15994</v>
      </c>
      <c r="BH190" s="457">
        <v>13605</v>
      </c>
      <c r="BI190" s="457">
        <v>2389</v>
      </c>
    </row>
    <row r="191" spans="1:61" ht="12.75" x14ac:dyDescent="0.2">
      <c r="A191" s="446">
        <v>184</v>
      </c>
      <c r="B191" s="447" t="s">
        <v>251</v>
      </c>
      <c r="C191" s="448" t="s">
        <v>1093</v>
      </c>
      <c r="D191" s="449" t="s">
        <v>1097</v>
      </c>
      <c r="E191" s="450" t="s">
        <v>250</v>
      </c>
      <c r="F191" s="457">
        <v>30137537</v>
      </c>
      <c r="G191" s="457">
        <v>0</v>
      </c>
      <c r="H191" s="457">
        <v>0</v>
      </c>
      <c r="I191" s="457">
        <v>30137537</v>
      </c>
      <c r="J191" s="457">
        <v>29863562</v>
      </c>
      <c r="K191" s="457">
        <v>0</v>
      </c>
      <c r="L191" s="457">
        <v>0</v>
      </c>
      <c r="M191" s="457">
        <v>29863562</v>
      </c>
      <c r="N191" s="457">
        <v>273975</v>
      </c>
      <c r="O191" s="457">
        <v>0</v>
      </c>
      <c r="P191" s="457">
        <v>0</v>
      </c>
      <c r="Q191" s="457">
        <v>273975</v>
      </c>
      <c r="R191" s="457">
        <v>325869</v>
      </c>
      <c r="S191" s="457">
        <v>0</v>
      </c>
      <c r="T191" s="457">
        <v>0</v>
      </c>
      <c r="U191" s="457">
        <v>325869</v>
      </c>
      <c r="V191" s="457">
        <v>-51894</v>
      </c>
      <c r="W191" s="457">
        <v>0</v>
      </c>
      <c r="X191" s="457">
        <v>0</v>
      </c>
      <c r="Y191" s="457">
        <v>-51894</v>
      </c>
      <c r="Z191" s="457">
        <v>230177</v>
      </c>
      <c r="AA191" s="457">
        <v>230177</v>
      </c>
      <c r="AB191" s="457">
        <v>0</v>
      </c>
      <c r="AC191" s="457">
        <v>0</v>
      </c>
      <c r="AD191" s="457">
        <v>0</v>
      </c>
      <c r="AE191" s="457">
        <v>0</v>
      </c>
      <c r="AF191" s="457">
        <v>0</v>
      </c>
      <c r="AG191" s="457">
        <v>0</v>
      </c>
      <c r="AH191" s="457">
        <v>0</v>
      </c>
      <c r="AI191" s="457">
        <v>18840</v>
      </c>
      <c r="AJ191" s="457">
        <v>14784</v>
      </c>
      <c r="AK191" s="457">
        <v>4056</v>
      </c>
      <c r="AL191" s="457">
        <v>0</v>
      </c>
      <c r="AM191" s="457">
        <v>3696</v>
      </c>
      <c r="AN191" s="457">
        <v>-3696</v>
      </c>
      <c r="AO191" s="457">
        <v>0</v>
      </c>
      <c r="AP191" s="457">
        <v>0</v>
      </c>
      <c r="AQ191" s="457">
        <v>0</v>
      </c>
      <c r="AR191" s="457">
        <v>0</v>
      </c>
      <c r="AS191" s="457">
        <v>0</v>
      </c>
      <c r="AT191" s="457">
        <v>0</v>
      </c>
      <c r="AU191" s="457">
        <v>0</v>
      </c>
      <c r="AV191" s="457">
        <v>0</v>
      </c>
      <c r="AW191" s="457">
        <v>0</v>
      </c>
      <c r="AX191" s="457">
        <v>0</v>
      </c>
      <c r="AY191" s="457">
        <v>0</v>
      </c>
      <c r="AZ191" s="457">
        <v>0</v>
      </c>
      <c r="BA191" s="457">
        <v>792105</v>
      </c>
      <c r="BB191" s="457">
        <v>673966</v>
      </c>
      <c r="BC191" s="457">
        <v>118139</v>
      </c>
      <c r="BD191" s="457">
        <v>198026</v>
      </c>
      <c r="BE191" s="457">
        <v>168492</v>
      </c>
      <c r="BF191" s="457">
        <v>29534</v>
      </c>
      <c r="BG191" s="457">
        <v>0</v>
      </c>
      <c r="BH191" s="457">
        <v>0</v>
      </c>
      <c r="BI191" s="457">
        <v>0</v>
      </c>
    </row>
    <row r="192" spans="1:61" ht="12.75" x14ac:dyDescent="0.2">
      <c r="A192" s="446">
        <v>185</v>
      </c>
      <c r="B192" s="447" t="s">
        <v>253</v>
      </c>
      <c r="C192" s="448" t="s">
        <v>794</v>
      </c>
      <c r="D192" s="449" t="s">
        <v>1102</v>
      </c>
      <c r="E192" s="450" t="s">
        <v>731</v>
      </c>
      <c r="F192" s="457">
        <v>62929240</v>
      </c>
      <c r="G192" s="457">
        <v>0</v>
      </c>
      <c r="H192" s="457">
        <v>0</v>
      </c>
      <c r="I192" s="457">
        <v>62929240</v>
      </c>
      <c r="J192" s="457">
        <v>62845476</v>
      </c>
      <c r="K192" s="457">
        <v>0</v>
      </c>
      <c r="L192" s="457">
        <v>0</v>
      </c>
      <c r="M192" s="457">
        <v>62845476</v>
      </c>
      <c r="N192" s="457">
        <v>83764</v>
      </c>
      <c r="O192" s="457">
        <v>0</v>
      </c>
      <c r="P192" s="457">
        <v>0</v>
      </c>
      <c r="Q192" s="457">
        <v>83764</v>
      </c>
      <c r="R192" s="457">
        <v>211165</v>
      </c>
      <c r="S192" s="457">
        <v>0</v>
      </c>
      <c r="T192" s="457">
        <v>0</v>
      </c>
      <c r="U192" s="457">
        <v>211165</v>
      </c>
      <c r="V192" s="457">
        <v>-127401</v>
      </c>
      <c r="W192" s="457">
        <v>0</v>
      </c>
      <c r="X192" s="457">
        <v>0</v>
      </c>
      <c r="Y192" s="457">
        <v>-127401</v>
      </c>
      <c r="Z192" s="457">
        <v>259620</v>
      </c>
      <c r="AA192" s="457">
        <v>259620</v>
      </c>
      <c r="AB192" s="457">
        <v>0</v>
      </c>
      <c r="AC192" s="457">
        <v>0</v>
      </c>
      <c r="AD192" s="457">
        <v>0</v>
      </c>
      <c r="AE192" s="457">
        <v>0</v>
      </c>
      <c r="AF192" s="457">
        <v>0</v>
      </c>
      <c r="AG192" s="457">
        <v>0</v>
      </c>
      <c r="AH192" s="457">
        <v>0</v>
      </c>
      <c r="AI192" s="457">
        <v>4574</v>
      </c>
      <c r="AJ192" s="457">
        <v>0</v>
      </c>
      <c r="AK192" s="457">
        <v>4574</v>
      </c>
      <c r="AL192" s="457">
        <v>0</v>
      </c>
      <c r="AM192" s="457">
        <v>0</v>
      </c>
      <c r="AN192" s="457">
        <v>0</v>
      </c>
      <c r="AO192" s="457">
        <v>0</v>
      </c>
      <c r="AP192" s="457">
        <v>0</v>
      </c>
      <c r="AQ192" s="457">
        <v>0</v>
      </c>
      <c r="AR192" s="457">
        <v>0</v>
      </c>
      <c r="AS192" s="457">
        <v>0</v>
      </c>
      <c r="AT192" s="457">
        <v>0</v>
      </c>
      <c r="AU192" s="457">
        <v>0</v>
      </c>
      <c r="AV192" s="457">
        <v>0</v>
      </c>
      <c r="AW192" s="457">
        <v>0</v>
      </c>
      <c r="AX192" s="457">
        <v>0</v>
      </c>
      <c r="AY192" s="457">
        <v>0</v>
      </c>
      <c r="AZ192" s="457">
        <v>0</v>
      </c>
      <c r="BA192" s="457">
        <v>893516</v>
      </c>
      <c r="BB192" s="457">
        <v>763166</v>
      </c>
      <c r="BC192" s="457">
        <v>130350</v>
      </c>
      <c r="BD192" s="457">
        <v>0</v>
      </c>
      <c r="BE192" s="457">
        <v>0</v>
      </c>
      <c r="BF192" s="457">
        <v>0</v>
      </c>
      <c r="BG192" s="457">
        <v>18235</v>
      </c>
      <c r="BH192" s="457">
        <v>15575</v>
      </c>
      <c r="BI192" s="457">
        <v>2660</v>
      </c>
    </row>
    <row r="193" spans="1:61" ht="12.75" x14ac:dyDescent="0.2">
      <c r="A193" s="446">
        <v>186</v>
      </c>
      <c r="B193" s="447" t="s">
        <v>255</v>
      </c>
      <c r="C193" s="448" t="s">
        <v>1100</v>
      </c>
      <c r="D193" s="449" t="s">
        <v>1105</v>
      </c>
      <c r="E193" s="450" t="s">
        <v>254</v>
      </c>
      <c r="F193" s="457">
        <v>56339813</v>
      </c>
      <c r="G193" s="457">
        <v>0</v>
      </c>
      <c r="H193" s="457">
        <v>0</v>
      </c>
      <c r="I193" s="457">
        <v>56339813</v>
      </c>
      <c r="J193" s="457">
        <v>56516742</v>
      </c>
      <c r="K193" s="457">
        <v>0</v>
      </c>
      <c r="L193" s="457">
        <v>0</v>
      </c>
      <c r="M193" s="457">
        <v>56516742</v>
      </c>
      <c r="N193" s="457">
        <v>-176929</v>
      </c>
      <c r="O193" s="457">
        <v>0</v>
      </c>
      <c r="P193" s="457">
        <v>0</v>
      </c>
      <c r="Q193" s="457">
        <v>-176929</v>
      </c>
      <c r="R193" s="457">
        <v>-11966</v>
      </c>
      <c r="S193" s="457">
        <v>0</v>
      </c>
      <c r="T193" s="457">
        <v>0</v>
      </c>
      <c r="U193" s="457">
        <v>-11966</v>
      </c>
      <c r="V193" s="457">
        <v>-164963</v>
      </c>
      <c r="W193" s="457">
        <v>0</v>
      </c>
      <c r="X193" s="457">
        <v>0</v>
      </c>
      <c r="Y193" s="457">
        <v>-164963</v>
      </c>
      <c r="Z193" s="457">
        <v>228416</v>
      </c>
      <c r="AA193" s="457">
        <v>228416</v>
      </c>
      <c r="AB193" s="457">
        <v>0</v>
      </c>
      <c r="AC193" s="457">
        <v>0</v>
      </c>
      <c r="AD193" s="457">
        <v>13459</v>
      </c>
      <c r="AE193" s="457">
        <v>-13459</v>
      </c>
      <c r="AF193" s="457">
        <v>0</v>
      </c>
      <c r="AG193" s="457">
        <v>0</v>
      </c>
      <c r="AH193" s="457">
        <v>0</v>
      </c>
      <c r="AI193" s="457">
        <v>0</v>
      </c>
      <c r="AJ193" s="457">
        <v>0</v>
      </c>
      <c r="AK193" s="457">
        <v>0</v>
      </c>
      <c r="AL193" s="457">
        <v>0</v>
      </c>
      <c r="AM193" s="457">
        <v>0</v>
      </c>
      <c r="AN193" s="457">
        <v>0</v>
      </c>
      <c r="AO193" s="457">
        <v>0</v>
      </c>
      <c r="AP193" s="457">
        <v>42390</v>
      </c>
      <c r="AQ193" s="457">
        <v>-42390</v>
      </c>
      <c r="AR193" s="457">
        <v>0</v>
      </c>
      <c r="AS193" s="457">
        <v>0</v>
      </c>
      <c r="AT193" s="457">
        <v>0</v>
      </c>
      <c r="AU193" s="457">
        <v>0</v>
      </c>
      <c r="AV193" s="457">
        <v>0</v>
      </c>
      <c r="AW193" s="457">
        <v>0</v>
      </c>
      <c r="AX193" s="457">
        <v>0</v>
      </c>
      <c r="AY193" s="457">
        <v>0</v>
      </c>
      <c r="AZ193" s="457">
        <v>0</v>
      </c>
      <c r="BA193" s="457">
        <v>787012</v>
      </c>
      <c r="BB193" s="457">
        <v>670563</v>
      </c>
      <c r="BC193" s="457">
        <v>116449</v>
      </c>
      <c r="BD193" s="457">
        <v>0</v>
      </c>
      <c r="BE193" s="457">
        <v>0</v>
      </c>
      <c r="BF193" s="457">
        <v>0</v>
      </c>
      <c r="BG193" s="457">
        <v>16013</v>
      </c>
      <c r="BH193" s="457">
        <v>13685</v>
      </c>
      <c r="BI193" s="457">
        <v>2328</v>
      </c>
    </row>
    <row r="194" spans="1:61" ht="12.75" x14ac:dyDescent="0.2">
      <c r="A194" s="446">
        <v>187</v>
      </c>
      <c r="B194" s="447" t="s">
        <v>257</v>
      </c>
      <c r="C194" s="448" t="s">
        <v>1093</v>
      </c>
      <c r="D194" s="449" t="s">
        <v>1103</v>
      </c>
      <c r="E194" s="450" t="s">
        <v>256</v>
      </c>
      <c r="F194" s="457">
        <v>37464821</v>
      </c>
      <c r="G194" s="457">
        <v>0</v>
      </c>
      <c r="H194" s="457">
        <v>0</v>
      </c>
      <c r="I194" s="457">
        <v>37464821</v>
      </c>
      <c r="J194" s="457">
        <v>38380971</v>
      </c>
      <c r="K194" s="457">
        <v>0</v>
      </c>
      <c r="L194" s="457">
        <v>0</v>
      </c>
      <c r="M194" s="457">
        <v>38380971</v>
      </c>
      <c r="N194" s="457">
        <v>-916150</v>
      </c>
      <c r="O194" s="457">
        <v>0</v>
      </c>
      <c r="P194" s="457">
        <v>0</v>
      </c>
      <c r="Q194" s="457">
        <v>-916150</v>
      </c>
      <c r="R194" s="457">
        <v>37965</v>
      </c>
      <c r="S194" s="457">
        <v>0</v>
      </c>
      <c r="T194" s="457">
        <v>0</v>
      </c>
      <c r="U194" s="457">
        <v>37965</v>
      </c>
      <c r="V194" s="457">
        <v>-954115</v>
      </c>
      <c r="W194" s="457">
        <v>0</v>
      </c>
      <c r="X194" s="457">
        <v>0</v>
      </c>
      <c r="Y194" s="457">
        <v>-954115</v>
      </c>
      <c r="Z194" s="457">
        <v>110454</v>
      </c>
      <c r="AA194" s="457">
        <v>110454</v>
      </c>
      <c r="AB194" s="457">
        <v>0</v>
      </c>
      <c r="AC194" s="457">
        <v>0</v>
      </c>
      <c r="AD194" s="457">
        <v>0</v>
      </c>
      <c r="AE194" s="457">
        <v>0</v>
      </c>
      <c r="AF194" s="457">
        <v>0</v>
      </c>
      <c r="AG194" s="457">
        <v>0</v>
      </c>
      <c r="AH194" s="457">
        <v>0</v>
      </c>
      <c r="AI194" s="457">
        <v>0</v>
      </c>
      <c r="AJ194" s="457">
        <v>0</v>
      </c>
      <c r="AK194" s="457">
        <v>0</v>
      </c>
      <c r="AL194" s="457">
        <v>0</v>
      </c>
      <c r="AM194" s="457">
        <v>0</v>
      </c>
      <c r="AN194" s="457">
        <v>0</v>
      </c>
      <c r="AO194" s="457">
        <v>0</v>
      </c>
      <c r="AP194" s="457">
        <v>0</v>
      </c>
      <c r="AQ194" s="457">
        <v>0</v>
      </c>
      <c r="AR194" s="457">
        <v>0</v>
      </c>
      <c r="AS194" s="457">
        <v>0</v>
      </c>
      <c r="AT194" s="457">
        <v>0</v>
      </c>
      <c r="AU194" s="457">
        <v>0</v>
      </c>
      <c r="AV194" s="457">
        <v>0</v>
      </c>
      <c r="AW194" s="457">
        <v>0</v>
      </c>
      <c r="AX194" s="457">
        <v>0</v>
      </c>
      <c r="AY194" s="457">
        <v>0</v>
      </c>
      <c r="AZ194" s="457">
        <v>0</v>
      </c>
      <c r="BA194" s="457">
        <v>240317</v>
      </c>
      <c r="BB194" s="457">
        <v>204542</v>
      </c>
      <c r="BC194" s="457">
        <v>35775</v>
      </c>
      <c r="BD194" s="457">
        <v>60079</v>
      </c>
      <c r="BE194" s="457">
        <v>51136</v>
      </c>
      <c r="BF194" s="457">
        <v>8943</v>
      </c>
      <c r="BG194" s="457">
        <v>0</v>
      </c>
      <c r="BH194" s="457">
        <v>0</v>
      </c>
      <c r="BI194" s="457">
        <v>0</v>
      </c>
    </row>
    <row r="195" spans="1:61" ht="12.75" x14ac:dyDescent="0.2">
      <c r="A195" s="446">
        <v>188</v>
      </c>
      <c r="B195" s="447" t="s">
        <v>259</v>
      </c>
      <c r="C195" s="448" t="s">
        <v>1093</v>
      </c>
      <c r="D195" s="449" t="s">
        <v>1096</v>
      </c>
      <c r="E195" s="450" t="s">
        <v>258</v>
      </c>
      <c r="F195" s="457">
        <v>48748195.600000001</v>
      </c>
      <c r="G195" s="457">
        <v>0</v>
      </c>
      <c r="H195" s="457">
        <v>0</v>
      </c>
      <c r="I195" s="457">
        <v>48748195.600000001</v>
      </c>
      <c r="J195" s="457">
        <v>48609727.399999999</v>
      </c>
      <c r="K195" s="457">
        <v>0</v>
      </c>
      <c r="L195" s="457">
        <v>0</v>
      </c>
      <c r="M195" s="457">
        <v>48609727.399999999</v>
      </c>
      <c r="N195" s="457">
        <v>138468.25</v>
      </c>
      <c r="O195" s="457">
        <v>0</v>
      </c>
      <c r="P195" s="457">
        <v>0</v>
      </c>
      <c r="Q195" s="457">
        <v>138468.25</v>
      </c>
      <c r="R195" s="457">
        <v>27147</v>
      </c>
      <c r="S195" s="457">
        <v>0</v>
      </c>
      <c r="T195" s="457">
        <v>0</v>
      </c>
      <c r="U195" s="457">
        <v>27147</v>
      </c>
      <c r="V195" s="457">
        <v>111321</v>
      </c>
      <c r="W195" s="457">
        <v>0</v>
      </c>
      <c r="X195" s="457">
        <v>0</v>
      </c>
      <c r="Y195" s="457">
        <v>111321</v>
      </c>
      <c r="Z195" s="457">
        <v>145672</v>
      </c>
      <c r="AA195" s="457">
        <v>145672</v>
      </c>
      <c r="AB195" s="457">
        <v>0</v>
      </c>
      <c r="AC195" s="457">
        <v>0</v>
      </c>
      <c r="AD195" s="457">
        <v>0</v>
      </c>
      <c r="AE195" s="457">
        <v>0</v>
      </c>
      <c r="AF195" s="457">
        <v>0</v>
      </c>
      <c r="AG195" s="457">
        <v>0</v>
      </c>
      <c r="AH195" s="457">
        <v>0</v>
      </c>
      <c r="AI195" s="457">
        <v>0</v>
      </c>
      <c r="AJ195" s="457">
        <v>0</v>
      </c>
      <c r="AK195" s="457">
        <v>0</v>
      </c>
      <c r="AL195" s="457">
        <v>0</v>
      </c>
      <c r="AM195" s="457">
        <v>0</v>
      </c>
      <c r="AN195" s="457">
        <v>0</v>
      </c>
      <c r="AO195" s="457">
        <v>0</v>
      </c>
      <c r="AP195" s="457">
        <v>0</v>
      </c>
      <c r="AQ195" s="457">
        <v>0</v>
      </c>
      <c r="AR195" s="457">
        <v>0</v>
      </c>
      <c r="AS195" s="457">
        <v>0</v>
      </c>
      <c r="AT195" s="457">
        <v>0</v>
      </c>
      <c r="AU195" s="457">
        <v>0</v>
      </c>
      <c r="AV195" s="457">
        <v>0</v>
      </c>
      <c r="AW195" s="457">
        <v>0</v>
      </c>
      <c r="AX195" s="457">
        <v>0</v>
      </c>
      <c r="AY195" s="457">
        <v>0</v>
      </c>
      <c r="AZ195" s="457">
        <v>0</v>
      </c>
      <c r="BA195" s="457">
        <v>344689</v>
      </c>
      <c r="BB195" s="457">
        <v>304923</v>
      </c>
      <c r="BC195" s="457">
        <v>39766</v>
      </c>
      <c r="BD195" s="457">
        <v>77555</v>
      </c>
      <c r="BE195" s="457">
        <v>68608</v>
      </c>
      <c r="BF195" s="457">
        <v>8947</v>
      </c>
      <c r="BG195" s="457">
        <v>8617</v>
      </c>
      <c r="BH195" s="457">
        <v>7623</v>
      </c>
      <c r="BI195" s="457">
        <v>994</v>
      </c>
    </row>
    <row r="196" spans="1:61" ht="12.75" x14ac:dyDescent="0.2">
      <c r="A196" s="446">
        <v>189</v>
      </c>
      <c r="B196" s="447" t="s">
        <v>261</v>
      </c>
      <c r="C196" s="448" t="s">
        <v>1093</v>
      </c>
      <c r="D196" s="449" t="s">
        <v>1096</v>
      </c>
      <c r="E196" s="450" t="s">
        <v>260</v>
      </c>
      <c r="F196" s="457">
        <v>90542939</v>
      </c>
      <c r="G196" s="457">
        <v>0</v>
      </c>
      <c r="H196" s="457">
        <v>1931267</v>
      </c>
      <c r="I196" s="457">
        <v>92474206</v>
      </c>
      <c r="J196" s="457">
        <v>93337211.799999997</v>
      </c>
      <c r="K196" s="457">
        <v>0</v>
      </c>
      <c r="L196" s="457">
        <v>2008153.22</v>
      </c>
      <c r="M196" s="457">
        <v>95345365</v>
      </c>
      <c r="N196" s="457">
        <v>-2794272.8</v>
      </c>
      <c r="O196" s="457">
        <v>0</v>
      </c>
      <c r="P196" s="457">
        <v>-76886.22</v>
      </c>
      <c r="Q196" s="457">
        <v>-2871159</v>
      </c>
      <c r="R196" s="457">
        <v>-1944897.7</v>
      </c>
      <c r="S196" s="457">
        <v>0</v>
      </c>
      <c r="T196" s="457">
        <v>-10375.25</v>
      </c>
      <c r="U196" s="457">
        <v>-1955273</v>
      </c>
      <c r="V196" s="457">
        <v>-849375</v>
      </c>
      <c r="W196" s="457">
        <v>0</v>
      </c>
      <c r="X196" s="457">
        <v>-66511</v>
      </c>
      <c r="Y196" s="457">
        <v>-915886</v>
      </c>
      <c r="Z196" s="457">
        <v>301115</v>
      </c>
      <c r="AA196" s="457">
        <v>301115</v>
      </c>
      <c r="AB196" s="457">
        <v>0</v>
      </c>
      <c r="AC196" s="457">
        <v>535861</v>
      </c>
      <c r="AD196" s="457">
        <v>0</v>
      </c>
      <c r="AE196" s="457">
        <v>535861</v>
      </c>
      <c r="AF196" s="457">
        <v>0</v>
      </c>
      <c r="AG196" s="457">
        <v>0</v>
      </c>
      <c r="AH196" s="457">
        <v>0</v>
      </c>
      <c r="AI196" s="457">
        <v>0</v>
      </c>
      <c r="AJ196" s="457">
        <v>0</v>
      </c>
      <c r="AK196" s="457">
        <v>0</v>
      </c>
      <c r="AL196" s="457">
        <v>0</v>
      </c>
      <c r="AM196" s="457">
        <v>0</v>
      </c>
      <c r="AN196" s="457">
        <v>0</v>
      </c>
      <c r="AO196" s="457">
        <v>2105649</v>
      </c>
      <c r="AP196" s="457">
        <v>1219000</v>
      </c>
      <c r="AQ196" s="457">
        <v>886649</v>
      </c>
      <c r="AR196" s="457">
        <v>2105649</v>
      </c>
      <c r="AS196" s="457">
        <v>1219000</v>
      </c>
      <c r="AT196" s="457">
        <v>886649</v>
      </c>
      <c r="AU196" s="457">
        <v>0</v>
      </c>
      <c r="AV196" s="457">
        <v>0</v>
      </c>
      <c r="AW196" s="457">
        <v>0</v>
      </c>
      <c r="AX196" s="457">
        <v>0</v>
      </c>
      <c r="AY196" s="457">
        <v>0</v>
      </c>
      <c r="AZ196" s="457">
        <v>0</v>
      </c>
      <c r="BA196" s="457">
        <v>692740</v>
      </c>
      <c r="BB196" s="457">
        <v>565966</v>
      </c>
      <c r="BC196" s="457">
        <v>126774</v>
      </c>
      <c r="BD196" s="457">
        <v>165034</v>
      </c>
      <c r="BE196" s="457">
        <v>141491</v>
      </c>
      <c r="BF196" s="457">
        <v>23543</v>
      </c>
      <c r="BG196" s="457">
        <v>0</v>
      </c>
      <c r="BH196" s="457">
        <v>0</v>
      </c>
      <c r="BI196" s="457">
        <v>0</v>
      </c>
    </row>
    <row r="197" spans="1:61" ht="12.75" x14ac:dyDescent="0.2">
      <c r="A197" s="446">
        <v>190</v>
      </c>
      <c r="B197" s="447" t="s">
        <v>263</v>
      </c>
      <c r="C197" s="448" t="s">
        <v>794</v>
      </c>
      <c r="D197" s="449" t="s">
        <v>1105</v>
      </c>
      <c r="E197" s="450" t="s">
        <v>262</v>
      </c>
      <c r="F197" s="457">
        <v>92928821.099999994</v>
      </c>
      <c r="G197" s="457">
        <v>0</v>
      </c>
      <c r="H197" s="457">
        <v>22383.39</v>
      </c>
      <c r="I197" s="457">
        <v>92951204.5</v>
      </c>
      <c r="J197" s="457">
        <v>92487378.599999994</v>
      </c>
      <c r="K197" s="457">
        <v>0</v>
      </c>
      <c r="L197" s="457">
        <v>22383.39</v>
      </c>
      <c r="M197" s="457">
        <v>92509762</v>
      </c>
      <c r="N197" s="457">
        <v>441442.52</v>
      </c>
      <c r="O197" s="457">
        <v>0</v>
      </c>
      <c r="P197" s="457">
        <v>0</v>
      </c>
      <c r="Q197" s="457">
        <v>441442.52</v>
      </c>
      <c r="R197" s="457">
        <v>407186</v>
      </c>
      <c r="S197" s="457">
        <v>0</v>
      </c>
      <c r="T197" s="457">
        <v>0</v>
      </c>
      <c r="U197" s="457">
        <v>407186</v>
      </c>
      <c r="V197" s="457">
        <v>34257</v>
      </c>
      <c r="W197" s="457">
        <v>0</v>
      </c>
      <c r="X197" s="457">
        <v>0</v>
      </c>
      <c r="Y197" s="457">
        <v>34257</v>
      </c>
      <c r="Z197" s="457">
        <v>474143</v>
      </c>
      <c r="AA197" s="457">
        <v>474143</v>
      </c>
      <c r="AB197" s="457">
        <v>0</v>
      </c>
      <c r="AC197" s="457">
        <v>0</v>
      </c>
      <c r="AD197" s="457">
        <v>315</v>
      </c>
      <c r="AE197" s="457">
        <v>-315</v>
      </c>
      <c r="AF197" s="457">
        <v>0</v>
      </c>
      <c r="AG197" s="457">
        <v>0</v>
      </c>
      <c r="AH197" s="457">
        <v>0</v>
      </c>
      <c r="AI197" s="457">
        <v>390530</v>
      </c>
      <c r="AJ197" s="457">
        <v>777527</v>
      </c>
      <c r="AK197" s="457">
        <v>-386997</v>
      </c>
      <c r="AL197" s="457">
        <v>0</v>
      </c>
      <c r="AM197" s="457">
        <v>0</v>
      </c>
      <c r="AN197" s="457">
        <v>0</v>
      </c>
      <c r="AO197" s="457">
        <v>11913</v>
      </c>
      <c r="AP197" s="457">
        <v>11422</v>
      </c>
      <c r="AQ197" s="457">
        <v>491</v>
      </c>
      <c r="AR197" s="457">
        <v>11913</v>
      </c>
      <c r="AS197" s="457">
        <v>11422</v>
      </c>
      <c r="AT197" s="457">
        <v>491</v>
      </c>
      <c r="AU197" s="457">
        <v>0</v>
      </c>
      <c r="AV197" s="457">
        <v>0</v>
      </c>
      <c r="AW197" s="457">
        <v>0</v>
      </c>
      <c r="AX197" s="457">
        <v>0</v>
      </c>
      <c r="AY197" s="457">
        <v>0</v>
      </c>
      <c r="AZ197" s="457">
        <v>0</v>
      </c>
      <c r="BA197" s="457">
        <v>1766841</v>
      </c>
      <c r="BB197" s="457">
        <v>1499303</v>
      </c>
      <c r="BC197" s="457">
        <v>267538</v>
      </c>
      <c r="BD197" s="457">
        <v>0</v>
      </c>
      <c r="BE197" s="457">
        <v>0</v>
      </c>
      <c r="BF197" s="457">
        <v>0</v>
      </c>
      <c r="BG197" s="457">
        <v>0</v>
      </c>
      <c r="BH197" s="457">
        <v>0</v>
      </c>
      <c r="BI197" s="457">
        <v>0</v>
      </c>
    </row>
    <row r="198" spans="1:61" ht="12.75" x14ac:dyDescent="0.2">
      <c r="A198" s="446">
        <v>191</v>
      </c>
      <c r="B198" s="447" t="s">
        <v>265</v>
      </c>
      <c r="C198" s="448" t="s">
        <v>1093</v>
      </c>
      <c r="D198" s="449" t="s">
        <v>1097</v>
      </c>
      <c r="E198" s="450" t="s">
        <v>264</v>
      </c>
      <c r="F198" s="457">
        <v>74009192</v>
      </c>
      <c r="G198" s="457">
        <v>0</v>
      </c>
      <c r="H198" s="457">
        <v>0</v>
      </c>
      <c r="I198" s="457">
        <v>74009192</v>
      </c>
      <c r="J198" s="457">
        <v>74953091</v>
      </c>
      <c r="K198" s="457">
        <v>0</v>
      </c>
      <c r="L198" s="457">
        <v>0</v>
      </c>
      <c r="M198" s="457">
        <v>74953091</v>
      </c>
      <c r="N198" s="457">
        <v>-943899</v>
      </c>
      <c r="O198" s="457">
        <v>0</v>
      </c>
      <c r="P198" s="457">
        <v>0</v>
      </c>
      <c r="Q198" s="457">
        <v>-943899</v>
      </c>
      <c r="R198" s="457">
        <v>-21981</v>
      </c>
      <c r="S198" s="457">
        <v>0</v>
      </c>
      <c r="T198" s="457">
        <v>0</v>
      </c>
      <c r="U198" s="457">
        <v>-21981</v>
      </c>
      <c r="V198" s="457">
        <v>-921918</v>
      </c>
      <c r="W198" s="457">
        <v>0</v>
      </c>
      <c r="X198" s="457">
        <v>0</v>
      </c>
      <c r="Y198" s="457">
        <v>-921918</v>
      </c>
      <c r="Z198" s="457">
        <v>268738</v>
      </c>
      <c r="AA198" s="457">
        <v>268738</v>
      </c>
      <c r="AB198" s="457">
        <v>0</v>
      </c>
      <c r="AC198" s="457">
        <v>0</v>
      </c>
      <c r="AD198" s="457">
        <v>0</v>
      </c>
      <c r="AE198" s="457">
        <v>0</v>
      </c>
      <c r="AF198" s="457">
        <v>0</v>
      </c>
      <c r="AG198" s="457">
        <v>0</v>
      </c>
      <c r="AH198" s="457">
        <v>0</v>
      </c>
      <c r="AI198" s="457">
        <v>0</v>
      </c>
      <c r="AJ198" s="457">
        <v>0</v>
      </c>
      <c r="AK198" s="457">
        <v>0</v>
      </c>
      <c r="AL198" s="457">
        <v>0</v>
      </c>
      <c r="AM198" s="457">
        <v>0</v>
      </c>
      <c r="AN198" s="457">
        <v>0</v>
      </c>
      <c r="AO198" s="457">
        <v>0</v>
      </c>
      <c r="AP198" s="457">
        <v>0</v>
      </c>
      <c r="AQ198" s="457">
        <v>0</v>
      </c>
      <c r="AR198" s="457">
        <v>0</v>
      </c>
      <c r="AS198" s="457">
        <v>0</v>
      </c>
      <c r="AT198" s="457">
        <v>0</v>
      </c>
      <c r="AU198" s="457">
        <v>0</v>
      </c>
      <c r="AV198" s="457">
        <v>0</v>
      </c>
      <c r="AW198" s="457">
        <v>0</v>
      </c>
      <c r="AX198" s="457">
        <v>0</v>
      </c>
      <c r="AY198" s="457">
        <v>0</v>
      </c>
      <c r="AZ198" s="457">
        <v>0</v>
      </c>
      <c r="BA198" s="457">
        <v>600169</v>
      </c>
      <c r="BB198" s="457">
        <v>507182</v>
      </c>
      <c r="BC198" s="457">
        <v>92987</v>
      </c>
      <c r="BD198" s="457">
        <v>150042</v>
      </c>
      <c r="BE198" s="457">
        <v>126795</v>
      </c>
      <c r="BF198" s="457">
        <v>23247</v>
      </c>
      <c r="BG198" s="457">
        <v>0</v>
      </c>
      <c r="BH198" s="457">
        <v>0</v>
      </c>
      <c r="BI198" s="457">
        <v>0</v>
      </c>
    </row>
    <row r="199" spans="1:61" ht="12.75" x14ac:dyDescent="0.2">
      <c r="A199" s="446">
        <v>192</v>
      </c>
      <c r="B199" s="447" t="s">
        <v>267</v>
      </c>
      <c r="C199" s="448" t="s">
        <v>794</v>
      </c>
      <c r="D199" s="449" t="s">
        <v>1096</v>
      </c>
      <c r="E199" s="450" t="s">
        <v>732</v>
      </c>
      <c r="F199" s="457">
        <v>117230723</v>
      </c>
      <c r="G199" s="457">
        <v>5203103</v>
      </c>
      <c r="H199" s="457">
        <v>3936631</v>
      </c>
      <c r="I199" s="457">
        <v>126370457</v>
      </c>
      <c r="J199" s="457">
        <v>117979318</v>
      </c>
      <c r="K199" s="457">
        <v>5237731</v>
      </c>
      <c r="L199" s="457">
        <v>3937512</v>
      </c>
      <c r="M199" s="457">
        <v>127154561</v>
      </c>
      <c r="N199" s="457">
        <v>-748595</v>
      </c>
      <c r="O199" s="457">
        <v>-34628</v>
      </c>
      <c r="P199" s="457">
        <v>-881</v>
      </c>
      <c r="Q199" s="457">
        <v>-784104</v>
      </c>
      <c r="R199" s="457">
        <v>-2630569</v>
      </c>
      <c r="S199" s="457">
        <v>0</v>
      </c>
      <c r="T199" s="457">
        <v>0</v>
      </c>
      <c r="U199" s="457">
        <v>-2630569</v>
      </c>
      <c r="V199" s="457">
        <v>1881974</v>
      </c>
      <c r="W199" s="457">
        <v>-34628</v>
      </c>
      <c r="X199" s="457">
        <v>-881</v>
      </c>
      <c r="Y199" s="457">
        <v>1846465</v>
      </c>
      <c r="Z199" s="457">
        <v>498329</v>
      </c>
      <c r="AA199" s="457">
        <v>497329</v>
      </c>
      <c r="AB199" s="457">
        <v>1000</v>
      </c>
      <c r="AC199" s="457">
        <v>0</v>
      </c>
      <c r="AD199" s="457">
        <v>107502</v>
      </c>
      <c r="AE199" s="457">
        <v>-107502</v>
      </c>
      <c r="AF199" s="457">
        <v>0</v>
      </c>
      <c r="AG199" s="457">
        <v>142738</v>
      </c>
      <c r="AH199" s="457">
        <v>-142738</v>
      </c>
      <c r="AI199" s="457">
        <v>0</v>
      </c>
      <c r="AJ199" s="457">
        <v>0</v>
      </c>
      <c r="AK199" s="457">
        <v>0</v>
      </c>
      <c r="AL199" s="457">
        <v>0</v>
      </c>
      <c r="AM199" s="457">
        <v>0</v>
      </c>
      <c r="AN199" s="457">
        <v>0</v>
      </c>
      <c r="AO199" s="457">
        <v>0</v>
      </c>
      <c r="AP199" s="457">
        <v>54000</v>
      </c>
      <c r="AQ199" s="457">
        <v>-54000</v>
      </c>
      <c r="AR199" s="457">
        <v>0</v>
      </c>
      <c r="AS199" s="457">
        <v>54000</v>
      </c>
      <c r="AT199" s="457">
        <v>-54000</v>
      </c>
      <c r="AU199" s="457">
        <v>0</v>
      </c>
      <c r="AV199" s="457">
        <v>0</v>
      </c>
      <c r="AW199" s="457">
        <v>0</v>
      </c>
      <c r="AX199" s="457">
        <v>0</v>
      </c>
      <c r="AY199" s="457">
        <v>0</v>
      </c>
      <c r="AZ199" s="457">
        <v>0</v>
      </c>
      <c r="BA199" s="457">
        <v>1235986</v>
      </c>
      <c r="BB199" s="457">
        <v>1002744</v>
      </c>
      <c r="BC199" s="457">
        <v>233242</v>
      </c>
      <c r="BD199" s="457">
        <v>0</v>
      </c>
      <c r="BE199" s="457">
        <v>0</v>
      </c>
      <c r="BF199" s="457">
        <v>0</v>
      </c>
      <c r="BG199" s="457">
        <v>23185</v>
      </c>
      <c r="BH199" s="457">
        <v>20464</v>
      </c>
      <c r="BI199" s="457">
        <v>2721</v>
      </c>
    </row>
    <row r="200" spans="1:61" ht="12.75" x14ac:dyDescent="0.2">
      <c r="A200" s="446">
        <v>193</v>
      </c>
      <c r="B200" s="447" t="s">
        <v>269</v>
      </c>
      <c r="C200" s="448" t="s">
        <v>1093</v>
      </c>
      <c r="D200" s="449" t="s">
        <v>1103</v>
      </c>
      <c r="E200" s="450" t="s">
        <v>733</v>
      </c>
      <c r="F200" s="457">
        <v>33697827</v>
      </c>
      <c r="G200" s="457">
        <v>0</v>
      </c>
      <c r="H200" s="457">
        <v>0</v>
      </c>
      <c r="I200" s="457">
        <v>33697827</v>
      </c>
      <c r="J200" s="457">
        <v>33864873</v>
      </c>
      <c r="K200" s="457">
        <v>0</v>
      </c>
      <c r="L200" s="457">
        <v>0</v>
      </c>
      <c r="M200" s="457">
        <v>33864873</v>
      </c>
      <c r="N200" s="457">
        <v>-167046</v>
      </c>
      <c r="O200" s="457">
        <v>0</v>
      </c>
      <c r="P200" s="457">
        <v>0</v>
      </c>
      <c r="Q200" s="457">
        <v>-167046</v>
      </c>
      <c r="R200" s="457">
        <v>-19851</v>
      </c>
      <c r="S200" s="457">
        <v>0</v>
      </c>
      <c r="T200" s="457">
        <v>0</v>
      </c>
      <c r="U200" s="457">
        <v>-19851</v>
      </c>
      <c r="V200" s="457">
        <v>-147195</v>
      </c>
      <c r="W200" s="457">
        <v>0</v>
      </c>
      <c r="X200" s="457">
        <v>0</v>
      </c>
      <c r="Y200" s="457">
        <v>-147195</v>
      </c>
      <c r="Z200" s="457">
        <v>136145</v>
      </c>
      <c r="AA200" s="457">
        <v>136145</v>
      </c>
      <c r="AB200" s="457">
        <v>0</v>
      </c>
      <c r="AC200" s="457">
        <v>0</v>
      </c>
      <c r="AD200" s="457">
        <v>0</v>
      </c>
      <c r="AE200" s="457">
        <v>0</v>
      </c>
      <c r="AF200" s="457">
        <v>0</v>
      </c>
      <c r="AG200" s="457">
        <v>0</v>
      </c>
      <c r="AH200" s="457">
        <v>0</v>
      </c>
      <c r="AI200" s="457">
        <v>0</v>
      </c>
      <c r="AJ200" s="457">
        <v>0</v>
      </c>
      <c r="AK200" s="457">
        <v>0</v>
      </c>
      <c r="AL200" s="457">
        <v>0</v>
      </c>
      <c r="AM200" s="457">
        <v>0</v>
      </c>
      <c r="AN200" s="457">
        <v>0</v>
      </c>
      <c r="AO200" s="457">
        <v>0</v>
      </c>
      <c r="AP200" s="457">
        <v>0</v>
      </c>
      <c r="AQ200" s="457">
        <v>0</v>
      </c>
      <c r="AR200" s="457">
        <v>0</v>
      </c>
      <c r="AS200" s="457">
        <v>0</v>
      </c>
      <c r="AT200" s="457">
        <v>0</v>
      </c>
      <c r="AU200" s="457">
        <v>0</v>
      </c>
      <c r="AV200" s="457">
        <v>0</v>
      </c>
      <c r="AW200" s="457">
        <v>0</v>
      </c>
      <c r="AX200" s="457">
        <v>0</v>
      </c>
      <c r="AY200" s="457">
        <v>0</v>
      </c>
      <c r="AZ200" s="457">
        <v>0</v>
      </c>
      <c r="BA200" s="457">
        <v>342875</v>
      </c>
      <c r="BB200" s="457">
        <v>273332</v>
      </c>
      <c r="BC200" s="457">
        <v>69543</v>
      </c>
      <c r="BD200" s="457">
        <v>85719</v>
      </c>
      <c r="BE200" s="457">
        <v>68333</v>
      </c>
      <c r="BF200" s="457">
        <v>17386</v>
      </c>
      <c r="BG200" s="457">
        <v>0</v>
      </c>
      <c r="BH200" s="457">
        <v>0</v>
      </c>
      <c r="BI200" s="457">
        <v>0</v>
      </c>
    </row>
    <row r="201" spans="1:61" ht="12.75" x14ac:dyDescent="0.2">
      <c r="A201" s="446">
        <v>194</v>
      </c>
      <c r="B201" s="447" t="s">
        <v>271</v>
      </c>
      <c r="C201" s="448" t="s">
        <v>1093</v>
      </c>
      <c r="D201" s="449" t="s">
        <v>1096</v>
      </c>
      <c r="E201" s="450" t="s">
        <v>734</v>
      </c>
      <c r="F201" s="457">
        <v>11549456</v>
      </c>
      <c r="G201" s="457">
        <v>0</v>
      </c>
      <c r="H201" s="457">
        <v>0</v>
      </c>
      <c r="I201" s="457">
        <v>11549456</v>
      </c>
      <c r="J201" s="457">
        <v>11545661</v>
      </c>
      <c r="K201" s="457">
        <v>0</v>
      </c>
      <c r="L201" s="457">
        <v>0</v>
      </c>
      <c r="M201" s="457">
        <v>11545661</v>
      </c>
      <c r="N201" s="457">
        <v>3795</v>
      </c>
      <c r="O201" s="457">
        <v>0</v>
      </c>
      <c r="P201" s="457">
        <v>0</v>
      </c>
      <c r="Q201" s="457">
        <v>3795</v>
      </c>
      <c r="R201" s="457">
        <v>5871</v>
      </c>
      <c r="S201" s="457">
        <v>0</v>
      </c>
      <c r="T201" s="457">
        <v>0</v>
      </c>
      <c r="U201" s="457">
        <v>5871</v>
      </c>
      <c r="V201" s="457">
        <v>-2076</v>
      </c>
      <c r="W201" s="457">
        <v>0</v>
      </c>
      <c r="X201" s="457">
        <v>0</v>
      </c>
      <c r="Y201" s="457">
        <v>-2076</v>
      </c>
      <c r="Z201" s="457">
        <v>56189</v>
      </c>
      <c r="AA201" s="457">
        <v>56189</v>
      </c>
      <c r="AB201" s="457">
        <v>0</v>
      </c>
      <c r="AC201" s="457">
        <v>0</v>
      </c>
      <c r="AD201" s="457">
        <v>0</v>
      </c>
      <c r="AE201" s="457">
        <v>0</v>
      </c>
      <c r="AF201" s="457">
        <v>0</v>
      </c>
      <c r="AG201" s="457">
        <v>0</v>
      </c>
      <c r="AH201" s="457">
        <v>0</v>
      </c>
      <c r="AI201" s="457">
        <v>0</v>
      </c>
      <c r="AJ201" s="457">
        <v>0</v>
      </c>
      <c r="AK201" s="457">
        <v>0</v>
      </c>
      <c r="AL201" s="457">
        <v>0</v>
      </c>
      <c r="AM201" s="457">
        <v>0</v>
      </c>
      <c r="AN201" s="457">
        <v>0</v>
      </c>
      <c r="AO201" s="457">
        <v>0</v>
      </c>
      <c r="AP201" s="457">
        <v>0</v>
      </c>
      <c r="AQ201" s="457">
        <v>0</v>
      </c>
      <c r="AR201" s="457">
        <v>0</v>
      </c>
      <c r="AS201" s="457">
        <v>0</v>
      </c>
      <c r="AT201" s="457">
        <v>0</v>
      </c>
      <c r="AU201" s="457">
        <v>0</v>
      </c>
      <c r="AV201" s="457">
        <v>0</v>
      </c>
      <c r="AW201" s="457">
        <v>0</v>
      </c>
      <c r="AX201" s="457">
        <v>0</v>
      </c>
      <c r="AY201" s="457">
        <v>0</v>
      </c>
      <c r="AZ201" s="457">
        <v>0</v>
      </c>
      <c r="BA201" s="457">
        <v>198417</v>
      </c>
      <c r="BB201" s="457">
        <v>154912</v>
      </c>
      <c r="BC201" s="457">
        <v>43505</v>
      </c>
      <c r="BD201" s="457">
        <v>44644</v>
      </c>
      <c r="BE201" s="457">
        <v>34855</v>
      </c>
      <c r="BF201" s="457">
        <v>9789</v>
      </c>
      <c r="BG201" s="457">
        <v>4960</v>
      </c>
      <c r="BH201" s="457">
        <v>3873</v>
      </c>
      <c r="BI201" s="457">
        <v>1087</v>
      </c>
    </row>
    <row r="202" spans="1:61" ht="12.75" x14ac:dyDescent="0.2">
      <c r="A202" s="446">
        <v>195</v>
      </c>
      <c r="B202" s="447" t="s">
        <v>273</v>
      </c>
      <c r="C202" s="448" t="s">
        <v>1100</v>
      </c>
      <c r="D202" s="449" t="s">
        <v>1095</v>
      </c>
      <c r="E202" s="450" t="s">
        <v>272</v>
      </c>
      <c r="F202" s="457">
        <v>70002623</v>
      </c>
      <c r="G202" s="457">
        <v>0</v>
      </c>
      <c r="H202" s="457">
        <v>0</v>
      </c>
      <c r="I202" s="457">
        <v>70002623</v>
      </c>
      <c r="J202" s="457">
        <v>70359559</v>
      </c>
      <c r="K202" s="457">
        <v>0</v>
      </c>
      <c r="L202" s="457">
        <v>0</v>
      </c>
      <c r="M202" s="457">
        <v>70359559</v>
      </c>
      <c r="N202" s="457">
        <v>-356936</v>
      </c>
      <c r="O202" s="457">
        <v>0</v>
      </c>
      <c r="P202" s="457">
        <v>0</v>
      </c>
      <c r="Q202" s="457">
        <v>-356936</v>
      </c>
      <c r="R202" s="457">
        <v>80374</v>
      </c>
      <c r="S202" s="457">
        <v>0</v>
      </c>
      <c r="T202" s="457">
        <v>0</v>
      </c>
      <c r="U202" s="457">
        <v>80374</v>
      </c>
      <c r="V202" s="457">
        <v>-437310</v>
      </c>
      <c r="W202" s="457">
        <v>0</v>
      </c>
      <c r="X202" s="457">
        <v>0</v>
      </c>
      <c r="Y202" s="457">
        <v>-437310</v>
      </c>
      <c r="Z202" s="457">
        <v>309623</v>
      </c>
      <c r="AA202" s="457">
        <v>309623</v>
      </c>
      <c r="AB202" s="457">
        <v>0</v>
      </c>
      <c r="AC202" s="457">
        <v>0</v>
      </c>
      <c r="AD202" s="457">
        <v>0</v>
      </c>
      <c r="AE202" s="457">
        <v>0</v>
      </c>
      <c r="AF202" s="457">
        <v>0</v>
      </c>
      <c r="AG202" s="457">
        <v>0</v>
      </c>
      <c r="AH202" s="457">
        <v>0</v>
      </c>
      <c r="AI202" s="457">
        <v>0</v>
      </c>
      <c r="AJ202" s="457">
        <v>0</v>
      </c>
      <c r="AK202" s="457">
        <v>0</v>
      </c>
      <c r="AL202" s="457">
        <v>0</v>
      </c>
      <c r="AM202" s="457">
        <v>0</v>
      </c>
      <c r="AN202" s="457">
        <v>0</v>
      </c>
      <c r="AO202" s="457">
        <v>0</v>
      </c>
      <c r="AP202" s="457">
        <v>0</v>
      </c>
      <c r="AQ202" s="457">
        <v>0</v>
      </c>
      <c r="AR202" s="457">
        <v>0</v>
      </c>
      <c r="AS202" s="457">
        <v>0</v>
      </c>
      <c r="AT202" s="457">
        <v>0</v>
      </c>
      <c r="AU202" s="457">
        <v>0</v>
      </c>
      <c r="AV202" s="457">
        <v>0</v>
      </c>
      <c r="AW202" s="457">
        <v>0</v>
      </c>
      <c r="AX202" s="457">
        <v>0</v>
      </c>
      <c r="AY202" s="457">
        <v>0</v>
      </c>
      <c r="AZ202" s="457">
        <v>0</v>
      </c>
      <c r="BA202" s="457">
        <v>1307134</v>
      </c>
      <c r="BB202" s="457">
        <v>1100969</v>
      </c>
      <c r="BC202" s="457">
        <v>206165</v>
      </c>
      <c r="BD202" s="457">
        <v>0</v>
      </c>
      <c r="BE202" s="457">
        <v>0</v>
      </c>
      <c r="BF202" s="457">
        <v>0</v>
      </c>
      <c r="BG202" s="457">
        <v>26676</v>
      </c>
      <c r="BH202" s="457">
        <v>22469</v>
      </c>
      <c r="BI202" s="457">
        <v>4207</v>
      </c>
    </row>
    <row r="203" spans="1:61" ht="12.75" x14ac:dyDescent="0.2">
      <c r="A203" s="446">
        <v>196</v>
      </c>
      <c r="B203" s="447" t="s">
        <v>275</v>
      </c>
      <c r="C203" s="448" t="s">
        <v>1093</v>
      </c>
      <c r="D203" s="449" t="s">
        <v>1094</v>
      </c>
      <c r="E203" s="450" t="s">
        <v>274</v>
      </c>
      <c r="F203" s="457">
        <v>84155025</v>
      </c>
      <c r="G203" s="457">
        <v>0</v>
      </c>
      <c r="H203" s="457">
        <v>0</v>
      </c>
      <c r="I203" s="457">
        <v>84155025</v>
      </c>
      <c r="J203" s="457">
        <v>84468734</v>
      </c>
      <c r="K203" s="457">
        <v>0</v>
      </c>
      <c r="L203" s="457">
        <v>0</v>
      </c>
      <c r="M203" s="457">
        <v>84468734</v>
      </c>
      <c r="N203" s="457">
        <v>-313709</v>
      </c>
      <c r="O203" s="457">
        <v>0</v>
      </c>
      <c r="P203" s="457">
        <v>0</v>
      </c>
      <c r="Q203" s="457">
        <v>-313709</v>
      </c>
      <c r="R203" s="457">
        <v>-3347</v>
      </c>
      <c r="S203" s="457">
        <v>0</v>
      </c>
      <c r="T203" s="457">
        <v>0</v>
      </c>
      <c r="U203" s="457">
        <v>-3347</v>
      </c>
      <c r="V203" s="457">
        <v>-310362</v>
      </c>
      <c r="W203" s="457">
        <v>0</v>
      </c>
      <c r="X203" s="457">
        <v>0</v>
      </c>
      <c r="Y203" s="457">
        <v>-310362</v>
      </c>
      <c r="Z203" s="457">
        <v>220001</v>
      </c>
      <c r="AA203" s="457">
        <v>220001</v>
      </c>
      <c r="AB203" s="457">
        <v>0</v>
      </c>
      <c r="AC203" s="457">
        <v>0</v>
      </c>
      <c r="AD203" s="457">
        <v>0</v>
      </c>
      <c r="AE203" s="457">
        <v>0</v>
      </c>
      <c r="AF203" s="457">
        <v>0</v>
      </c>
      <c r="AG203" s="457">
        <v>0</v>
      </c>
      <c r="AH203" s="457">
        <v>0</v>
      </c>
      <c r="AI203" s="457">
        <v>0</v>
      </c>
      <c r="AJ203" s="457">
        <v>0</v>
      </c>
      <c r="AK203" s="457">
        <v>0</v>
      </c>
      <c r="AL203" s="457">
        <v>0</v>
      </c>
      <c r="AM203" s="457">
        <v>0</v>
      </c>
      <c r="AN203" s="457">
        <v>0</v>
      </c>
      <c r="AO203" s="457">
        <v>0</v>
      </c>
      <c r="AP203" s="457">
        <v>0</v>
      </c>
      <c r="AQ203" s="457">
        <v>0</v>
      </c>
      <c r="AR203" s="457">
        <v>0</v>
      </c>
      <c r="AS203" s="457">
        <v>0</v>
      </c>
      <c r="AT203" s="457">
        <v>0</v>
      </c>
      <c r="AU203" s="457">
        <v>0</v>
      </c>
      <c r="AV203" s="457">
        <v>0</v>
      </c>
      <c r="AW203" s="457">
        <v>0</v>
      </c>
      <c r="AX203" s="457">
        <v>0</v>
      </c>
      <c r="AY203" s="457">
        <v>0</v>
      </c>
      <c r="AZ203" s="457">
        <v>0</v>
      </c>
      <c r="BA203" s="457">
        <v>218294</v>
      </c>
      <c r="BB203" s="457">
        <v>189954</v>
      </c>
      <c r="BC203" s="457">
        <v>28340</v>
      </c>
      <c r="BD203" s="457">
        <v>54574</v>
      </c>
      <c r="BE203" s="457">
        <v>47489</v>
      </c>
      <c r="BF203" s="457">
        <v>7085</v>
      </c>
      <c r="BG203" s="457">
        <v>0</v>
      </c>
      <c r="BH203" s="457">
        <v>0</v>
      </c>
      <c r="BI203" s="457">
        <v>0</v>
      </c>
    </row>
    <row r="204" spans="1:61" ht="12.75" x14ac:dyDescent="0.2">
      <c r="A204" s="446">
        <v>197</v>
      </c>
      <c r="B204" s="447" t="s">
        <v>277</v>
      </c>
      <c r="C204" s="448" t="s">
        <v>1093</v>
      </c>
      <c r="D204" s="449" t="s">
        <v>1095</v>
      </c>
      <c r="E204" s="450" t="s">
        <v>276</v>
      </c>
      <c r="F204" s="457">
        <v>23856803</v>
      </c>
      <c r="G204" s="457">
        <v>0</v>
      </c>
      <c r="H204" s="457">
        <v>0</v>
      </c>
      <c r="I204" s="457">
        <v>23856803</v>
      </c>
      <c r="J204" s="457">
        <v>23791700</v>
      </c>
      <c r="K204" s="457">
        <v>0</v>
      </c>
      <c r="L204" s="457">
        <v>0</v>
      </c>
      <c r="M204" s="457">
        <v>23791700</v>
      </c>
      <c r="N204" s="457">
        <v>65103</v>
      </c>
      <c r="O204" s="457">
        <v>0</v>
      </c>
      <c r="P204" s="457">
        <v>0</v>
      </c>
      <c r="Q204" s="457">
        <v>65103</v>
      </c>
      <c r="R204" s="457">
        <v>176522</v>
      </c>
      <c r="S204" s="457">
        <v>0</v>
      </c>
      <c r="T204" s="457">
        <v>0</v>
      </c>
      <c r="U204" s="457">
        <v>176522</v>
      </c>
      <c r="V204" s="457">
        <v>-111419</v>
      </c>
      <c r="W204" s="457">
        <v>0</v>
      </c>
      <c r="X204" s="457">
        <v>0</v>
      </c>
      <c r="Y204" s="457">
        <v>-111419</v>
      </c>
      <c r="Z204" s="457">
        <v>137523</v>
      </c>
      <c r="AA204" s="457">
        <v>137523</v>
      </c>
      <c r="AB204" s="457">
        <v>0</v>
      </c>
      <c r="AC204" s="457">
        <v>0</v>
      </c>
      <c r="AD204" s="457">
        <v>0</v>
      </c>
      <c r="AE204" s="457">
        <v>0</v>
      </c>
      <c r="AF204" s="457">
        <v>0</v>
      </c>
      <c r="AG204" s="457">
        <v>0</v>
      </c>
      <c r="AH204" s="457">
        <v>0</v>
      </c>
      <c r="AI204" s="457">
        <v>0</v>
      </c>
      <c r="AJ204" s="457">
        <v>0</v>
      </c>
      <c r="AK204" s="457">
        <v>0</v>
      </c>
      <c r="AL204" s="457">
        <v>0</v>
      </c>
      <c r="AM204" s="457">
        <v>0</v>
      </c>
      <c r="AN204" s="457">
        <v>0</v>
      </c>
      <c r="AO204" s="457">
        <v>0</v>
      </c>
      <c r="AP204" s="457">
        <v>0</v>
      </c>
      <c r="AQ204" s="457">
        <v>0</v>
      </c>
      <c r="AR204" s="457">
        <v>0</v>
      </c>
      <c r="AS204" s="457">
        <v>0</v>
      </c>
      <c r="AT204" s="457">
        <v>0</v>
      </c>
      <c r="AU204" s="457">
        <v>0</v>
      </c>
      <c r="AV204" s="457">
        <v>0</v>
      </c>
      <c r="AW204" s="457">
        <v>0</v>
      </c>
      <c r="AX204" s="457">
        <v>0</v>
      </c>
      <c r="AY204" s="457">
        <v>0</v>
      </c>
      <c r="AZ204" s="457">
        <v>0</v>
      </c>
      <c r="BA204" s="457">
        <v>497577</v>
      </c>
      <c r="BB204" s="457">
        <v>408770</v>
      </c>
      <c r="BC204" s="457">
        <v>88807</v>
      </c>
      <c r="BD204" s="457">
        <v>111955</v>
      </c>
      <c r="BE204" s="457">
        <v>91973</v>
      </c>
      <c r="BF204" s="457">
        <v>19982</v>
      </c>
      <c r="BG204" s="457">
        <v>12439</v>
      </c>
      <c r="BH204" s="457">
        <v>10219</v>
      </c>
      <c r="BI204" s="457">
        <v>2220</v>
      </c>
    </row>
    <row r="205" spans="1:61" ht="12.75" x14ac:dyDescent="0.2">
      <c r="A205" s="446">
        <v>198</v>
      </c>
      <c r="B205" s="447" t="s">
        <v>279</v>
      </c>
      <c r="C205" s="448" t="s">
        <v>794</v>
      </c>
      <c r="D205" s="449" t="s">
        <v>1097</v>
      </c>
      <c r="E205" s="450" t="s">
        <v>735</v>
      </c>
      <c r="F205" s="457">
        <v>93313248</v>
      </c>
      <c r="G205" s="457">
        <v>0</v>
      </c>
      <c r="H205" s="457">
        <v>0</v>
      </c>
      <c r="I205" s="457">
        <v>93313248</v>
      </c>
      <c r="J205" s="457">
        <v>92150129</v>
      </c>
      <c r="K205" s="457">
        <v>0</v>
      </c>
      <c r="L205" s="457">
        <v>0</v>
      </c>
      <c r="M205" s="457">
        <v>92150129</v>
      </c>
      <c r="N205" s="457">
        <v>1163119</v>
      </c>
      <c r="O205" s="457">
        <v>0</v>
      </c>
      <c r="P205" s="457">
        <v>0</v>
      </c>
      <c r="Q205" s="457">
        <v>1163119</v>
      </c>
      <c r="R205" s="457">
        <v>1469232</v>
      </c>
      <c r="S205" s="457">
        <v>0</v>
      </c>
      <c r="T205" s="457">
        <v>0</v>
      </c>
      <c r="U205" s="457">
        <v>1469232</v>
      </c>
      <c r="V205" s="457">
        <v>-306113</v>
      </c>
      <c r="W205" s="457">
        <v>0</v>
      </c>
      <c r="X205" s="457">
        <v>0</v>
      </c>
      <c r="Y205" s="457">
        <v>-306113</v>
      </c>
      <c r="Z205" s="457">
        <v>275537</v>
      </c>
      <c r="AA205" s="457">
        <v>275537</v>
      </c>
      <c r="AB205" s="457">
        <v>0</v>
      </c>
      <c r="AC205" s="457">
        <v>0</v>
      </c>
      <c r="AD205" s="457">
        <v>0</v>
      </c>
      <c r="AE205" s="457">
        <v>0</v>
      </c>
      <c r="AF205" s="457">
        <v>0</v>
      </c>
      <c r="AG205" s="457">
        <v>0</v>
      </c>
      <c r="AH205" s="457">
        <v>0</v>
      </c>
      <c r="AI205" s="457">
        <v>0</v>
      </c>
      <c r="AJ205" s="457">
        <v>0</v>
      </c>
      <c r="AK205" s="457">
        <v>0</v>
      </c>
      <c r="AL205" s="457">
        <v>0</v>
      </c>
      <c r="AM205" s="457">
        <v>0</v>
      </c>
      <c r="AN205" s="457">
        <v>0</v>
      </c>
      <c r="AO205" s="457">
        <v>0</v>
      </c>
      <c r="AP205" s="457">
        <v>0</v>
      </c>
      <c r="AQ205" s="457">
        <v>0</v>
      </c>
      <c r="AR205" s="457">
        <v>0</v>
      </c>
      <c r="AS205" s="457">
        <v>0</v>
      </c>
      <c r="AT205" s="457">
        <v>0</v>
      </c>
      <c r="AU205" s="457">
        <v>0</v>
      </c>
      <c r="AV205" s="457">
        <v>0</v>
      </c>
      <c r="AW205" s="457">
        <v>0</v>
      </c>
      <c r="AX205" s="457">
        <v>0</v>
      </c>
      <c r="AY205" s="457">
        <v>0</v>
      </c>
      <c r="AZ205" s="457">
        <v>0</v>
      </c>
      <c r="BA205" s="457">
        <v>696521</v>
      </c>
      <c r="BB205" s="457">
        <v>574236</v>
      </c>
      <c r="BC205" s="457">
        <v>122285</v>
      </c>
      <c r="BD205" s="457">
        <v>0</v>
      </c>
      <c r="BE205" s="457">
        <v>0</v>
      </c>
      <c r="BF205" s="457">
        <v>0</v>
      </c>
      <c r="BG205" s="457">
        <v>14215</v>
      </c>
      <c r="BH205" s="457">
        <v>11719</v>
      </c>
      <c r="BI205" s="457">
        <v>2496</v>
      </c>
    </row>
    <row r="206" spans="1:61" ht="12.75" x14ac:dyDescent="0.2">
      <c r="A206" s="446">
        <v>199</v>
      </c>
      <c r="B206" s="447" t="s">
        <v>281</v>
      </c>
      <c r="C206" s="448" t="s">
        <v>794</v>
      </c>
      <c r="D206" s="449" t="s">
        <v>1102</v>
      </c>
      <c r="E206" s="450" t="s">
        <v>736</v>
      </c>
      <c r="F206" s="457">
        <v>101775817</v>
      </c>
      <c r="G206" s="457">
        <v>0</v>
      </c>
      <c r="H206" s="457">
        <v>0</v>
      </c>
      <c r="I206" s="457">
        <v>101775817</v>
      </c>
      <c r="J206" s="457">
        <v>102398709</v>
      </c>
      <c r="K206" s="457">
        <v>0</v>
      </c>
      <c r="L206" s="457">
        <v>0</v>
      </c>
      <c r="M206" s="457">
        <v>102398709</v>
      </c>
      <c r="N206" s="457">
        <v>-622892</v>
      </c>
      <c r="O206" s="457">
        <v>0</v>
      </c>
      <c r="P206" s="457">
        <v>0</v>
      </c>
      <c r="Q206" s="457">
        <v>-622892</v>
      </c>
      <c r="R206" s="457">
        <v>-132445</v>
      </c>
      <c r="S206" s="457">
        <v>0</v>
      </c>
      <c r="T206" s="457">
        <v>0</v>
      </c>
      <c r="U206" s="457">
        <v>-132445</v>
      </c>
      <c r="V206" s="457">
        <v>-490447</v>
      </c>
      <c r="W206" s="457">
        <v>0</v>
      </c>
      <c r="X206" s="457">
        <v>0</v>
      </c>
      <c r="Y206" s="457">
        <v>-490447</v>
      </c>
      <c r="Z206" s="457">
        <v>310279</v>
      </c>
      <c r="AA206" s="457">
        <v>310279</v>
      </c>
      <c r="AB206" s="457">
        <v>0</v>
      </c>
      <c r="AC206" s="457">
        <v>0</v>
      </c>
      <c r="AD206" s="457">
        <v>0</v>
      </c>
      <c r="AE206" s="457">
        <v>0</v>
      </c>
      <c r="AF206" s="457">
        <v>0</v>
      </c>
      <c r="AG206" s="457">
        <v>0</v>
      </c>
      <c r="AH206" s="457">
        <v>0</v>
      </c>
      <c r="AI206" s="457">
        <v>0</v>
      </c>
      <c r="AJ206" s="457">
        <v>0</v>
      </c>
      <c r="AK206" s="457">
        <v>0</v>
      </c>
      <c r="AL206" s="457">
        <v>0</v>
      </c>
      <c r="AM206" s="457">
        <v>0</v>
      </c>
      <c r="AN206" s="457">
        <v>0</v>
      </c>
      <c r="AO206" s="457">
        <v>0</v>
      </c>
      <c r="AP206" s="457">
        <v>0</v>
      </c>
      <c r="AQ206" s="457">
        <v>0</v>
      </c>
      <c r="AR206" s="457">
        <v>0</v>
      </c>
      <c r="AS206" s="457">
        <v>0</v>
      </c>
      <c r="AT206" s="457">
        <v>0</v>
      </c>
      <c r="AU206" s="457">
        <v>0</v>
      </c>
      <c r="AV206" s="457">
        <v>0</v>
      </c>
      <c r="AW206" s="457">
        <v>0</v>
      </c>
      <c r="AX206" s="457">
        <v>0</v>
      </c>
      <c r="AY206" s="457">
        <v>0</v>
      </c>
      <c r="AZ206" s="457">
        <v>0</v>
      </c>
      <c r="BA206" s="457">
        <v>1004315</v>
      </c>
      <c r="BB206" s="457">
        <v>846574</v>
      </c>
      <c r="BC206" s="457">
        <v>157741</v>
      </c>
      <c r="BD206" s="457">
        <v>0</v>
      </c>
      <c r="BE206" s="457">
        <v>0</v>
      </c>
      <c r="BF206" s="457">
        <v>0</v>
      </c>
      <c r="BG206" s="457">
        <v>20496</v>
      </c>
      <c r="BH206" s="457">
        <v>17277</v>
      </c>
      <c r="BI206" s="457">
        <v>3219</v>
      </c>
    </row>
    <row r="207" spans="1:61" ht="12.75" x14ac:dyDescent="0.2">
      <c r="A207" s="446">
        <v>200</v>
      </c>
      <c r="B207" s="447" t="s">
        <v>283</v>
      </c>
      <c r="C207" s="448" t="s">
        <v>794</v>
      </c>
      <c r="D207" s="449" t="s">
        <v>1102</v>
      </c>
      <c r="E207" s="450" t="s">
        <v>737</v>
      </c>
      <c r="F207" s="457">
        <v>68976987.799999997</v>
      </c>
      <c r="G207" s="457">
        <v>0</v>
      </c>
      <c r="H207" s="457">
        <v>0</v>
      </c>
      <c r="I207" s="457">
        <v>68976987.799999997</v>
      </c>
      <c r="J207" s="457">
        <v>69589024.900000006</v>
      </c>
      <c r="K207" s="457">
        <v>0</v>
      </c>
      <c r="L207" s="457">
        <v>0</v>
      </c>
      <c r="M207" s="457">
        <v>69589024.900000006</v>
      </c>
      <c r="N207" s="457">
        <v>-612037.14</v>
      </c>
      <c r="O207" s="457">
        <v>0</v>
      </c>
      <c r="P207" s="457">
        <v>0</v>
      </c>
      <c r="Q207" s="457">
        <v>-612037.14</v>
      </c>
      <c r="R207" s="457">
        <v>40741</v>
      </c>
      <c r="S207" s="457">
        <v>0</v>
      </c>
      <c r="T207" s="457">
        <v>0</v>
      </c>
      <c r="U207" s="457">
        <v>40741</v>
      </c>
      <c r="V207" s="457">
        <v>-652778</v>
      </c>
      <c r="W207" s="457">
        <v>0</v>
      </c>
      <c r="X207" s="457">
        <v>0</v>
      </c>
      <c r="Y207" s="457">
        <v>-652778</v>
      </c>
      <c r="Z207" s="457">
        <v>239641</v>
      </c>
      <c r="AA207" s="457">
        <v>239641</v>
      </c>
      <c r="AB207" s="457">
        <v>0</v>
      </c>
      <c r="AC207" s="457">
        <v>0</v>
      </c>
      <c r="AD207" s="457">
        <v>0</v>
      </c>
      <c r="AE207" s="457">
        <v>0</v>
      </c>
      <c r="AF207" s="457">
        <v>0</v>
      </c>
      <c r="AG207" s="457">
        <v>0</v>
      </c>
      <c r="AH207" s="457">
        <v>0</v>
      </c>
      <c r="AI207" s="457">
        <v>0</v>
      </c>
      <c r="AJ207" s="457">
        <v>0</v>
      </c>
      <c r="AK207" s="457">
        <v>0</v>
      </c>
      <c r="AL207" s="457">
        <v>0</v>
      </c>
      <c r="AM207" s="457">
        <v>0</v>
      </c>
      <c r="AN207" s="457">
        <v>0</v>
      </c>
      <c r="AO207" s="457">
        <v>0</v>
      </c>
      <c r="AP207" s="457">
        <v>0</v>
      </c>
      <c r="AQ207" s="457">
        <v>0</v>
      </c>
      <c r="AR207" s="457">
        <v>0</v>
      </c>
      <c r="AS207" s="457">
        <v>0</v>
      </c>
      <c r="AT207" s="457">
        <v>0</v>
      </c>
      <c r="AU207" s="457">
        <v>0</v>
      </c>
      <c r="AV207" s="457">
        <v>0</v>
      </c>
      <c r="AW207" s="457">
        <v>0</v>
      </c>
      <c r="AX207" s="457">
        <v>0</v>
      </c>
      <c r="AY207" s="457">
        <v>0</v>
      </c>
      <c r="AZ207" s="457">
        <v>0</v>
      </c>
      <c r="BA207" s="457">
        <v>699675</v>
      </c>
      <c r="BB207" s="457">
        <v>598386</v>
      </c>
      <c r="BC207" s="457">
        <v>101289</v>
      </c>
      <c r="BD207" s="457">
        <v>0</v>
      </c>
      <c r="BE207" s="457">
        <v>0</v>
      </c>
      <c r="BF207" s="457">
        <v>0</v>
      </c>
      <c r="BG207" s="457">
        <v>14279</v>
      </c>
      <c r="BH207" s="457">
        <v>12212</v>
      </c>
      <c r="BI207" s="457">
        <v>2067</v>
      </c>
    </row>
    <row r="208" spans="1:61" ht="12.75" x14ac:dyDescent="0.2">
      <c r="A208" s="446">
        <v>201</v>
      </c>
      <c r="B208" s="447" t="s">
        <v>285</v>
      </c>
      <c r="C208" s="448" t="s">
        <v>794</v>
      </c>
      <c r="D208" s="449" t="s">
        <v>1094</v>
      </c>
      <c r="E208" s="450" t="s">
        <v>738</v>
      </c>
      <c r="F208" s="457">
        <v>78535381</v>
      </c>
      <c r="G208" s="457">
        <v>0</v>
      </c>
      <c r="H208" s="457">
        <v>0</v>
      </c>
      <c r="I208" s="457">
        <v>78535381</v>
      </c>
      <c r="J208" s="457">
        <v>81049825</v>
      </c>
      <c r="K208" s="457">
        <v>0</v>
      </c>
      <c r="L208" s="457">
        <v>0</v>
      </c>
      <c r="M208" s="457">
        <v>81049825</v>
      </c>
      <c r="N208" s="457">
        <v>-2514444</v>
      </c>
      <c r="O208" s="457">
        <v>0</v>
      </c>
      <c r="P208" s="457">
        <v>0</v>
      </c>
      <c r="Q208" s="457">
        <v>-2514444</v>
      </c>
      <c r="R208" s="457">
        <v>46246</v>
      </c>
      <c r="S208" s="457">
        <v>0</v>
      </c>
      <c r="T208" s="457">
        <v>0</v>
      </c>
      <c r="U208" s="457">
        <v>46246</v>
      </c>
      <c r="V208" s="457">
        <v>-2560690</v>
      </c>
      <c r="W208" s="457">
        <v>0</v>
      </c>
      <c r="X208" s="457">
        <v>0</v>
      </c>
      <c r="Y208" s="457">
        <v>-2560690</v>
      </c>
      <c r="Z208" s="457">
        <v>280689</v>
      </c>
      <c r="AA208" s="457">
        <v>280689</v>
      </c>
      <c r="AB208" s="457">
        <v>0</v>
      </c>
      <c r="AC208" s="457">
        <v>0</v>
      </c>
      <c r="AD208" s="457">
        <v>0</v>
      </c>
      <c r="AE208" s="457">
        <v>0</v>
      </c>
      <c r="AF208" s="457">
        <v>0</v>
      </c>
      <c r="AG208" s="457">
        <v>0</v>
      </c>
      <c r="AH208" s="457">
        <v>0</v>
      </c>
      <c r="AI208" s="457">
        <v>0</v>
      </c>
      <c r="AJ208" s="457">
        <v>0</v>
      </c>
      <c r="AK208" s="457">
        <v>0</v>
      </c>
      <c r="AL208" s="457">
        <v>0</v>
      </c>
      <c r="AM208" s="457">
        <v>0</v>
      </c>
      <c r="AN208" s="457">
        <v>0</v>
      </c>
      <c r="AO208" s="457">
        <v>0</v>
      </c>
      <c r="AP208" s="457">
        <v>0</v>
      </c>
      <c r="AQ208" s="457">
        <v>0</v>
      </c>
      <c r="AR208" s="457">
        <v>0</v>
      </c>
      <c r="AS208" s="457">
        <v>0</v>
      </c>
      <c r="AT208" s="457">
        <v>0</v>
      </c>
      <c r="AU208" s="457">
        <v>0</v>
      </c>
      <c r="AV208" s="457">
        <v>0</v>
      </c>
      <c r="AW208" s="457">
        <v>0</v>
      </c>
      <c r="AX208" s="457">
        <v>0</v>
      </c>
      <c r="AY208" s="457">
        <v>0</v>
      </c>
      <c r="AZ208" s="457">
        <v>0</v>
      </c>
      <c r="BA208" s="457">
        <v>807245</v>
      </c>
      <c r="BB208" s="457">
        <v>689011</v>
      </c>
      <c r="BC208" s="457">
        <v>118234</v>
      </c>
      <c r="BD208" s="457">
        <v>0</v>
      </c>
      <c r="BE208" s="457">
        <v>0</v>
      </c>
      <c r="BF208" s="457">
        <v>0</v>
      </c>
      <c r="BG208" s="457">
        <v>16474</v>
      </c>
      <c r="BH208" s="457">
        <v>14061</v>
      </c>
      <c r="BI208" s="457">
        <v>2413</v>
      </c>
    </row>
    <row r="209" spans="1:61" ht="12.75" x14ac:dyDescent="0.2">
      <c r="A209" s="446">
        <v>202</v>
      </c>
      <c r="B209" s="447" t="s">
        <v>287</v>
      </c>
      <c r="C209" s="448" t="s">
        <v>1093</v>
      </c>
      <c r="D209" s="449" t="s">
        <v>1095</v>
      </c>
      <c r="E209" s="450" t="s">
        <v>286</v>
      </c>
      <c r="F209" s="457">
        <v>65511562.200000003</v>
      </c>
      <c r="G209" s="457">
        <v>0</v>
      </c>
      <c r="H209" s="457">
        <v>0</v>
      </c>
      <c r="I209" s="457">
        <v>65511562.200000003</v>
      </c>
      <c r="J209" s="457">
        <v>65964697.200000003</v>
      </c>
      <c r="K209" s="457">
        <v>0</v>
      </c>
      <c r="L209" s="457">
        <v>0</v>
      </c>
      <c r="M209" s="457">
        <v>65964697.200000003</v>
      </c>
      <c r="N209" s="457">
        <v>-453135</v>
      </c>
      <c r="O209" s="457">
        <v>0</v>
      </c>
      <c r="P209" s="457">
        <v>0</v>
      </c>
      <c r="Q209" s="457">
        <v>-453135</v>
      </c>
      <c r="R209" s="457">
        <v>310227</v>
      </c>
      <c r="S209" s="457">
        <v>0</v>
      </c>
      <c r="T209" s="457">
        <v>0</v>
      </c>
      <c r="U209" s="457">
        <v>310227</v>
      </c>
      <c r="V209" s="457">
        <v>-763362</v>
      </c>
      <c r="W209" s="457">
        <v>0</v>
      </c>
      <c r="X209" s="457">
        <v>0</v>
      </c>
      <c r="Y209" s="457">
        <v>-763362</v>
      </c>
      <c r="Z209" s="457">
        <v>239401</v>
      </c>
      <c r="AA209" s="457">
        <v>239401</v>
      </c>
      <c r="AB209" s="457">
        <v>0</v>
      </c>
      <c r="AC209" s="457">
        <v>0</v>
      </c>
      <c r="AD209" s="457">
        <v>0</v>
      </c>
      <c r="AE209" s="457">
        <v>0</v>
      </c>
      <c r="AF209" s="457">
        <v>0</v>
      </c>
      <c r="AG209" s="457">
        <v>0</v>
      </c>
      <c r="AH209" s="457">
        <v>0</v>
      </c>
      <c r="AI209" s="457">
        <v>0</v>
      </c>
      <c r="AJ209" s="457">
        <v>0</v>
      </c>
      <c r="AK209" s="457">
        <v>0</v>
      </c>
      <c r="AL209" s="457">
        <v>0</v>
      </c>
      <c r="AM209" s="457">
        <v>0</v>
      </c>
      <c r="AN209" s="457">
        <v>0</v>
      </c>
      <c r="AO209" s="457">
        <v>0</v>
      </c>
      <c r="AP209" s="457">
        <v>0</v>
      </c>
      <c r="AQ209" s="457">
        <v>0</v>
      </c>
      <c r="AR209" s="457">
        <v>0</v>
      </c>
      <c r="AS209" s="457">
        <v>0</v>
      </c>
      <c r="AT209" s="457">
        <v>0</v>
      </c>
      <c r="AU209" s="457">
        <v>0</v>
      </c>
      <c r="AV209" s="457">
        <v>0</v>
      </c>
      <c r="AW209" s="457">
        <v>0</v>
      </c>
      <c r="AX209" s="457">
        <v>0</v>
      </c>
      <c r="AY209" s="457">
        <v>0</v>
      </c>
      <c r="AZ209" s="457">
        <v>0</v>
      </c>
      <c r="BA209" s="457">
        <v>624178</v>
      </c>
      <c r="BB209" s="457">
        <v>535466</v>
      </c>
      <c r="BC209" s="457">
        <v>88712</v>
      </c>
      <c r="BD209" s="457">
        <v>140440</v>
      </c>
      <c r="BE209" s="457">
        <v>120480</v>
      </c>
      <c r="BF209" s="457">
        <v>19960</v>
      </c>
      <c r="BG209" s="457">
        <v>15604</v>
      </c>
      <c r="BH209" s="457">
        <v>13387</v>
      </c>
      <c r="BI209" s="457">
        <v>2217</v>
      </c>
    </row>
    <row r="210" spans="1:61" ht="12.75" x14ac:dyDescent="0.2">
      <c r="A210" s="446">
        <v>203</v>
      </c>
      <c r="B210" s="447" t="s">
        <v>289</v>
      </c>
      <c r="C210" s="448" t="s">
        <v>1093</v>
      </c>
      <c r="D210" s="449" t="s">
        <v>1102</v>
      </c>
      <c r="E210" s="450" t="s">
        <v>288</v>
      </c>
      <c r="F210" s="457">
        <v>17975443.100000001</v>
      </c>
      <c r="G210" s="457">
        <v>0</v>
      </c>
      <c r="H210" s="457">
        <v>0</v>
      </c>
      <c r="I210" s="457">
        <v>17975443.100000001</v>
      </c>
      <c r="J210" s="457">
        <v>17829912</v>
      </c>
      <c r="K210" s="457">
        <v>0</v>
      </c>
      <c r="L210" s="457">
        <v>0</v>
      </c>
      <c r="M210" s="457">
        <v>17829912</v>
      </c>
      <c r="N210" s="457">
        <v>145531.19</v>
      </c>
      <c r="O210" s="457">
        <v>0</v>
      </c>
      <c r="P210" s="457">
        <v>0</v>
      </c>
      <c r="Q210" s="457">
        <v>145531.19</v>
      </c>
      <c r="R210" s="457">
        <v>-63241</v>
      </c>
      <c r="S210" s="457">
        <v>0</v>
      </c>
      <c r="T210" s="457">
        <v>0</v>
      </c>
      <c r="U210" s="457">
        <v>-63241</v>
      </c>
      <c r="V210" s="457">
        <v>208772</v>
      </c>
      <c r="W210" s="457">
        <v>0</v>
      </c>
      <c r="X210" s="457">
        <v>0</v>
      </c>
      <c r="Y210" s="457">
        <v>208772</v>
      </c>
      <c r="Z210" s="457">
        <v>93946</v>
      </c>
      <c r="AA210" s="457">
        <v>93946</v>
      </c>
      <c r="AB210" s="457">
        <v>0</v>
      </c>
      <c r="AC210" s="457">
        <v>0</v>
      </c>
      <c r="AD210" s="457">
        <v>0</v>
      </c>
      <c r="AE210" s="457">
        <v>0</v>
      </c>
      <c r="AF210" s="457">
        <v>0</v>
      </c>
      <c r="AG210" s="457">
        <v>0</v>
      </c>
      <c r="AH210" s="457">
        <v>0</v>
      </c>
      <c r="AI210" s="457">
        <v>0</v>
      </c>
      <c r="AJ210" s="457">
        <v>0</v>
      </c>
      <c r="AK210" s="457">
        <v>0</v>
      </c>
      <c r="AL210" s="457">
        <v>0</v>
      </c>
      <c r="AM210" s="457">
        <v>0</v>
      </c>
      <c r="AN210" s="457">
        <v>0</v>
      </c>
      <c r="AO210" s="457">
        <v>0</v>
      </c>
      <c r="AP210" s="457">
        <v>0</v>
      </c>
      <c r="AQ210" s="457">
        <v>0</v>
      </c>
      <c r="AR210" s="457">
        <v>0</v>
      </c>
      <c r="AS210" s="457">
        <v>0</v>
      </c>
      <c r="AT210" s="457">
        <v>0</v>
      </c>
      <c r="AU210" s="457">
        <v>0</v>
      </c>
      <c r="AV210" s="457">
        <v>0</v>
      </c>
      <c r="AW210" s="457">
        <v>0</v>
      </c>
      <c r="AX210" s="457">
        <v>0</v>
      </c>
      <c r="AY210" s="457">
        <v>0</v>
      </c>
      <c r="AZ210" s="457">
        <v>0</v>
      </c>
      <c r="BA210" s="457">
        <v>318107</v>
      </c>
      <c r="BB210" s="457">
        <v>264399</v>
      </c>
      <c r="BC210" s="457">
        <v>53708</v>
      </c>
      <c r="BD210" s="457">
        <v>71574</v>
      </c>
      <c r="BE210" s="457">
        <v>59490</v>
      </c>
      <c r="BF210" s="457">
        <v>12084</v>
      </c>
      <c r="BG210" s="457">
        <v>7953</v>
      </c>
      <c r="BH210" s="457">
        <v>6610</v>
      </c>
      <c r="BI210" s="457">
        <v>1343</v>
      </c>
    </row>
    <row r="211" spans="1:61" ht="12.75" x14ac:dyDescent="0.2">
      <c r="A211" s="446">
        <v>204</v>
      </c>
      <c r="B211" s="447" t="s">
        <v>291</v>
      </c>
      <c r="C211" s="448" t="s">
        <v>794</v>
      </c>
      <c r="D211" s="449" t="s">
        <v>1094</v>
      </c>
      <c r="E211" s="450" t="s">
        <v>739</v>
      </c>
      <c r="F211" s="457">
        <v>105712328</v>
      </c>
      <c r="G211" s="457">
        <v>0</v>
      </c>
      <c r="H211" s="457">
        <v>0</v>
      </c>
      <c r="I211" s="457">
        <v>105712328</v>
      </c>
      <c r="J211" s="457">
        <v>105366133</v>
      </c>
      <c r="K211" s="457">
        <v>0</v>
      </c>
      <c r="L211" s="457">
        <v>0</v>
      </c>
      <c r="M211" s="457">
        <v>105366133</v>
      </c>
      <c r="N211" s="457">
        <v>346195.39</v>
      </c>
      <c r="O211" s="457">
        <v>0</v>
      </c>
      <c r="P211" s="457">
        <v>0</v>
      </c>
      <c r="Q211" s="457">
        <v>346195.39</v>
      </c>
      <c r="R211" s="457">
        <v>424990</v>
      </c>
      <c r="S211" s="457">
        <v>0</v>
      </c>
      <c r="T211" s="457">
        <v>0</v>
      </c>
      <c r="U211" s="457">
        <v>424990</v>
      </c>
      <c r="V211" s="457">
        <v>-78795</v>
      </c>
      <c r="W211" s="457">
        <v>0</v>
      </c>
      <c r="X211" s="457">
        <v>0</v>
      </c>
      <c r="Y211" s="457">
        <v>-78795</v>
      </c>
      <c r="Z211" s="457">
        <v>269167</v>
      </c>
      <c r="AA211" s="457">
        <v>269167</v>
      </c>
      <c r="AB211" s="457">
        <v>0</v>
      </c>
      <c r="AC211" s="457">
        <v>0</v>
      </c>
      <c r="AD211" s="457">
        <v>0</v>
      </c>
      <c r="AE211" s="457">
        <v>0</v>
      </c>
      <c r="AF211" s="457">
        <v>0</v>
      </c>
      <c r="AG211" s="457">
        <v>0</v>
      </c>
      <c r="AH211" s="457">
        <v>0</v>
      </c>
      <c r="AI211" s="457">
        <v>0</v>
      </c>
      <c r="AJ211" s="457">
        <v>0</v>
      </c>
      <c r="AK211" s="457">
        <v>0</v>
      </c>
      <c r="AL211" s="457">
        <v>0</v>
      </c>
      <c r="AM211" s="457">
        <v>0</v>
      </c>
      <c r="AN211" s="457">
        <v>0</v>
      </c>
      <c r="AO211" s="457">
        <v>0</v>
      </c>
      <c r="AP211" s="457">
        <v>0</v>
      </c>
      <c r="AQ211" s="457">
        <v>0</v>
      </c>
      <c r="AR211" s="457">
        <v>0</v>
      </c>
      <c r="AS211" s="457">
        <v>0</v>
      </c>
      <c r="AT211" s="457">
        <v>0</v>
      </c>
      <c r="AU211" s="457">
        <v>0</v>
      </c>
      <c r="AV211" s="457">
        <v>0</v>
      </c>
      <c r="AW211" s="457">
        <v>0</v>
      </c>
      <c r="AX211" s="457">
        <v>0</v>
      </c>
      <c r="AY211" s="457">
        <v>0</v>
      </c>
      <c r="AZ211" s="457">
        <v>0</v>
      </c>
      <c r="BA211" s="457">
        <v>398259</v>
      </c>
      <c r="BB211" s="457">
        <v>340722</v>
      </c>
      <c r="BC211" s="457">
        <v>57537</v>
      </c>
      <c r="BD211" s="457">
        <v>0</v>
      </c>
      <c r="BE211" s="457">
        <v>0</v>
      </c>
      <c r="BF211" s="457">
        <v>0</v>
      </c>
      <c r="BG211" s="457">
        <v>8128</v>
      </c>
      <c r="BH211" s="457">
        <v>6954</v>
      </c>
      <c r="BI211" s="457">
        <v>1174</v>
      </c>
    </row>
    <row r="212" spans="1:61" ht="12.75" x14ac:dyDescent="0.2">
      <c r="A212" s="446">
        <v>205</v>
      </c>
      <c r="B212" s="447" t="s">
        <v>293</v>
      </c>
      <c r="C212" s="448" t="s">
        <v>1098</v>
      </c>
      <c r="D212" s="449" t="s">
        <v>1099</v>
      </c>
      <c r="E212" s="450" t="s">
        <v>292</v>
      </c>
      <c r="F212" s="457">
        <v>53957327</v>
      </c>
      <c r="G212" s="457">
        <v>0</v>
      </c>
      <c r="H212" s="457">
        <v>0</v>
      </c>
      <c r="I212" s="457">
        <v>53957327</v>
      </c>
      <c r="J212" s="457">
        <v>53795558</v>
      </c>
      <c r="K212" s="457">
        <v>0</v>
      </c>
      <c r="L212" s="457">
        <v>0</v>
      </c>
      <c r="M212" s="457">
        <v>53795558</v>
      </c>
      <c r="N212" s="457">
        <v>161769</v>
      </c>
      <c r="O212" s="457">
        <v>0</v>
      </c>
      <c r="P212" s="457">
        <v>0</v>
      </c>
      <c r="Q212" s="457">
        <v>161769</v>
      </c>
      <c r="R212" s="457">
        <v>371201</v>
      </c>
      <c r="S212" s="457">
        <v>0</v>
      </c>
      <c r="T212" s="457">
        <v>0</v>
      </c>
      <c r="U212" s="457">
        <v>371201</v>
      </c>
      <c r="V212" s="457">
        <v>-209432</v>
      </c>
      <c r="W212" s="457">
        <v>0</v>
      </c>
      <c r="X212" s="457">
        <v>0</v>
      </c>
      <c r="Y212" s="457">
        <v>-209432</v>
      </c>
      <c r="Z212" s="457">
        <v>278679</v>
      </c>
      <c r="AA212" s="457">
        <v>278679</v>
      </c>
      <c r="AB212" s="457">
        <v>0</v>
      </c>
      <c r="AC212" s="457">
        <v>0</v>
      </c>
      <c r="AD212" s="457">
        <v>0</v>
      </c>
      <c r="AE212" s="457">
        <v>0</v>
      </c>
      <c r="AF212" s="457">
        <v>0</v>
      </c>
      <c r="AG212" s="457">
        <v>0</v>
      </c>
      <c r="AH212" s="457">
        <v>0</v>
      </c>
      <c r="AI212" s="457">
        <v>0</v>
      </c>
      <c r="AJ212" s="457">
        <v>0</v>
      </c>
      <c r="AK212" s="457">
        <v>0</v>
      </c>
      <c r="AL212" s="457">
        <v>0</v>
      </c>
      <c r="AM212" s="457">
        <v>0</v>
      </c>
      <c r="AN212" s="457">
        <v>0</v>
      </c>
      <c r="AO212" s="457">
        <v>0</v>
      </c>
      <c r="AP212" s="457">
        <v>0</v>
      </c>
      <c r="AQ212" s="457">
        <v>0</v>
      </c>
      <c r="AR212" s="457">
        <v>0</v>
      </c>
      <c r="AS212" s="457">
        <v>0</v>
      </c>
      <c r="AT212" s="457">
        <v>0</v>
      </c>
      <c r="AU212" s="457">
        <v>0</v>
      </c>
      <c r="AV212" s="457">
        <v>0</v>
      </c>
      <c r="AW212" s="457">
        <v>0</v>
      </c>
      <c r="AX212" s="457">
        <v>0</v>
      </c>
      <c r="AY212" s="457">
        <v>0</v>
      </c>
      <c r="AZ212" s="457">
        <v>0</v>
      </c>
      <c r="BA212" s="457">
        <v>516241</v>
      </c>
      <c r="BB212" s="457">
        <v>418111</v>
      </c>
      <c r="BC212" s="457">
        <v>98130</v>
      </c>
      <c r="BD212" s="457">
        <v>344161</v>
      </c>
      <c r="BE212" s="457">
        <v>278741</v>
      </c>
      <c r="BF212" s="457">
        <v>65420</v>
      </c>
      <c r="BG212" s="457">
        <v>0</v>
      </c>
      <c r="BH212" s="457">
        <v>0</v>
      </c>
      <c r="BI212" s="457">
        <v>0</v>
      </c>
    </row>
    <row r="213" spans="1:61" ht="12.75" x14ac:dyDescent="0.2">
      <c r="A213" s="446">
        <v>206</v>
      </c>
      <c r="B213" s="447" t="s">
        <v>295</v>
      </c>
      <c r="C213" s="448" t="s">
        <v>794</v>
      </c>
      <c r="D213" s="449" t="s">
        <v>1105</v>
      </c>
      <c r="E213" s="450" t="s">
        <v>740</v>
      </c>
      <c r="F213" s="457">
        <v>52000753</v>
      </c>
      <c r="G213" s="457">
        <v>0</v>
      </c>
      <c r="H213" s="457">
        <v>0</v>
      </c>
      <c r="I213" s="457">
        <v>52000753</v>
      </c>
      <c r="J213" s="457">
        <v>51472286</v>
      </c>
      <c r="K213" s="457">
        <v>0</v>
      </c>
      <c r="L213" s="457">
        <v>0</v>
      </c>
      <c r="M213" s="457">
        <v>51472286</v>
      </c>
      <c r="N213" s="457">
        <v>528467</v>
      </c>
      <c r="O213" s="457">
        <v>0</v>
      </c>
      <c r="P213" s="457">
        <v>0</v>
      </c>
      <c r="Q213" s="457">
        <v>528467</v>
      </c>
      <c r="R213" s="457">
        <v>598122</v>
      </c>
      <c r="S213" s="457">
        <v>0</v>
      </c>
      <c r="T213" s="457">
        <v>0</v>
      </c>
      <c r="U213" s="457">
        <v>598122</v>
      </c>
      <c r="V213" s="457">
        <v>-69655</v>
      </c>
      <c r="W213" s="457">
        <v>0</v>
      </c>
      <c r="X213" s="457">
        <v>0</v>
      </c>
      <c r="Y213" s="457">
        <v>-69655</v>
      </c>
      <c r="Z213" s="457">
        <v>171732</v>
      </c>
      <c r="AA213" s="457">
        <v>171732</v>
      </c>
      <c r="AB213" s="457">
        <v>0</v>
      </c>
      <c r="AC213" s="457">
        <v>11720</v>
      </c>
      <c r="AD213" s="457">
        <v>6500</v>
      </c>
      <c r="AE213" s="457">
        <v>5220</v>
      </c>
      <c r="AF213" s="457">
        <v>0</v>
      </c>
      <c r="AG213" s="457">
        <v>0</v>
      </c>
      <c r="AH213" s="457">
        <v>0</v>
      </c>
      <c r="AI213" s="457">
        <v>0</v>
      </c>
      <c r="AJ213" s="457">
        <v>0</v>
      </c>
      <c r="AK213" s="457">
        <v>0</v>
      </c>
      <c r="AL213" s="457">
        <v>0</v>
      </c>
      <c r="AM213" s="457">
        <v>0</v>
      </c>
      <c r="AN213" s="457">
        <v>0</v>
      </c>
      <c r="AO213" s="457">
        <v>11720</v>
      </c>
      <c r="AP213" s="457">
        <v>6500</v>
      </c>
      <c r="AQ213" s="457">
        <v>5220</v>
      </c>
      <c r="AR213" s="457">
        <v>0</v>
      </c>
      <c r="AS213" s="457">
        <v>0</v>
      </c>
      <c r="AT213" s="457">
        <v>0</v>
      </c>
      <c r="AU213" s="457">
        <v>0</v>
      </c>
      <c r="AV213" s="457">
        <v>0</v>
      </c>
      <c r="AW213" s="457">
        <v>0</v>
      </c>
      <c r="AX213" s="457">
        <v>0</v>
      </c>
      <c r="AY213" s="457">
        <v>0</v>
      </c>
      <c r="AZ213" s="457">
        <v>0</v>
      </c>
      <c r="BA213" s="457">
        <v>561247</v>
      </c>
      <c r="BB213" s="457">
        <v>477046</v>
      </c>
      <c r="BC213" s="457">
        <v>84201</v>
      </c>
      <c r="BD213" s="457">
        <v>0</v>
      </c>
      <c r="BE213" s="457">
        <v>0</v>
      </c>
      <c r="BF213" s="457">
        <v>0</v>
      </c>
      <c r="BG213" s="457">
        <v>11454</v>
      </c>
      <c r="BH213" s="457">
        <v>9736</v>
      </c>
      <c r="BI213" s="457">
        <v>1718</v>
      </c>
    </row>
    <row r="214" spans="1:61" ht="12.75" x14ac:dyDescent="0.2">
      <c r="A214" s="446">
        <v>207</v>
      </c>
      <c r="B214" s="447" t="s">
        <v>297</v>
      </c>
      <c r="C214" s="448" t="s">
        <v>1093</v>
      </c>
      <c r="D214" s="449" t="s">
        <v>1103</v>
      </c>
      <c r="E214" s="450" t="s">
        <v>296</v>
      </c>
      <c r="F214" s="457">
        <v>1753865</v>
      </c>
      <c r="G214" s="457">
        <v>0</v>
      </c>
      <c r="H214" s="457">
        <v>0</v>
      </c>
      <c r="I214" s="457">
        <v>1753865</v>
      </c>
      <c r="J214" s="457">
        <v>2072103</v>
      </c>
      <c r="K214" s="457">
        <v>0</v>
      </c>
      <c r="L214" s="457">
        <v>0</v>
      </c>
      <c r="M214" s="457">
        <v>2072103</v>
      </c>
      <c r="N214" s="457">
        <v>-318238</v>
      </c>
      <c r="O214" s="457">
        <v>0</v>
      </c>
      <c r="P214" s="457">
        <v>0</v>
      </c>
      <c r="Q214" s="457">
        <v>-318238</v>
      </c>
      <c r="R214" s="457">
        <v>23811</v>
      </c>
      <c r="S214" s="457">
        <v>0</v>
      </c>
      <c r="T214" s="457">
        <v>0</v>
      </c>
      <c r="U214" s="457">
        <v>23811</v>
      </c>
      <c r="V214" s="457">
        <v>-342049</v>
      </c>
      <c r="W214" s="457">
        <v>0</v>
      </c>
      <c r="X214" s="457">
        <v>0</v>
      </c>
      <c r="Y214" s="457">
        <v>-342049</v>
      </c>
      <c r="Z214" s="457">
        <v>111657</v>
      </c>
      <c r="AA214" s="457">
        <v>111657</v>
      </c>
      <c r="AB214" s="457">
        <v>0</v>
      </c>
      <c r="AC214" s="457">
        <v>0</v>
      </c>
      <c r="AD214" s="457">
        <v>0</v>
      </c>
      <c r="AE214" s="457">
        <v>0</v>
      </c>
      <c r="AF214" s="457">
        <v>0</v>
      </c>
      <c r="AG214" s="457">
        <v>0</v>
      </c>
      <c r="AH214" s="457">
        <v>0</v>
      </c>
      <c r="AI214" s="457">
        <v>0</v>
      </c>
      <c r="AJ214" s="457">
        <v>0</v>
      </c>
      <c r="AK214" s="457">
        <v>0</v>
      </c>
      <c r="AL214" s="457">
        <v>0</v>
      </c>
      <c r="AM214" s="457">
        <v>0</v>
      </c>
      <c r="AN214" s="457">
        <v>0</v>
      </c>
      <c r="AO214" s="457">
        <v>0</v>
      </c>
      <c r="AP214" s="457">
        <v>0</v>
      </c>
      <c r="AQ214" s="457">
        <v>0</v>
      </c>
      <c r="AR214" s="457">
        <v>0</v>
      </c>
      <c r="AS214" s="457">
        <v>0</v>
      </c>
      <c r="AT214" s="457">
        <v>0</v>
      </c>
      <c r="AU214" s="457">
        <v>0</v>
      </c>
      <c r="AV214" s="457">
        <v>0</v>
      </c>
      <c r="AW214" s="457">
        <v>0</v>
      </c>
      <c r="AX214" s="457">
        <v>0</v>
      </c>
      <c r="AY214" s="457">
        <v>0</v>
      </c>
      <c r="AZ214" s="457">
        <v>0</v>
      </c>
      <c r="BA214" s="457">
        <v>248099</v>
      </c>
      <c r="BB214" s="457">
        <v>215259</v>
      </c>
      <c r="BC214" s="457">
        <v>32840</v>
      </c>
      <c r="BD214" s="457">
        <v>55822</v>
      </c>
      <c r="BE214" s="457">
        <v>48433</v>
      </c>
      <c r="BF214" s="457">
        <v>7389</v>
      </c>
      <c r="BG214" s="457">
        <v>6202</v>
      </c>
      <c r="BH214" s="457">
        <v>5381</v>
      </c>
      <c r="BI214" s="457">
        <v>821</v>
      </c>
    </row>
    <row r="215" spans="1:61" ht="12.75" x14ac:dyDescent="0.2">
      <c r="A215" s="446">
        <v>208</v>
      </c>
      <c r="B215" s="447" t="s">
        <v>299</v>
      </c>
      <c r="C215" s="448" t="s">
        <v>1093</v>
      </c>
      <c r="D215" s="449" t="s">
        <v>1094</v>
      </c>
      <c r="E215" s="450" t="s">
        <v>741</v>
      </c>
      <c r="F215" s="457">
        <v>55836429.799999997</v>
      </c>
      <c r="G215" s="457">
        <v>0</v>
      </c>
      <c r="H215" s="457">
        <v>0</v>
      </c>
      <c r="I215" s="457">
        <v>55836429.799999997</v>
      </c>
      <c r="J215" s="457">
        <v>55900571</v>
      </c>
      <c r="K215" s="457">
        <v>0</v>
      </c>
      <c r="L215" s="457">
        <v>0</v>
      </c>
      <c r="M215" s="457">
        <v>55900571</v>
      </c>
      <c r="N215" s="457">
        <v>-64141.11</v>
      </c>
      <c r="O215" s="457">
        <v>0</v>
      </c>
      <c r="P215" s="457">
        <v>0</v>
      </c>
      <c r="Q215" s="457">
        <v>-64141.11</v>
      </c>
      <c r="R215" s="457">
        <v>4910</v>
      </c>
      <c r="S215" s="457">
        <v>0</v>
      </c>
      <c r="T215" s="457">
        <v>0</v>
      </c>
      <c r="U215" s="457">
        <v>4910</v>
      </c>
      <c r="V215" s="457">
        <v>-69051</v>
      </c>
      <c r="W215" s="457">
        <v>0</v>
      </c>
      <c r="X215" s="457">
        <v>0</v>
      </c>
      <c r="Y215" s="457">
        <v>-69051</v>
      </c>
      <c r="Z215" s="457">
        <v>177701</v>
      </c>
      <c r="AA215" s="457">
        <v>177701</v>
      </c>
      <c r="AB215" s="457">
        <v>0</v>
      </c>
      <c r="AC215" s="457">
        <v>0</v>
      </c>
      <c r="AD215" s="457">
        <v>0</v>
      </c>
      <c r="AE215" s="457">
        <v>0</v>
      </c>
      <c r="AF215" s="457">
        <v>0</v>
      </c>
      <c r="AG215" s="457">
        <v>0</v>
      </c>
      <c r="AH215" s="457">
        <v>0</v>
      </c>
      <c r="AI215" s="457">
        <v>0</v>
      </c>
      <c r="AJ215" s="457">
        <v>0</v>
      </c>
      <c r="AK215" s="457">
        <v>0</v>
      </c>
      <c r="AL215" s="457">
        <v>0</v>
      </c>
      <c r="AM215" s="457">
        <v>0</v>
      </c>
      <c r="AN215" s="457">
        <v>0</v>
      </c>
      <c r="AO215" s="457">
        <v>0</v>
      </c>
      <c r="AP215" s="457">
        <v>0</v>
      </c>
      <c r="AQ215" s="457">
        <v>0</v>
      </c>
      <c r="AR215" s="457">
        <v>0</v>
      </c>
      <c r="AS215" s="457">
        <v>0</v>
      </c>
      <c r="AT215" s="457">
        <v>0</v>
      </c>
      <c r="AU215" s="457">
        <v>0</v>
      </c>
      <c r="AV215" s="457">
        <v>0</v>
      </c>
      <c r="AW215" s="457">
        <v>0</v>
      </c>
      <c r="AX215" s="457">
        <v>0</v>
      </c>
      <c r="AY215" s="457">
        <v>0</v>
      </c>
      <c r="AZ215" s="457">
        <v>0</v>
      </c>
      <c r="BA215" s="457">
        <v>375414</v>
      </c>
      <c r="BB215" s="457">
        <v>323430</v>
      </c>
      <c r="BC215" s="457">
        <v>51984</v>
      </c>
      <c r="BD215" s="457">
        <v>93853</v>
      </c>
      <c r="BE215" s="457">
        <v>80858</v>
      </c>
      <c r="BF215" s="457">
        <v>12995</v>
      </c>
      <c r="BG215" s="457">
        <v>0</v>
      </c>
      <c r="BH215" s="457">
        <v>0</v>
      </c>
      <c r="BI215" s="457">
        <v>0</v>
      </c>
    </row>
    <row r="216" spans="1:61" ht="12.75" x14ac:dyDescent="0.2">
      <c r="A216" s="446">
        <v>209</v>
      </c>
      <c r="B216" s="447" t="s">
        <v>301</v>
      </c>
      <c r="C216" s="448" t="s">
        <v>1093</v>
      </c>
      <c r="D216" s="449" t="s">
        <v>1095</v>
      </c>
      <c r="E216" s="450" t="s">
        <v>300</v>
      </c>
      <c r="F216" s="457">
        <v>15512293</v>
      </c>
      <c r="G216" s="457">
        <v>0</v>
      </c>
      <c r="H216" s="457">
        <v>1794510</v>
      </c>
      <c r="I216" s="457">
        <v>17306803</v>
      </c>
      <c r="J216" s="457">
        <v>15524500</v>
      </c>
      <c r="K216" s="457">
        <v>0</v>
      </c>
      <c r="L216" s="457">
        <v>1794510</v>
      </c>
      <c r="M216" s="457">
        <v>17319010</v>
      </c>
      <c r="N216" s="457">
        <v>-12207</v>
      </c>
      <c r="O216" s="457">
        <v>0</v>
      </c>
      <c r="P216" s="457">
        <v>0</v>
      </c>
      <c r="Q216" s="457">
        <v>-12207</v>
      </c>
      <c r="R216" s="457">
        <v>150986</v>
      </c>
      <c r="S216" s="457">
        <v>0</v>
      </c>
      <c r="T216" s="457">
        <v>0</v>
      </c>
      <c r="U216" s="457">
        <v>150986</v>
      </c>
      <c r="V216" s="457">
        <v>-163193</v>
      </c>
      <c r="W216" s="457">
        <v>0</v>
      </c>
      <c r="X216" s="457">
        <v>0</v>
      </c>
      <c r="Y216" s="457">
        <v>-163193</v>
      </c>
      <c r="Z216" s="457">
        <v>85946</v>
      </c>
      <c r="AA216" s="457">
        <v>85946</v>
      </c>
      <c r="AB216" s="457">
        <v>0</v>
      </c>
      <c r="AC216" s="457">
        <v>2997</v>
      </c>
      <c r="AD216" s="457">
        <v>2997</v>
      </c>
      <c r="AE216" s="457">
        <v>0</v>
      </c>
      <c r="AF216" s="457">
        <v>0</v>
      </c>
      <c r="AG216" s="457">
        <v>0</v>
      </c>
      <c r="AH216" s="457">
        <v>0</v>
      </c>
      <c r="AI216" s="457">
        <v>0</v>
      </c>
      <c r="AJ216" s="457">
        <v>0</v>
      </c>
      <c r="AK216" s="457">
        <v>0</v>
      </c>
      <c r="AL216" s="457">
        <v>0</v>
      </c>
      <c r="AM216" s="457">
        <v>0</v>
      </c>
      <c r="AN216" s="457">
        <v>0</v>
      </c>
      <c r="AO216" s="457">
        <v>0</v>
      </c>
      <c r="AP216" s="457">
        <v>0</v>
      </c>
      <c r="AQ216" s="457">
        <v>0</v>
      </c>
      <c r="AR216" s="457">
        <v>0</v>
      </c>
      <c r="AS216" s="457">
        <v>0</v>
      </c>
      <c r="AT216" s="457">
        <v>0</v>
      </c>
      <c r="AU216" s="457">
        <v>0</v>
      </c>
      <c r="AV216" s="457">
        <v>0</v>
      </c>
      <c r="AW216" s="457">
        <v>0</v>
      </c>
      <c r="AX216" s="457">
        <v>0</v>
      </c>
      <c r="AY216" s="457">
        <v>0</v>
      </c>
      <c r="AZ216" s="457">
        <v>0</v>
      </c>
      <c r="BA216" s="457">
        <v>355422</v>
      </c>
      <c r="BB216" s="457">
        <v>304271</v>
      </c>
      <c r="BC216" s="457">
        <v>51151</v>
      </c>
      <c r="BD216" s="457">
        <v>79970</v>
      </c>
      <c r="BE216" s="457">
        <v>68461</v>
      </c>
      <c r="BF216" s="457">
        <v>11509</v>
      </c>
      <c r="BG216" s="457">
        <v>8886</v>
      </c>
      <c r="BH216" s="457">
        <v>7607</v>
      </c>
      <c r="BI216" s="457">
        <v>1279</v>
      </c>
    </row>
    <row r="217" spans="1:61" ht="12.75" x14ac:dyDescent="0.2">
      <c r="A217" s="446">
        <v>210</v>
      </c>
      <c r="B217" s="447" t="s">
        <v>303</v>
      </c>
      <c r="C217" s="448" t="s">
        <v>1098</v>
      </c>
      <c r="D217" s="449" t="s">
        <v>1099</v>
      </c>
      <c r="E217" s="450" t="s">
        <v>302</v>
      </c>
      <c r="F217" s="457">
        <v>446053.67</v>
      </c>
      <c r="G217" s="457">
        <v>0</v>
      </c>
      <c r="H217" s="457">
        <v>0</v>
      </c>
      <c r="I217" s="457">
        <v>446053.67</v>
      </c>
      <c r="J217" s="457">
        <v>432399</v>
      </c>
      <c r="K217" s="457">
        <v>0</v>
      </c>
      <c r="L217" s="457">
        <v>0</v>
      </c>
      <c r="M217" s="457">
        <v>432399</v>
      </c>
      <c r="N217" s="457">
        <v>13654.67</v>
      </c>
      <c r="O217" s="457">
        <v>0</v>
      </c>
      <c r="P217" s="457">
        <v>0</v>
      </c>
      <c r="Q217" s="457">
        <v>13654.67</v>
      </c>
      <c r="R217" s="457">
        <v>281726</v>
      </c>
      <c r="S217" s="457">
        <v>0</v>
      </c>
      <c r="T217" s="457">
        <v>0</v>
      </c>
      <c r="U217" s="457">
        <v>281726</v>
      </c>
      <c r="V217" s="457">
        <v>-268071</v>
      </c>
      <c r="W217" s="457">
        <v>0</v>
      </c>
      <c r="X217" s="457">
        <v>0</v>
      </c>
      <c r="Y217" s="457">
        <v>-268071</v>
      </c>
      <c r="Z217" s="457">
        <v>304564</v>
      </c>
      <c r="AA217" s="457">
        <v>304564</v>
      </c>
      <c r="AB217" s="457">
        <v>0</v>
      </c>
      <c r="AC217" s="457">
        <v>0</v>
      </c>
      <c r="AD217" s="457">
        <v>0</v>
      </c>
      <c r="AE217" s="457">
        <v>0</v>
      </c>
      <c r="AF217" s="457">
        <v>0</v>
      </c>
      <c r="AG217" s="457">
        <v>0</v>
      </c>
      <c r="AH217" s="457">
        <v>0</v>
      </c>
      <c r="AI217" s="457">
        <v>0</v>
      </c>
      <c r="AJ217" s="457">
        <v>0</v>
      </c>
      <c r="AK217" s="457">
        <v>0</v>
      </c>
      <c r="AL217" s="457">
        <v>0</v>
      </c>
      <c r="AM217" s="457">
        <v>0</v>
      </c>
      <c r="AN217" s="457">
        <v>0</v>
      </c>
      <c r="AO217" s="457">
        <v>0</v>
      </c>
      <c r="AP217" s="457">
        <v>0</v>
      </c>
      <c r="AQ217" s="457">
        <v>0</v>
      </c>
      <c r="AR217" s="457">
        <v>0</v>
      </c>
      <c r="AS217" s="457">
        <v>0</v>
      </c>
      <c r="AT217" s="457">
        <v>0</v>
      </c>
      <c r="AU217" s="457">
        <v>0</v>
      </c>
      <c r="AV217" s="457">
        <v>0</v>
      </c>
      <c r="AW217" s="457">
        <v>0</v>
      </c>
      <c r="AX217" s="457">
        <v>0</v>
      </c>
      <c r="AY217" s="457">
        <v>0</v>
      </c>
      <c r="AZ217" s="457">
        <v>0</v>
      </c>
      <c r="BA217" s="457">
        <v>320483</v>
      </c>
      <c r="BB217" s="457">
        <v>274807</v>
      </c>
      <c r="BC217" s="457">
        <v>45676</v>
      </c>
      <c r="BD217" s="457">
        <v>213655</v>
      </c>
      <c r="BE217" s="457">
        <v>183205</v>
      </c>
      <c r="BF217" s="457">
        <v>30450</v>
      </c>
      <c r="BG217" s="457">
        <v>0</v>
      </c>
      <c r="BH217" s="457">
        <v>0</v>
      </c>
      <c r="BI217" s="457">
        <v>0</v>
      </c>
    </row>
    <row r="218" spans="1:61" ht="12.75" x14ac:dyDescent="0.2">
      <c r="A218" s="446">
        <v>211</v>
      </c>
      <c r="B218" s="447" t="s">
        <v>305</v>
      </c>
      <c r="C218" s="448" t="s">
        <v>1093</v>
      </c>
      <c r="D218" s="449" t="s">
        <v>1101</v>
      </c>
      <c r="E218" s="450" t="s">
        <v>304</v>
      </c>
      <c r="F218" s="457">
        <v>12988649</v>
      </c>
      <c r="G218" s="457">
        <v>0</v>
      </c>
      <c r="H218" s="457">
        <v>0</v>
      </c>
      <c r="I218" s="457">
        <v>12988649</v>
      </c>
      <c r="J218" s="457">
        <v>13051599</v>
      </c>
      <c r="K218" s="457">
        <v>0</v>
      </c>
      <c r="L218" s="457">
        <v>0</v>
      </c>
      <c r="M218" s="457">
        <v>13051599</v>
      </c>
      <c r="N218" s="457">
        <v>-62950</v>
      </c>
      <c r="O218" s="457">
        <v>0</v>
      </c>
      <c r="P218" s="457">
        <v>0</v>
      </c>
      <c r="Q218" s="457">
        <v>-62950</v>
      </c>
      <c r="R218" s="457">
        <v>16470</v>
      </c>
      <c r="S218" s="457">
        <v>0</v>
      </c>
      <c r="T218" s="457">
        <v>0</v>
      </c>
      <c r="U218" s="457">
        <v>16470</v>
      </c>
      <c r="V218" s="457">
        <v>-79420</v>
      </c>
      <c r="W218" s="457">
        <v>0</v>
      </c>
      <c r="X218" s="457">
        <v>0</v>
      </c>
      <c r="Y218" s="457">
        <v>-79420</v>
      </c>
      <c r="Z218" s="457">
        <v>96435</v>
      </c>
      <c r="AA218" s="457">
        <v>96435</v>
      </c>
      <c r="AB218" s="457">
        <v>0</v>
      </c>
      <c r="AC218" s="457">
        <v>0</v>
      </c>
      <c r="AD218" s="457">
        <v>0</v>
      </c>
      <c r="AE218" s="457">
        <v>0</v>
      </c>
      <c r="AF218" s="457">
        <v>0</v>
      </c>
      <c r="AG218" s="457">
        <v>0</v>
      </c>
      <c r="AH218" s="457">
        <v>0</v>
      </c>
      <c r="AI218" s="457">
        <v>0</v>
      </c>
      <c r="AJ218" s="457">
        <v>0</v>
      </c>
      <c r="AK218" s="457">
        <v>0</v>
      </c>
      <c r="AL218" s="457">
        <v>0</v>
      </c>
      <c r="AM218" s="457">
        <v>0</v>
      </c>
      <c r="AN218" s="457">
        <v>0</v>
      </c>
      <c r="AO218" s="457">
        <v>0</v>
      </c>
      <c r="AP218" s="457">
        <v>0</v>
      </c>
      <c r="AQ218" s="457">
        <v>0</v>
      </c>
      <c r="AR218" s="457">
        <v>0</v>
      </c>
      <c r="AS218" s="457">
        <v>0</v>
      </c>
      <c r="AT218" s="457">
        <v>0</v>
      </c>
      <c r="AU218" s="457">
        <v>0</v>
      </c>
      <c r="AV218" s="457">
        <v>0</v>
      </c>
      <c r="AW218" s="457">
        <v>0</v>
      </c>
      <c r="AX218" s="457">
        <v>0</v>
      </c>
      <c r="AY218" s="457">
        <v>0</v>
      </c>
      <c r="AZ218" s="457">
        <v>0</v>
      </c>
      <c r="BA218" s="457">
        <v>326286</v>
      </c>
      <c r="BB218" s="457">
        <v>282130</v>
      </c>
      <c r="BC218" s="457">
        <v>44156</v>
      </c>
      <c r="BD218" s="457">
        <v>73414</v>
      </c>
      <c r="BE218" s="457">
        <v>63479</v>
      </c>
      <c r="BF218" s="457">
        <v>9935</v>
      </c>
      <c r="BG218" s="457">
        <v>8157</v>
      </c>
      <c r="BH218" s="457">
        <v>7053</v>
      </c>
      <c r="BI218" s="457">
        <v>1104</v>
      </c>
    </row>
    <row r="219" spans="1:61" ht="12.75" x14ac:dyDescent="0.2">
      <c r="A219" s="446">
        <v>212</v>
      </c>
      <c r="B219" s="447" t="s">
        <v>307</v>
      </c>
      <c r="C219" s="448" t="s">
        <v>1100</v>
      </c>
      <c r="D219" s="449" t="s">
        <v>1095</v>
      </c>
      <c r="E219" s="450" t="s">
        <v>306</v>
      </c>
      <c r="F219" s="457">
        <v>61572381</v>
      </c>
      <c r="G219" s="457">
        <v>0</v>
      </c>
      <c r="H219" s="457">
        <v>0</v>
      </c>
      <c r="I219" s="457">
        <v>61572381</v>
      </c>
      <c r="J219" s="457">
        <v>62470232</v>
      </c>
      <c r="K219" s="457">
        <v>0</v>
      </c>
      <c r="L219" s="457">
        <v>0</v>
      </c>
      <c r="M219" s="457">
        <v>62470232</v>
      </c>
      <c r="N219" s="457">
        <v>-897851</v>
      </c>
      <c r="O219" s="457">
        <v>0</v>
      </c>
      <c r="P219" s="457">
        <v>0</v>
      </c>
      <c r="Q219" s="457">
        <v>-897851</v>
      </c>
      <c r="R219" s="457">
        <v>247624</v>
      </c>
      <c r="S219" s="457">
        <v>0</v>
      </c>
      <c r="T219" s="457">
        <v>0</v>
      </c>
      <c r="U219" s="457">
        <v>247624</v>
      </c>
      <c r="V219" s="457">
        <v>-1145475</v>
      </c>
      <c r="W219" s="457">
        <v>0</v>
      </c>
      <c r="X219" s="457">
        <v>0</v>
      </c>
      <c r="Y219" s="457">
        <v>-1145475</v>
      </c>
      <c r="Z219" s="457">
        <v>285612</v>
      </c>
      <c r="AA219" s="457">
        <v>285612</v>
      </c>
      <c r="AB219" s="457">
        <v>0</v>
      </c>
      <c r="AC219" s="457">
        <v>0</v>
      </c>
      <c r="AD219" s="457">
        <v>0</v>
      </c>
      <c r="AE219" s="457">
        <v>0</v>
      </c>
      <c r="AF219" s="457">
        <v>0</v>
      </c>
      <c r="AG219" s="457">
        <v>0</v>
      </c>
      <c r="AH219" s="457">
        <v>0</v>
      </c>
      <c r="AI219" s="457">
        <v>0</v>
      </c>
      <c r="AJ219" s="457">
        <v>0</v>
      </c>
      <c r="AK219" s="457">
        <v>0</v>
      </c>
      <c r="AL219" s="457">
        <v>0</v>
      </c>
      <c r="AM219" s="457">
        <v>0</v>
      </c>
      <c r="AN219" s="457">
        <v>0</v>
      </c>
      <c r="AO219" s="457">
        <v>0</v>
      </c>
      <c r="AP219" s="457">
        <v>0</v>
      </c>
      <c r="AQ219" s="457">
        <v>0</v>
      </c>
      <c r="AR219" s="457">
        <v>0</v>
      </c>
      <c r="AS219" s="457">
        <v>0</v>
      </c>
      <c r="AT219" s="457">
        <v>0</v>
      </c>
      <c r="AU219" s="457">
        <v>0</v>
      </c>
      <c r="AV219" s="457">
        <v>0</v>
      </c>
      <c r="AW219" s="457">
        <v>0</v>
      </c>
      <c r="AX219" s="457">
        <v>0</v>
      </c>
      <c r="AY219" s="457">
        <v>0</v>
      </c>
      <c r="AZ219" s="457">
        <v>0</v>
      </c>
      <c r="BA219" s="457">
        <v>1168391</v>
      </c>
      <c r="BB219" s="457">
        <v>959257</v>
      </c>
      <c r="BC219" s="457">
        <v>209134</v>
      </c>
      <c r="BD219" s="457">
        <v>0</v>
      </c>
      <c r="BE219" s="457">
        <v>0</v>
      </c>
      <c r="BF219" s="457">
        <v>0</v>
      </c>
      <c r="BG219" s="457">
        <v>23845</v>
      </c>
      <c r="BH219" s="457">
        <v>19577</v>
      </c>
      <c r="BI219" s="457">
        <v>4268</v>
      </c>
    </row>
    <row r="220" spans="1:61" ht="12.75" x14ac:dyDescent="0.2">
      <c r="A220" s="446">
        <v>213</v>
      </c>
      <c r="B220" s="447" t="s">
        <v>309</v>
      </c>
      <c r="C220" s="448" t="s">
        <v>1093</v>
      </c>
      <c r="D220" s="449" t="s">
        <v>1097</v>
      </c>
      <c r="E220" s="450" t="s">
        <v>308</v>
      </c>
      <c r="F220" s="457">
        <v>17161448</v>
      </c>
      <c r="G220" s="457">
        <v>0</v>
      </c>
      <c r="H220" s="457">
        <v>0</v>
      </c>
      <c r="I220" s="457">
        <v>17161448</v>
      </c>
      <c r="J220" s="457">
        <v>17225961</v>
      </c>
      <c r="K220" s="457">
        <v>0</v>
      </c>
      <c r="L220" s="457">
        <v>0</v>
      </c>
      <c r="M220" s="457">
        <v>17225961</v>
      </c>
      <c r="N220" s="457">
        <v>-64513</v>
      </c>
      <c r="O220" s="457">
        <v>0</v>
      </c>
      <c r="P220" s="457">
        <v>0</v>
      </c>
      <c r="Q220" s="457">
        <v>-64513</v>
      </c>
      <c r="R220" s="457">
        <v>31934</v>
      </c>
      <c r="S220" s="457">
        <v>0</v>
      </c>
      <c r="T220" s="457">
        <v>0</v>
      </c>
      <c r="U220" s="457">
        <v>31934</v>
      </c>
      <c r="V220" s="457">
        <v>-96447</v>
      </c>
      <c r="W220" s="457">
        <v>0</v>
      </c>
      <c r="X220" s="457">
        <v>0</v>
      </c>
      <c r="Y220" s="457">
        <v>-96447</v>
      </c>
      <c r="Z220" s="457">
        <v>85320</v>
      </c>
      <c r="AA220" s="457">
        <v>85320</v>
      </c>
      <c r="AB220" s="457">
        <v>0</v>
      </c>
      <c r="AC220" s="457">
        <v>0</v>
      </c>
      <c r="AD220" s="457">
        <v>0</v>
      </c>
      <c r="AE220" s="457">
        <v>0</v>
      </c>
      <c r="AF220" s="457">
        <v>0</v>
      </c>
      <c r="AG220" s="457">
        <v>0</v>
      </c>
      <c r="AH220" s="457">
        <v>0</v>
      </c>
      <c r="AI220" s="457">
        <v>0</v>
      </c>
      <c r="AJ220" s="457">
        <v>0</v>
      </c>
      <c r="AK220" s="457">
        <v>0</v>
      </c>
      <c r="AL220" s="457">
        <v>0</v>
      </c>
      <c r="AM220" s="457">
        <v>0</v>
      </c>
      <c r="AN220" s="457">
        <v>0</v>
      </c>
      <c r="AO220" s="457">
        <v>0</v>
      </c>
      <c r="AP220" s="457">
        <v>0</v>
      </c>
      <c r="AQ220" s="457">
        <v>0</v>
      </c>
      <c r="AR220" s="457">
        <v>0</v>
      </c>
      <c r="AS220" s="457">
        <v>0</v>
      </c>
      <c r="AT220" s="457">
        <v>0</v>
      </c>
      <c r="AU220" s="457">
        <v>0</v>
      </c>
      <c r="AV220" s="457">
        <v>0</v>
      </c>
      <c r="AW220" s="457">
        <v>0</v>
      </c>
      <c r="AX220" s="457">
        <v>0</v>
      </c>
      <c r="AY220" s="457">
        <v>0</v>
      </c>
      <c r="AZ220" s="457">
        <v>0</v>
      </c>
      <c r="BA220" s="457">
        <v>297778</v>
      </c>
      <c r="BB220" s="457">
        <v>252586</v>
      </c>
      <c r="BC220" s="457">
        <v>45192</v>
      </c>
      <c r="BD220" s="457">
        <v>67000</v>
      </c>
      <c r="BE220" s="457">
        <v>56832</v>
      </c>
      <c r="BF220" s="457">
        <v>10168</v>
      </c>
      <c r="BG220" s="457">
        <v>7444</v>
      </c>
      <c r="BH220" s="457">
        <v>6315</v>
      </c>
      <c r="BI220" s="457">
        <v>1129</v>
      </c>
    </row>
    <row r="221" spans="1:61" ht="12.75" x14ac:dyDescent="0.2">
      <c r="A221" s="446">
        <v>214</v>
      </c>
      <c r="B221" s="447" t="s">
        <v>311</v>
      </c>
      <c r="C221" s="448" t="s">
        <v>1093</v>
      </c>
      <c r="D221" s="449" t="s">
        <v>1095</v>
      </c>
      <c r="E221" s="450" t="s">
        <v>310</v>
      </c>
      <c r="F221" s="457">
        <v>13827306</v>
      </c>
      <c r="G221" s="457">
        <v>0</v>
      </c>
      <c r="H221" s="457">
        <v>0</v>
      </c>
      <c r="I221" s="457">
        <v>13827306</v>
      </c>
      <c r="J221" s="457">
        <v>13826641</v>
      </c>
      <c r="K221" s="457">
        <v>0</v>
      </c>
      <c r="L221" s="457">
        <v>0</v>
      </c>
      <c r="M221" s="457">
        <v>13826641</v>
      </c>
      <c r="N221" s="457">
        <v>665</v>
      </c>
      <c r="O221" s="457">
        <v>0</v>
      </c>
      <c r="P221" s="457">
        <v>0</v>
      </c>
      <c r="Q221" s="457">
        <v>665</v>
      </c>
      <c r="R221" s="457">
        <v>78905</v>
      </c>
      <c r="S221" s="457">
        <v>0</v>
      </c>
      <c r="T221" s="457">
        <v>0</v>
      </c>
      <c r="U221" s="457">
        <v>78905</v>
      </c>
      <c r="V221" s="457">
        <v>-78240</v>
      </c>
      <c r="W221" s="457">
        <v>0</v>
      </c>
      <c r="X221" s="457">
        <v>0</v>
      </c>
      <c r="Y221" s="457">
        <v>-78240</v>
      </c>
      <c r="Z221" s="457">
        <v>101007</v>
      </c>
      <c r="AA221" s="457">
        <v>101007</v>
      </c>
      <c r="AB221" s="457">
        <v>0</v>
      </c>
      <c r="AC221" s="457">
        <v>0</v>
      </c>
      <c r="AD221" s="457">
        <v>0</v>
      </c>
      <c r="AE221" s="457">
        <v>0</v>
      </c>
      <c r="AF221" s="457">
        <v>0</v>
      </c>
      <c r="AG221" s="457">
        <v>0</v>
      </c>
      <c r="AH221" s="457">
        <v>0</v>
      </c>
      <c r="AI221" s="457">
        <v>0</v>
      </c>
      <c r="AJ221" s="457">
        <v>0</v>
      </c>
      <c r="AK221" s="457">
        <v>0</v>
      </c>
      <c r="AL221" s="457">
        <v>0</v>
      </c>
      <c r="AM221" s="457">
        <v>0</v>
      </c>
      <c r="AN221" s="457">
        <v>0</v>
      </c>
      <c r="AO221" s="457">
        <v>0</v>
      </c>
      <c r="AP221" s="457">
        <v>0</v>
      </c>
      <c r="AQ221" s="457">
        <v>0</v>
      </c>
      <c r="AR221" s="457">
        <v>0</v>
      </c>
      <c r="AS221" s="457">
        <v>0</v>
      </c>
      <c r="AT221" s="457">
        <v>0</v>
      </c>
      <c r="AU221" s="457">
        <v>0</v>
      </c>
      <c r="AV221" s="457">
        <v>0</v>
      </c>
      <c r="AW221" s="457">
        <v>0</v>
      </c>
      <c r="AX221" s="457">
        <v>0</v>
      </c>
      <c r="AY221" s="457">
        <v>0</v>
      </c>
      <c r="AZ221" s="457">
        <v>0</v>
      </c>
      <c r="BA221" s="457">
        <v>374772</v>
      </c>
      <c r="BB221" s="457">
        <v>333126</v>
      </c>
      <c r="BC221" s="457">
        <v>41646</v>
      </c>
      <c r="BD221" s="457">
        <v>84324</v>
      </c>
      <c r="BE221" s="457">
        <v>74953</v>
      </c>
      <c r="BF221" s="457">
        <v>9371</v>
      </c>
      <c r="BG221" s="457">
        <v>9369</v>
      </c>
      <c r="BH221" s="457">
        <v>8328</v>
      </c>
      <c r="BI221" s="457">
        <v>1041</v>
      </c>
    </row>
    <row r="222" spans="1:61" ht="12.75" x14ac:dyDescent="0.2">
      <c r="A222" s="446">
        <v>215</v>
      </c>
      <c r="B222" s="447" t="s">
        <v>313</v>
      </c>
      <c r="C222" s="448" t="s">
        <v>1093</v>
      </c>
      <c r="D222" s="449" t="s">
        <v>1094</v>
      </c>
      <c r="E222" s="450" t="s">
        <v>312</v>
      </c>
      <c r="F222" s="457">
        <v>18950490</v>
      </c>
      <c r="G222" s="457">
        <v>0</v>
      </c>
      <c r="H222" s="457">
        <v>0</v>
      </c>
      <c r="I222" s="457">
        <v>18950490</v>
      </c>
      <c r="J222" s="457">
        <v>18932935</v>
      </c>
      <c r="K222" s="457">
        <v>0</v>
      </c>
      <c r="L222" s="457">
        <v>0</v>
      </c>
      <c r="M222" s="457">
        <v>18932935</v>
      </c>
      <c r="N222" s="457">
        <v>17555</v>
      </c>
      <c r="O222" s="457">
        <v>0</v>
      </c>
      <c r="P222" s="457">
        <v>0</v>
      </c>
      <c r="Q222" s="457">
        <v>17555</v>
      </c>
      <c r="R222" s="457">
        <v>72349</v>
      </c>
      <c r="S222" s="457">
        <v>0</v>
      </c>
      <c r="T222" s="457">
        <v>0</v>
      </c>
      <c r="U222" s="457">
        <v>72349</v>
      </c>
      <c r="V222" s="457">
        <v>-54794</v>
      </c>
      <c r="W222" s="457">
        <v>0</v>
      </c>
      <c r="X222" s="457">
        <v>0</v>
      </c>
      <c r="Y222" s="457">
        <v>-54794</v>
      </c>
      <c r="Z222" s="457">
        <v>136326</v>
      </c>
      <c r="AA222" s="457">
        <v>136326</v>
      </c>
      <c r="AB222" s="457">
        <v>0</v>
      </c>
      <c r="AC222" s="457">
        <v>0</v>
      </c>
      <c r="AD222" s="457">
        <v>0</v>
      </c>
      <c r="AE222" s="457">
        <v>0</v>
      </c>
      <c r="AF222" s="457">
        <v>0</v>
      </c>
      <c r="AG222" s="457">
        <v>0</v>
      </c>
      <c r="AH222" s="457">
        <v>0</v>
      </c>
      <c r="AI222" s="457">
        <v>0</v>
      </c>
      <c r="AJ222" s="457">
        <v>0</v>
      </c>
      <c r="AK222" s="457">
        <v>0</v>
      </c>
      <c r="AL222" s="457">
        <v>0</v>
      </c>
      <c r="AM222" s="457">
        <v>0</v>
      </c>
      <c r="AN222" s="457">
        <v>0</v>
      </c>
      <c r="AO222" s="457">
        <v>0</v>
      </c>
      <c r="AP222" s="457">
        <v>0</v>
      </c>
      <c r="AQ222" s="457">
        <v>0</v>
      </c>
      <c r="AR222" s="457">
        <v>0</v>
      </c>
      <c r="AS222" s="457">
        <v>0</v>
      </c>
      <c r="AT222" s="457">
        <v>0</v>
      </c>
      <c r="AU222" s="457">
        <v>0</v>
      </c>
      <c r="AV222" s="457">
        <v>0</v>
      </c>
      <c r="AW222" s="457">
        <v>0</v>
      </c>
      <c r="AX222" s="457">
        <v>0</v>
      </c>
      <c r="AY222" s="457">
        <v>0</v>
      </c>
      <c r="AZ222" s="457">
        <v>0</v>
      </c>
      <c r="BA222" s="457">
        <v>529219</v>
      </c>
      <c r="BB222" s="457">
        <v>438542</v>
      </c>
      <c r="BC222" s="457">
        <v>90677</v>
      </c>
      <c r="BD222" s="457">
        <v>119074</v>
      </c>
      <c r="BE222" s="457">
        <v>98672</v>
      </c>
      <c r="BF222" s="457">
        <v>20402</v>
      </c>
      <c r="BG222" s="457">
        <v>13230</v>
      </c>
      <c r="BH222" s="457">
        <v>10964</v>
      </c>
      <c r="BI222" s="457">
        <v>2266</v>
      </c>
    </row>
    <row r="223" spans="1:61" ht="12.75" x14ac:dyDescent="0.2">
      <c r="A223" s="446">
        <v>216</v>
      </c>
      <c r="B223" s="447" t="s">
        <v>315</v>
      </c>
      <c r="C223" s="448" t="s">
        <v>1100</v>
      </c>
      <c r="D223" s="449" t="s">
        <v>1101</v>
      </c>
      <c r="E223" s="450" t="s">
        <v>314</v>
      </c>
      <c r="F223" s="457">
        <v>72500116</v>
      </c>
      <c r="G223" s="457">
        <v>0</v>
      </c>
      <c r="H223" s="457">
        <v>0</v>
      </c>
      <c r="I223" s="457">
        <v>72500116</v>
      </c>
      <c r="J223" s="457">
        <v>73172093</v>
      </c>
      <c r="K223" s="457">
        <v>0</v>
      </c>
      <c r="L223" s="457">
        <v>0</v>
      </c>
      <c r="M223" s="457">
        <v>73172093</v>
      </c>
      <c r="N223" s="457">
        <v>-671977</v>
      </c>
      <c r="O223" s="457">
        <v>0</v>
      </c>
      <c r="P223" s="457">
        <v>0</v>
      </c>
      <c r="Q223" s="457">
        <v>-671977</v>
      </c>
      <c r="R223" s="457">
        <v>74466</v>
      </c>
      <c r="S223" s="457">
        <v>0</v>
      </c>
      <c r="T223" s="457">
        <v>0</v>
      </c>
      <c r="U223" s="457">
        <v>74466</v>
      </c>
      <c r="V223" s="457">
        <v>-746443</v>
      </c>
      <c r="W223" s="457">
        <v>0</v>
      </c>
      <c r="X223" s="457">
        <v>0</v>
      </c>
      <c r="Y223" s="457">
        <v>-746443</v>
      </c>
      <c r="Z223" s="457">
        <v>310277</v>
      </c>
      <c r="AA223" s="457">
        <v>310277</v>
      </c>
      <c r="AB223" s="457">
        <v>0</v>
      </c>
      <c r="AC223" s="457">
        <v>0</v>
      </c>
      <c r="AD223" s="457">
        <v>88042</v>
      </c>
      <c r="AE223" s="457">
        <v>-88042</v>
      </c>
      <c r="AF223" s="457">
        <v>0</v>
      </c>
      <c r="AG223" s="457">
        <v>0</v>
      </c>
      <c r="AH223" s="457">
        <v>0</v>
      </c>
      <c r="AI223" s="457">
        <v>115440</v>
      </c>
      <c r="AJ223" s="457">
        <v>0</v>
      </c>
      <c r="AK223" s="457">
        <v>115440</v>
      </c>
      <c r="AL223" s="457">
        <v>0</v>
      </c>
      <c r="AM223" s="457">
        <v>0</v>
      </c>
      <c r="AN223" s="457">
        <v>0</v>
      </c>
      <c r="AO223" s="457">
        <v>420349</v>
      </c>
      <c r="AP223" s="457">
        <v>403812</v>
      </c>
      <c r="AQ223" s="457">
        <v>16537</v>
      </c>
      <c r="AR223" s="457">
        <v>420349</v>
      </c>
      <c r="AS223" s="457">
        <v>403812</v>
      </c>
      <c r="AT223" s="457">
        <v>16537</v>
      </c>
      <c r="AU223" s="457">
        <v>0</v>
      </c>
      <c r="AV223" s="457">
        <v>0</v>
      </c>
      <c r="AW223" s="457">
        <v>0</v>
      </c>
      <c r="AX223" s="457">
        <v>0</v>
      </c>
      <c r="AY223" s="457">
        <v>0</v>
      </c>
      <c r="AZ223" s="457">
        <v>0</v>
      </c>
      <c r="BA223" s="457">
        <v>1141523</v>
      </c>
      <c r="BB223" s="457">
        <v>978022</v>
      </c>
      <c r="BC223" s="457">
        <v>163501</v>
      </c>
      <c r="BD223" s="457">
        <v>0</v>
      </c>
      <c r="BE223" s="457">
        <v>0</v>
      </c>
      <c r="BF223" s="457">
        <v>0</v>
      </c>
      <c r="BG223" s="457">
        <v>23296</v>
      </c>
      <c r="BH223" s="457">
        <v>19960</v>
      </c>
      <c r="BI223" s="457">
        <v>3336</v>
      </c>
    </row>
    <row r="224" spans="1:61" ht="12.75" x14ac:dyDescent="0.2">
      <c r="A224" s="446">
        <v>217</v>
      </c>
      <c r="B224" s="447" t="s">
        <v>317</v>
      </c>
      <c r="C224" s="448" t="s">
        <v>1093</v>
      </c>
      <c r="D224" s="449" t="s">
        <v>1103</v>
      </c>
      <c r="E224" s="450" t="s">
        <v>316</v>
      </c>
      <c r="F224" s="457">
        <v>40117745</v>
      </c>
      <c r="G224" s="457">
        <v>0</v>
      </c>
      <c r="H224" s="457">
        <v>0</v>
      </c>
      <c r="I224" s="457">
        <v>40117745</v>
      </c>
      <c r="J224" s="457">
        <v>40330839</v>
      </c>
      <c r="K224" s="457">
        <v>0</v>
      </c>
      <c r="L224" s="457">
        <v>0</v>
      </c>
      <c r="M224" s="457">
        <v>40330839</v>
      </c>
      <c r="N224" s="457">
        <v>-213094</v>
      </c>
      <c r="O224" s="457">
        <v>0</v>
      </c>
      <c r="P224" s="457">
        <v>0</v>
      </c>
      <c r="Q224" s="457">
        <v>-213094</v>
      </c>
      <c r="R224" s="457">
        <v>47446</v>
      </c>
      <c r="S224" s="457">
        <v>0</v>
      </c>
      <c r="T224" s="457">
        <v>0</v>
      </c>
      <c r="U224" s="457">
        <v>47446</v>
      </c>
      <c r="V224" s="457">
        <v>-260540</v>
      </c>
      <c r="W224" s="457">
        <v>0</v>
      </c>
      <c r="X224" s="457">
        <v>0</v>
      </c>
      <c r="Y224" s="457">
        <v>-260540</v>
      </c>
      <c r="Z224" s="457">
        <v>135187</v>
      </c>
      <c r="AA224" s="457">
        <v>135187</v>
      </c>
      <c r="AB224" s="457">
        <v>0</v>
      </c>
      <c r="AC224" s="457">
        <v>0</v>
      </c>
      <c r="AD224" s="457">
        <v>0</v>
      </c>
      <c r="AE224" s="457">
        <v>0</v>
      </c>
      <c r="AF224" s="457">
        <v>0</v>
      </c>
      <c r="AG224" s="457">
        <v>0</v>
      </c>
      <c r="AH224" s="457">
        <v>0</v>
      </c>
      <c r="AI224" s="457">
        <v>0</v>
      </c>
      <c r="AJ224" s="457">
        <v>0</v>
      </c>
      <c r="AK224" s="457">
        <v>0</v>
      </c>
      <c r="AL224" s="457">
        <v>0</v>
      </c>
      <c r="AM224" s="457">
        <v>0</v>
      </c>
      <c r="AN224" s="457">
        <v>0</v>
      </c>
      <c r="AO224" s="457">
        <v>0</v>
      </c>
      <c r="AP224" s="457">
        <v>0</v>
      </c>
      <c r="AQ224" s="457">
        <v>0</v>
      </c>
      <c r="AR224" s="457">
        <v>0</v>
      </c>
      <c r="AS224" s="457">
        <v>0</v>
      </c>
      <c r="AT224" s="457">
        <v>0</v>
      </c>
      <c r="AU224" s="457">
        <v>0</v>
      </c>
      <c r="AV224" s="457">
        <v>0</v>
      </c>
      <c r="AW224" s="457">
        <v>0</v>
      </c>
      <c r="AX224" s="457">
        <v>0</v>
      </c>
      <c r="AY224" s="457">
        <v>0</v>
      </c>
      <c r="AZ224" s="457">
        <v>0</v>
      </c>
      <c r="BA224" s="457">
        <v>337032</v>
      </c>
      <c r="BB224" s="457">
        <v>229712</v>
      </c>
      <c r="BC224" s="457">
        <v>107320</v>
      </c>
      <c r="BD224" s="457">
        <v>84258</v>
      </c>
      <c r="BE224" s="457">
        <v>57428</v>
      </c>
      <c r="BF224" s="457">
        <v>26830</v>
      </c>
      <c r="BG224" s="457">
        <v>0</v>
      </c>
      <c r="BH224" s="457">
        <v>0</v>
      </c>
      <c r="BI224" s="457">
        <v>0</v>
      </c>
    </row>
    <row r="225" spans="1:61" ht="12.75" x14ac:dyDescent="0.2">
      <c r="A225" s="446">
        <v>218</v>
      </c>
      <c r="B225" s="447" t="s">
        <v>319</v>
      </c>
      <c r="C225" s="448" t="s">
        <v>1093</v>
      </c>
      <c r="D225" s="449" t="s">
        <v>1094</v>
      </c>
      <c r="E225" s="450" t="s">
        <v>318</v>
      </c>
      <c r="F225" s="457">
        <v>40775122</v>
      </c>
      <c r="G225" s="457">
        <v>0</v>
      </c>
      <c r="H225" s="457">
        <v>0</v>
      </c>
      <c r="I225" s="457">
        <v>40775122</v>
      </c>
      <c r="J225" s="457">
        <v>40838794</v>
      </c>
      <c r="K225" s="457">
        <v>0</v>
      </c>
      <c r="L225" s="457">
        <v>0</v>
      </c>
      <c r="M225" s="457">
        <v>40838794</v>
      </c>
      <c r="N225" s="457">
        <v>-63672</v>
      </c>
      <c r="O225" s="457">
        <v>0</v>
      </c>
      <c r="P225" s="457">
        <v>0</v>
      </c>
      <c r="Q225" s="457">
        <v>-63672</v>
      </c>
      <c r="R225" s="457">
        <v>22964</v>
      </c>
      <c r="S225" s="457">
        <v>0</v>
      </c>
      <c r="T225" s="457">
        <v>0</v>
      </c>
      <c r="U225" s="457">
        <v>22964</v>
      </c>
      <c r="V225" s="457">
        <v>-86636</v>
      </c>
      <c r="W225" s="457">
        <v>0</v>
      </c>
      <c r="X225" s="457">
        <v>0</v>
      </c>
      <c r="Y225" s="457">
        <v>-86636</v>
      </c>
      <c r="Z225" s="457">
        <v>128572</v>
      </c>
      <c r="AA225" s="457">
        <v>128572</v>
      </c>
      <c r="AB225" s="457">
        <v>0</v>
      </c>
      <c r="AC225" s="457">
        <v>0</v>
      </c>
      <c r="AD225" s="457">
        <v>0</v>
      </c>
      <c r="AE225" s="457">
        <v>0</v>
      </c>
      <c r="AF225" s="457">
        <v>0</v>
      </c>
      <c r="AG225" s="457">
        <v>0</v>
      </c>
      <c r="AH225" s="457">
        <v>0</v>
      </c>
      <c r="AI225" s="457">
        <v>0</v>
      </c>
      <c r="AJ225" s="457">
        <v>0</v>
      </c>
      <c r="AK225" s="457">
        <v>0</v>
      </c>
      <c r="AL225" s="457">
        <v>0</v>
      </c>
      <c r="AM225" s="457">
        <v>0</v>
      </c>
      <c r="AN225" s="457">
        <v>0</v>
      </c>
      <c r="AO225" s="457">
        <v>0</v>
      </c>
      <c r="AP225" s="457">
        <v>0</v>
      </c>
      <c r="AQ225" s="457">
        <v>0</v>
      </c>
      <c r="AR225" s="457">
        <v>0</v>
      </c>
      <c r="AS225" s="457">
        <v>0</v>
      </c>
      <c r="AT225" s="457">
        <v>0</v>
      </c>
      <c r="AU225" s="457">
        <v>0</v>
      </c>
      <c r="AV225" s="457">
        <v>0</v>
      </c>
      <c r="AW225" s="457">
        <v>0</v>
      </c>
      <c r="AX225" s="457">
        <v>0</v>
      </c>
      <c r="AY225" s="457">
        <v>0</v>
      </c>
      <c r="AZ225" s="457">
        <v>0</v>
      </c>
      <c r="BA225" s="457">
        <v>238699</v>
      </c>
      <c r="BB225" s="457">
        <v>203560</v>
      </c>
      <c r="BC225" s="457">
        <v>35139</v>
      </c>
      <c r="BD225" s="457">
        <v>59675</v>
      </c>
      <c r="BE225" s="457">
        <v>50890</v>
      </c>
      <c r="BF225" s="457">
        <v>8785</v>
      </c>
      <c r="BG225" s="457">
        <v>0</v>
      </c>
      <c r="BH225" s="457">
        <v>0</v>
      </c>
      <c r="BI225" s="457">
        <v>0</v>
      </c>
    </row>
    <row r="226" spans="1:61" ht="12.75" x14ac:dyDescent="0.2">
      <c r="A226" s="446">
        <v>219</v>
      </c>
      <c r="B226" s="447" t="s">
        <v>321</v>
      </c>
      <c r="C226" s="448" t="s">
        <v>1093</v>
      </c>
      <c r="D226" s="449" t="s">
        <v>1096</v>
      </c>
      <c r="E226" s="450" t="s">
        <v>320</v>
      </c>
      <c r="F226" s="457">
        <v>30807312</v>
      </c>
      <c r="G226" s="457">
        <v>0</v>
      </c>
      <c r="H226" s="457">
        <v>0</v>
      </c>
      <c r="I226" s="457">
        <v>30807312</v>
      </c>
      <c r="J226" s="457">
        <v>29446899</v>
      </c>
      <c r="K226" s="457">
        <v>0</v>
      </c>
      <c r="L226" s="457">
        <v>0</v>
      </c>
      <c r="M226" s="457">
        <v>29446899</v>
      </c>
      <c r="N226" s="457">
        <v>1360413</v>
      </c>
      <c r="O226" s="457">
        <v>0</v>
      </c>
      <c r="P226" s="457">
        <v>0</v>
      </c>
      <c r="Q226" s="457">
        <v>1360413</v>
      </c>
      <c r="R226" s="457">
        <v>2853105</v>
      </c>
      <c r="S226" s="457">
        <v>0</v>
      </c>
      <c r="T226" s="457">
        <v>0</v>
      </c>
      <c r="U226" s="457">
        <v>2853105</v>
      </c>
      <c r="V226" s="457">
        <v>-1492692</v>
      </c>
      <c r="W226" s="457">
        <v>0</v>
      </c>
      <c r="X226" s="457">
        <v>0</v>
      </c>
      <c r="Y226" s="457">
        <v>-1492692</v>
      </c>
      <c r="Z226" s="457">
        <v>110790</v>
      </c>
      <c r="AA226" s="457">
        <v>110790</v>
      </c>
      <c r="AB226" s="457">
        <v>0</v>
      </c>
      <c r="AC226" s="457">
        <v>0</v>
      </c>
      <c r="AD226" s="457">
        <v>0</v>
      </c>
      <c r="AE226" s="457">
        <v>0</v>
      </c>
      <c r="AF226" s="457">
        <v>0</v>
      </c>
      <c r="AG226" s="457">
        <v>0</v>
      </c>
      <c r="AH226" s="457">
        <v>0</v>
      </c>
      <c r="AI226" s="457">
        <v>0</v>
      </c>
      <c r="AJ226" s="457">
        <v>0</v>
      </c>
      <c r="AK226" s="457">
        <v>0</v>
      </c>
      <c r="AL226" s="457">
        <v>0</v>
      </c>
      <c r="AM226" s="457">
        <v>0</v>
      </c>
      <c r="AN226" s="457">
        <v>0</v>
      </c>
      <c r="AO226" s="457">
        <v>0</v>
      </c>
      <c r="AP226" s="457">
        <v>0</v>
      </c>
      <c r="AQ226" s="457">
        <v>0</v>
      </c>
      <c r="AR226" s="457">
        <v>0</v>
      </c>
      <c r="AS226" s="457">
        <v>0</v>
      </c>
      <c r="AT226" s="457">
        <v>0</v>
      </c>
      <c r="AU226" s="457">
        <v>0</v>
      </c>
      <c r="AV226" s="457">
        <v>0</v>
      </c>
      <c r="AW226" s="457">
        <v>0</v>
      </c>
      <c r="AX226" s="457">
        <v>0</v>
      </c>
      <c r="AY226" s="457">
        <v>0</v>
      </c>
      <c r="AZ226" s="457">
        <v>0</v>
      </c>
      <c r="BA226" s="457">
        <v>349640</v>
      </c>
      <c r="BB226" s="457">
        <v>299558</v>
      </c>
      <c r="BC226" s="457">
        <v>50082</v>
      </c>
      <c r="BD226" s="457">
        <v>78669</v>
      </c>
      <c r="BE226" s="457">
        <v>67400</v>
      </c>
      <c r="BF226" s="457">
        <v>11269</v>
      </c>
      <c r="BG226" s="457">
        <v>8741</v>
      </c>
      <c r="BH226" s="457">
        <v>7489</v>
      </c>
      <c r="BI226" s="457">
        <v>1252</v>
      </c>
    </row>
    <row r="227" spans="1:61" ht="12.75" x14ac:dyDescent="0.2">
      <c r="A227" s="446">
        <v>220</v>
      </c>
      <c r="B227" s="447" t="s">
        <v>323</v>
      </c>
      <c r="C227" s="448" t="s">
        <v>1093</v>
      </c>
      <c r="D227" s="449" t="s">
        <v>1094</v>
      </c>
      <c r="E227" s="450" t="s">
        <v>322</v>
      </c>
      <c r="F227" s="457">
        <v>43427818.5</v>
      </c>
      <c r="G227" s="457">
        <v>0</v>
      </c>
      <c r="H227" s="457">
        <v>0</v>
      </c>
      <c r="I227" s="457">
        <v>43427818.5</v>
      </c>
      <c r="J227" s="457">
        <v>44084180</v>
      </c>
      <c r="K227" s="457">
        <v>0</v>
      </c>
      <c r="L227" s="457">
        <v>0</v>
      </c>
      <c r="M227" s="457">
        <v>44084180</v>
      </c>
      <c r="N227" s="457">
        <v>-656361.51</v>
      </c>
      <c r="O227" s="457">
        <v>0</v>
      </c>
      <c r="P227" s="457">
        <v>0</v>
      </c>
      <c r="Q227" s="457">
        <v>-656361.51</v>
      </c>
      <c r="R227" s="457">
        <v>-153085</v>
      </c>
      <c r="S227" s="457">
        <v>0</v>
      </c>
      <c r="T227" s="457">
        <v>0</v>
      </c>
      <c r="U227" s="457">
        <v>-153085</v>
      </c>
      <c r="V227" s="457">
        <v>-503277</v>
      </c>
      <c r="W227" s="457">
        <v>0</v>
      </c>
      <c r="X227" s="457">
        <v>0</v>
      </c>
      <c r="Y227" s="457">
        <v>-503277</v>
      </c>
      <c r="Z227" s="457">
        <v>124561</v>
      </c>
      <c r="AA227" s="457">
        <v>124561</v>
      </c>
      <c r="AB227" s="457">
        <v>0</v>
      </c>
      <c r="AC227" s="457">
        <v>0</v>
      </c>
      <c r="AD227" s="457">
        <v>0</v>
      </c>
      <c r="AE227" s="457">
        <v>0</v>
      </c>
      <c r="AF227" s="457">
        <v>0</v>
      </c>
      <c r="AG227" s="457">
        <v>0</v>
      </c>
      <c r="AH227" s="457">
        <v>0</v>
      </c>
      <c r="AI227" s="457">
        <v>0</v>
      </c>
      <c r="AJ227" s="457">
        <v>0</v>
      </c>
      <c r="AK227" s="457">
        <v>0</v>
      </c>
      <c r="AL227" s="457">
        <v>0</v>
      </c>
      <c r="AM227" s="457">
        <v>0</v>
      </c>
      <c r="AN227" s="457">
        <v>0</v>
      </c>
      <c r="AO227" s="457">
        <v>0</v>
      </c>
      <c r="AP227" s="457">
        <v>0</v>
      </c>
      <c r="AQ227" s="457">
        <v>0</v>
      </c>
      <c r="AR227" s="457">
        <v>0</v>
      </c>
      <c r="AS227" s="457">
        <v>0</v>
      </c>
      <c r="AT227" s="457">
        <v>0</v>
      </c>
      <c r="AU227" s="457">
        <v>0</v>
      </c>
      <c r="AV227" s="457">
        <v>0</v>
      </c>
      <c r="AW227" s="457">
        <v>0</v>
      </c>
      <c r="AX227" s="457">
        <v>0</v>
      </c>
      <c r="AY227" s="457">
        <v>0</v>
      </c>
      <c r="AZ227" s="457">
        <v>0</v>
      </c>
      <c r="BA227" s="457">
        <v>226902</v>
      </c>
      <c r="BB227" s="457">
        <v>198502</v>
      </c>
      <c r="BC227" s="457">
        <v>28400</v>
      </c>
      <c r="BD227" s="457">
        <v>51053</v>
      </c>
      <c r="BE227" s="457">
        <v>44663</v>
      </c>
      <c r="BF227" s="457">
        <v>6390</v>
      </c>
      <c r="BG227" s="457">
        <v>5673</v>
      </c>
      <c r="BH227" s="457">
        <v>4963</v>
      </c>
      <c r="BI227" s="457">
        <v>710</v>
      </c>
    </row>
    <row r="228" spans="1:61" ht="12.75" x14ac:dyDescent="0.2">
      <c r="A228" s="446">
        <v>221</v>
      </c>
      <c r="B228" s="447" t="s">
        <v>325</v>
      </c>
      <c r="C228" s="448" t="s">
        <v>794</v>
      </c>
      <c r="D228" s="449" t="s">
        <v>1096</v>
      </c>
      <c r="E228" s="450" t="s">
        <v>742</v>
      </c>
      <c r="F228" s="457">
        <v>9695845</v>
      </c>
      <c r="G228" s="457">
        <v>0</v>
      </c>
      <c r="H228" s="457">
        <v>0</v>
      </c>
      <c r="I228" s="457">
        <v>9695845</v>
      </c>
      <c r="J228" s="457">
        <v>9743895</v>
      </c>
      <c r="K228" s="457">
        <v>0</v>
      </c>
      <c r="L228" s="457">
        <v>0</v>
      </c>
      <c r="M228" s="457">
        <v>9743895</v>
      </c>
      <c r="N228" s="457">
        <v>-48050</v>
      </c>
      <c r="O228" s="457">
        <v>0</v>
      </c>
      <c r="P228" s="457">
        <v>0</v>
      </c>
      <c r="Q228" s="457">
        <v>-48050</v>
      </c>
      <c r="R228" s="457">
        <v>16837</v>
      </c>
      <c r="S228" s="457">
        <v>0</v>
      </c>
      <c r="T228" s="457">
        <v>0</v>
      </c>
      <c r="U228" s="457">
        <v>16837</v>
      </c>
      <c r="V228" s="457">
        <v>-64887</v>
      </c>
      <c r="W228" s="457">
        <v>0</v>
      </c>
      <c r="X228" s="457">
        <v>0</v>
      </c>
      <c r="Y228" s="457">
        <v>-64887</v>
      </c>
      <c r="Z228" s="457">
        <v>53206</v>
      </c>
      <c r="AA228" s="457">
        <v>53206</v>
      </c>
      <c r="AB228" s="457">
        <v>0</v>
      </c>
      <c r="AC228" s="457">
        <v>0</v>
      </c>
      <c r="AD228" s="457">
        <v>0</v>
      </c>
      <c r="AE228" s="457">
        <v>0</v>
      </c>
      <c r="AF228" s="457">
        <v>0</v>
      </c>
      <c r="AG228" s="457">
        <v>0</v>
      </c>
      <c r="AH228" s="457">
        <v>0</v>
      </c>
      <c r="AI228" s="457">
        <v>0</v>
      </c>
      <c r="AJ228" s="457">
        <v>0</v>
      </c>
      <c r="AK228" s="457">
        <v>0</v>
      </c>
      <c r="AL228" s="457">
        <v>0</v>
      </c>
      <c r="AM228" s="457">
        <v>0</v>
      </c>
      <c r="AN228" s="457">
        <v>0</v>
      </c>
      <c r="AO228" s="457">
        <v>0</v>
      </c>
      <c r="AP228" s="457">
        <v>0</v>
      </c>
      <c r="AQ228" s="457">
        <v>0</v>
      </c>
      <c r="AR228" s="457">
        <v>0</v>
      </c>
      <c r="AS228" s="457">
        <v>0</v>
      </c>
      <c r="AT228" s="457">
        <v>0</v>
      </c>
      <c r="AU228" s="457">
        <v>0</v>
      </c>
      <c r="AV228" s="457">
        <v>0</v>
      </c>
      <c r="AW228" s="457">
        <v>0</v>
      </c>
      <c r="AX228" s="457">
        <v>0</v>
      </c>
      <c r="AY228" s="457">
        <v>0</v>
      </c>
      <c r="AZ228" s="457">
        <v>0</v>
      </c>
      <c r="BA228" s="457">
        <v>197516</v>
      </c>
      <c r="BB228" s="457">
        <v>165341</v>
      </c>
      <c r="BC228" s="457">
        <v>32175</v>
      </c>
      <c r="BD228" s="457">
        <v>0</v>
      </c>
      <c r="BE228" s="457">
        <v>0</v>
      </c>
      <c r="BF228" s="457">
        <v>0</v>
      </c>
      <c r="BG228" s="457">
        <v>4031</v>
      </c>
      <c r="BH228" s="457">
        <v>3374</v>
      </c>
      <c r="BI228" s="457">
        <v>657</v>
      </c>
    </row>
    <row r="229" spans="1:61" ht="12.75" x14ac:dyDescent="0.2">
      <c r="A229" s="446">
        <v>222</v>
      </c>
      <c r="B229" s="447" t="s">
        <v>327</v>
      </c>
      <c r="C229" s="448" t="s">
        <v>1093</v>
      </c>
      <c r="D229" s="449" t="s">
        <v>1101</v>
      </c>
      <c r="E229" s="450" t="s">
        <v>326</v>
      </c>
      <c r="F229" s="457">
        <v>15293925</v>
      </c>
      <c r="G229" s="457">
        <v>0</v>
      </c>
      <c r="H229" s="457">
        <v>0</v>
      </c>
      <c r="I229" s="457">
        <v>15293925</v>
      </c>
      <c r="J229" s="457">
        <v>15179360</v>
      </c>
      <c r="K229" s="457">
        <v>0</v>
      </c>
      <c r="L229" s="457">
        <v>0</v>
      </c>
      <c r="M229" s="457">
        <v>15179360</v>
      </c>
      <c r="N229" s="457">
        <v>114565</v>
      </c>
      <c r="O229" s="457">
        <v>0</v>
      </c>
      <c r="P229" s="457">
        <v>0</v>
      </c>
      <c r="Q229" s="457">
        <v>114565</v>
      </c>
      <c r="R229" s="457">
        <v>181727</v>
      </c>
      <c r="S229" s="457">
        <v>0</v>
      </c>
      <c r="T229" s="457">
        <v>0</v>
      </c>
      <c r="U229" s="457">
        <v>181727</v>
      </c>
      <c r="V229" s="457">
        <v>-67162</v>
      </c>
      <c r="W229" s="457">
        <v>0</v>
      </c>
      <c r="X229" s="457">
        <v>0</v>
      </c>
      <c r="Y229" s="457">
        <v>-67162</v>
      </c>
      <c r="Z229" s="457">
        <v>111364</v>
      </c>
      <c r="AA229" s="457">
        <v>111364</v>
      </c>
      <c r="AB229" s="457">
        <v>0</v>
      </c>
      <c r="AC229" s="457">
        <v>0</v>
      </c>
      <c r="AD229" s="457">
        <v>0</v>
      </c>
      <c r="AE229" s="457">
        <v>0</v>
      </c>
      <c r="AF229" s="457">
        <v>0</v>
      </c>
      <c r="AG229" s="457">
        <v>0</v>
      </c>
      <c r="AH229" s="457">
        <v>0</v>
      </c>
      <c r="AI229" s="457">
        <v>0</v>
      </c>
      <c r="AJ229" s="457">
        <v>0</v>
      </c>
      <c r="AK229" s="457">
        <v>0</v>
      </c>
      <c r="AL229" s="457">
        <v>0</v>
      </c>
      <c r="AM229" s="457">
        <v>0</v>
      </c>
      <c r="AN229" s="457">
        <v>0</v>
      </c>
      <c r="AO229" s="457">
        <v>0</v>
      </c>
      <c r="AP229" s="457">
        <v>0</v>
      </c>
      <c r="AQ229" s="457">
        <v>0</v>
      </c>
      <c r="AR229" s="457">
        <v>0</v>
      </c>
      <c r="AS229" s="457">
        <v>0</v>
      </c>
      <c r="AT229" s="457">
        <v>0</v>
      </c>
      <c r="AU229" s="457">
        <v>0</v>
      </c>
      <c r="AV229" s="457">
        <v>0</v>
      </c>
      <c r="AW229" s="457">
        <v>0</v>
      </c>
      <c r="AX229" s="457">
        <v>0</v>
      </c>
      <c r="AY229" s="457">
        <v>0</v>
      </c>
      <c r="AZ229" s="457">
        <v>0</v>
      </c>
      <c r="BA229" s="457">
        <v>394988</v>
      </c>
      <c r="BB229" s="457">
        <v>363348</v>
      </c>
      <c r="BC229" s="457">
        <v>31640</v>
      </c>
      <c r="BD229" s="457">
        <v>88872</v>
      </c>
      <c r="BE229" s="457">
        <v>81753</v>
      </c>
      <c r="BF229" s="457">
        <v>7119</v>
      </c>
      <c r="BG229" s="457">
        <v>9875</v>
      </c>
      <c r="BH229" s="457">
        <v>9084</v>
      </c>
      <c r="BI229" s="457">
        <v>791</v>
      </c>
    </row>
    <row r="230" spans="1:61" ht="12.75" x14ac:dyDescent="0.2">
      <c r="A230" s="446">
        <v>223</v>
      </c>
      <c r="B230" s="447" t="s">
        <v>329</v>
      </c>
      <c r="C230" s="448" t="s">
        <v>1100</v>
      </c>
      <c r="D230" s="449" t="s">
        <v>1095</v>
      </c>
      <c r="E230" s="450" t="s">
        <v>328</v>
      </c>
      <c r="F230" s="457">
        <v>88583014</v>
      </c>
      <c r="G230" s="457">
        <v>0</v>
      </c>
      <c r="H230" s="457">
        <v>0</v>
      </c>
      <c r="I230" s="457">
        <v>88583014</v>
      </c>
      <c r="J230" s="457">
        <v>89609793</v>
      </c>
      <c r="K230" s="457">
        <v>0</v>
      </c>
      <c r="L230" s="457">
        <v>0</v>
      </c>
      <c r="M230" s="457">
        <v>89609793</v>
      </c>
      <c r="N230" s="457">
        <v>-1026779</v>
      </c>
      <c r="O230" s="457">
        <v>0</v>
      </c>
      <c r="P230" s="457">
        <v>0</v>
      </c>
      <c r="Q230" s="457">
        <v>-1026779</v>
      </c>
      <c r="R230" s="457">
        <v>-234228</v>
      </c>
      <c r="S230" s="457">
        <v>0</v>
      </c>
      <c r="T230" s="457">
        <v>0</v>
      </c>
      <c r="U230" s="457">
        <v>-234228</v>
      </c>
      <c r="V230" s="457">
        <v>-792551</v>
      </c>
      <c r="W230" s="457">
        <v>0</v>
      </c>
      <c r="X230" s="457">
        <v>0</v>
      </c>
      <c r="Y230" s="457">
        <v>-792551</v>
      </c>
      <c r="Z230" s="457">
        <v>439400</v>
      </c>
      <c r="AA230" s="457">
        <v>439400</v>
      </c>
      <c r="AB230" s="457">
        <v>0</v>
      </c>
      <c r="AC230" s="457">
        <v>0</v>
      </c>
      <c r="AD230" s="457">
        <v>0</v>
      </c>
      <c r="AE230" s="457">
        <v>0</v>
      </c>
      <c r="AF230" s="457">
        <v>0</v>
      </c>
      <c r="AG230" s="457">
        <v>0</v>
      </c>
      <c r="AH230" s="457">
        <v>0</v>
      </c>
      <c r="AI230" s="457">
        <v>0</v>
      </c>
      <c r="AJ230" s="457">
        <v>0</v>
      </c>
      <c r="AK230" s="457">
        <v>0</v>
      </c>
      <c r="AL230" s="457">
        <v>0</v>
      </c>
      <c r="AM230" s="457">
        <v>0</v>
      </c>
      <c r="AN230" s="457">
        <v>0</v>
      </c>
      <c r="AO230" s="457">
        <v>0</v>
      </c>
      <c r="AP230" s="457">
        <v>0</v>
      </c>
      <c r="AQ230" s="457">
        <v>0</v>
      </c>
      <c r="AR230" s="457">
        <v>0</v>
      </c>
      <c r="AS230" s="457">
        <v>0</v>
      </c>
      <c r="AT230" s="457">
        <v>0</v>
      </c>
      <c r="AU230" s="457">
        <v>0</v>
      </c>
      <c r="AV230" s="457">
        <v>0</v>
      </c>
      <c r="AW230" s="457">
        <v>0</v>
      </c>
      <c r="AX230" s="457">
        <v>0</v>
      </c>
      <c r="AY230" s="457">
        <v>0</v>
      </c>
      <c r="AZ230" s="457">
        <v>0</v>
      </c>
      <c r="BA230" s="457">
        <v>1007908</v>
      </c>
      <c r="BB230" s="457">
        <v>830119</v>
      </c>
      <c r="BC230" s="457">
        <v>177789</v>
      </c>
      <c r="BD230" s="457">
        <v>0</v>
      </c>
      <c r="BE230" s="457">
        <v>0</v>
      </c>
      <c r="BF230" s="457">
        <v>0</v>
      </c>
      <c r="BG230" s="457">
        <v>20570</v>
      </c>
      <c r="BH230" s="457">
        <v>16941</v>
      </c>
      <c r="BI230" s="457">
        <v>3629</v>
      </c>
    </row>
    <row r="231" spans="1:61" ht="12.75" x14ac:dyDescent="0.2">
      <c r="A231" s="446">
        <v>224</v>
      </c>
      <c r="B231" s="447" t="s">
        <v>331</v>
      </c>
      <c r="C231" s="448" t="s">
        <v>1100</v>
      </c>
      <c r="D231" s="449" t="s">
        <v>1103</v>
      </c>
      <c r="E231" s="450" t="s">
        <v>330</v>
      </c>
      <c r="F231" s="457">
        <v>91366141</v>
      </c>
      <c r="G231" s="457">
        <v>0</v>
      </c>
      <c r="H231" s="457">
        <v>0</v>
      </c>
      <c r="I231" s="457">
        <v>91366141</v>
      </c>
      <c r="J231" s="457">
        <v>91837510</v>
      </c>
      <c r="K231" s="457">
        <v>0</v>
      </c>
      <c r="L231" s="457">
        <v>0</v>
      </c>
      <c r="M231" s="457">
        <v>91837510</v>
      </c>
      <c r="N231" s="457">
        <v>-471369</v>
      </c>
      <c r="O231" s="457">
        <v>0</v>
      </c>
      <c r="P231" s="457">
        <v>0</v>
      </c>
      <c r="Q231" s="457">
        <v>-471369</v>
      </c>
      <c r="R231" s="457">
        <v>-87388</v>
      </c>
      <c r="S231" s="457">
        <v>0</v>
      </c>
      <c r="T231" s="457">
        <v>0</v>
      </c>
      <c r="U231" s="457">
        <v>-87388</v>
      </c>
      <c r="V231" s="457">
        <v>-383981</v>
      </c>
      <c r="W231" s="457">
        <v>0</v>
      </c>
      <c r="X231" s="457">
        <v>0</v>
      </c>
      <c r="Y231" s="457">
        <v>-383981</v>
      </c>
      <c r="Z231" s="457">
        <v>438871</v>
      </c>
      <c r="AA231" s="457">
        <v>438871</v>
      </c>
      <c r="AB231" s="457">
        <v>0</v>
      </c>
      <c r="AC231" s="457">
        <v>0</v>
      </c>
      <c r="AD231" s="457">
        <v>0</v>
      </c>
      <c r="AE231" s="457">
        <v>0</v>
      </c>
      <c r="AF231" s="457">
        <v>0</v>
      </c>
      <c r="AG231" s="457">
        <v>0</v>
      </c>
      <c r="AH231" s="457">
        <v>0</v>
      </c>
      <c r="AI231" s="457">
        <v>0</v>
      </c>
      <c r="AJ231" s="457">
        <v>0</v>
      </c>
      <c r="AK231" s="457">
        <v>0</v>
      </c>
      <c r="AL231" s="457">
        <v>0</v>
      </c>
      <c r="AM231" s="457">
        <v>0</v>
      </c>
      <c r="AN231" s="457">
        <v>0</v>
      </c>
      <c r="AO231" s="457">
        <v>0</v>
      </c>
      <c r="AP231" s="457">
        <v>0</v>
      </c>
      <c r="AQ231" s="457">
        <v>0</v>
      </c>
      <c r="AR231" s="457">
        <v>0</v>
      </c>
      <c r="AS231" s="457">
        <v>0</v>
      </c>
      <c r="AT231" s="457">
        <v>0</v>
      </c>
      <c r="AU231" s="457">
        <v>0</v>
      </c>
      <c r="AV231" s="457">
        <v>0</v>
      </c>
      <c r="AW231" s="457">
        <v>0</v>
      </c>
      <c r="AX231" s="457">
        <v>0</v>
      </c>
      <c r="AY231" s="457">
        <v>0</v>
      </c>
      <c r="AZ231" s="457">
        <v>0</v>
      </c>
      <c r="BA231" s="457">
        <v>1731001</v>
      </c>
      <c r="BB231" s="457">
        <v>1292515</v>
      </c>
      <c r="BC231" s="457">
        <v>438486</v>
      </c>
      <c r="BD231" s="457">
        <v>0</v>
      </c>
      <c r="BE231" s="457">
        <v>0</v>
      </c>
      <c r="BF231" s="457">
        <v>0</v>
      </c>
      <c r="BG231" s="457">
        <v>35327</v>
      </c>
      <c r="BH231" s="457">
        <v>26378</v>
      </c>
      <c r="BI231" s="457">
        <v>8949</v>
      </c>
    </row>
    <row r="232" spans="1:61" ht="12.75" x14ac:dyDescent="0.2">
      <c r="A232" s="446">
        <v>225</v>
      </c>
      <c r="B232" s="447" t="s">
        <v>333</v>
      </c>
      <c r="C232" s="448" t="s">
        <v>1093</v>
      </c>
      <c r="D232" s="449" t="s">
        <v>1101</v>
      </c>
      <c r="E232" s="450" t="s">
        <v>332</v>
      </c>
      <c r="F232" s="457">
        <v>33175841</v>
      </c>
      <c r="G232" s="457">
        <v>0</v>
      </c>
      <c r="H232" s="457">
        <v>0</v>
      </c>
      <c r="I232" s="457">
        <v>33175841</v>
      </c>
      <c r="J232" s="457">
        <v>33769912</v>
      </c>
      <c r="K232" s="457">
        <v>0</v>
      </c>
      <c r="L232" s="457">
        <v>0</v>
      </c>
      <c r="M232" s="457">
        <v>33769912</v>
      </c>
      <c r="N232" s="457">
        <v>-594071</v>
      </c>
      <c r="O232" s="457">
        <v>0</v>
      </c>
      <c r="P232" s="457">
        <v>0</v>
      </c>
      <c r="Q232" s="457">
        <v>-594071</v>
      </c>
      <c r="R232" s="457">
        <v>312356</v>
      </c>
      <c r="S232" s="457">
        <v>0</v>
      </c>
      <c r="T232" s="457">
        <v>0</v>
      </c>
      <c r="U232" s="457">
        <v>312356</v>
      </c>
      <c r="V232" s="457">
        <v>-906427</v>
      </c>
      <c r="W232" s="457">
        <v>0</v>
      </c>
      <c r="X232" s="457">
        <v>0</v>
      </c>
      <c r="Y232" s="457">
        <v>-906427</v>
      </c>
      <c r="Z232" s="457">
        <v>247588</v>
      </c>
      <c r="AA232" s="457">
        <v>247588</v>
      </c>
      <c r="AB232" s="457">
        <v>0</v>
      </c>
      <c r="AC232" s="457">
        <v>0</v>
      </c>
      <c r="AD232" s="457">
        <v>0</v>
      </c>
      <c r="AE232" s="457">
        <v>0</v>
      </c>
      <c r="AF232" s="457">
        <v>0</v>
      </c>
      <c r="AG232" s="457">
        <v>0</v>
      </c>
      <c r="AH232" s="457">
        <v>0</v>
      </c>
      <c r="AI232" s="457">
        <v>0</v>
      </c>
      <c r="AJ232" s="457">
        <v>0</v>
      </c>
      <c r="AK232" s="457">
        <v>0</v>
      </c>
      <c r="AL232" s="457">
        <v>0</v>
      </c>
      <c r="AM232" s="457">
        <v>0</v>
      </c>
      <c r="AN232" s="457">
        <v>0</v>
      </c>
      <c r="AO232" s="457">
        <v>0</v>
      </c>
      <c r="AP232" s="457">
        <v>0</v>
      </c>
      <c r="AQ232" s="457">
        <v>0</v>
      </c>
      <c r="AR232" s="457">
        <v>0</v>
      </c>
      <c r="AS232" s="457">
        <v>0</v>
      </c>
      <c r="AT232" s="457">
        <v>0</v>
      </c>
      <c r="AU232" s="457">
        <v>0</v>
      </c>
      <c r="AV232" s="457">
        <v>0</v>
      </c>
      <c r="AW232" s="457">
        <v>0</v>
      </c>
      <c r="AX232" s="457">
        <v>0</v>
      </c>
      <c r="AY232" s="457">
        <v>0</v>
      </c>
      <c r="AZ232" s="457">
        <v>0</v>
      </c>
      <c r="BA232" s="457">
        <v>945327</v>
      </c>
      <c r="BB232" s="457">
        <v>817320</v>
      </c>
      <c r="BC232" s="457">
        <v>128007</v>
      </c>
      <c r="BD232" s="457">
        <v>212699</v>
      </c>
      <c r="BE232" s="457">
        <v>183897</v>
      </c>
      <c r="BF232" s="457">
        <v>28802</v>
      </c>
      <c r="BG232" s="457">
        <v>23633</v>
      </c>
      <c r="BH232" s="457">
        <v>20433</v>
      </c>
      <c r="BI232" s="457">
        <v>3200</v>
      </c>
    </row>
    <row r="233" spans="1:61" ht="12.75" x14ac:dyDescent="0.2">
      <c r="A233" s="446">
        <v>226</v>
      </c>
      <c r="B233" s="447" t="s">
        <v>335</v>
      </c>
      <c r="C233" s="448" t="s">
        <v>1093</v>
      </c>
      <c r="D233" s="449" t="s">
        <v>1102</v>
      </c>
      <c r="E233" s="450" t="s">
        <v>334</v>
      </c>
      <c r="F233" s="457">
        <v>152301</v>
      </c>
      <c r="G233" s="457">
        <v>0</v>
      </c>
      <c r="H233" s="457">
        <v>0</v>
      </c>
      <c r="I233" s="457">
        <v>152301</v>
      </c>
      <c r="J233" s="457">
        <v>209657</v>
      </c>
      <c r="K233" s="457">
        <v>0</v>
      </c>
      <c r="L233" s="457">
        <v>0</v>
      </c>
      <c r="M233" s="457">
        <v>209657</v>
      </c>
      <c r="N233" s="457">
        <v>-57356</v>
      </c>
      <c r="O233" s="457">
        <v>0</v>
      </c>
      <c r="P233" s="457">
        <v>0</v>
      </c>
      <c r="Q233" s="457">
        <v>-57356</v>
      </c>
      <c r="R233" s="457">
        <v>151712</v>
      </c>
      <c r="S233" s="457">
        <v>0</v>
      </c>
      <c r="T233" s="457">
        <v>0</v>
      </c>
      <c r="U233" s="457">
        <v>151711</v>
      </c>
      <c r="V233" s="457">
        <v>-209068</v>
      </c>
      <c r="W233" s="457">
        <v>0</v>
      </c>
      <c r="X233" s="457">
        <v>0</v>
      </c>
      <c r="Y233" s="457">
        <v>-209068</v>
      </c>
      <c r="Z233" s="457">
        <v>162353</v>
      </c>
      <c r="AA233" s="457">
        <v>162353</v>
      </c>
      <c r="AB233" s="457">
        <v>0</v>
      </c>
      <c r="AC233" s="457">
        <v>0</v>
      </c>
      <c r="AD233" s="457">
        <v>0</v>
      </c>
      <c r="AE233" s="457">
        <v>0</v>
      </c>
      <c r="AF233" s="457">
        <v>0</v>
      </c>
      <c r="AG233" s="457">
        <v>0</v>
      </c>
      <c r="AH233" s="457">
        <v>0</v>
      </c>
      <c r="AI233" s="457">
        <v>507</v>
      </c>
      <c r="AJ233" s="457">
        <v>9420</v>
      </c>
      <c r="AK233" s="457">
        <v>-8913</v>
      </c>
      <c r="AL233" s="457">
        <v>0</v>
      </c>
      <c r="AM233" s="457">
        <v>0</v>
      </c>
      <c r="AN233" s="457">
        <v>0</v>
      </c>
      <c r="AO233" s="457">
        <v>0</v>
      </c>
      <c r="AP233" s="457">
        <v>0</v>
      </c>
      <c r="AQ233" s="457">
        <v>0</v>
      </c>
      <c r="AR233" s="457">
        <v>0</v>
      </c>
      <c r="AS233" s="457">
        <v>0</v>
      </c>
      <c r="AT233" s="457">
        <v>0</v>
      </c>
      <c r="AU233" s="457">
        <v>0</v>
      </c>
      <c r="AV233" s="457">
        <v>0</v>
      </c>
      <c r="AW233" s="457">
        <v>0</v>
      </c>
      <c r="AX233" s="457">
        <v>0</v>
      </c>
      <c r="AY233" s="457">
        <v>0</v>
      </c>
      <c r="AZ233" s="457">
        <v>0</v>
      </c>
      <c r="BA233" s="457">
        <v>514518</v>
      </c>
      <c r="BB233" s="457">
        <v>440093</v>
      </c>
      <c r="BC233" s="457">
        <v>74425</v>
      </c>
      <c r="BD233" s="457">
        <v>115767</v>
      </c>
      <c r="BE233" s="457">
        <v>99021</v>
      </c>
      <c r="BF233" s="457">
        <v>16746</v>
      </c>
      <c r="BG233" s="457">
        <v>12863</v>
      </c>
      <c r="BH233" s="457">
        <v>11002</v>
      </c>
      <c r="BI233" s="457">
        <v>1861</v>
      </c>
    </row>
    <row r="234" spans="1:61" ht="12.75" x14ac:dyDescent="0.2">
      <c r="A234" s="446">
        <v>227</v>
      </c>
      <c r="B234" s="447" t="s">
        <v>337</v>
      </c>
      <c r="C234" s="448" t="s">
        <v>1100</v>
      </c>
      <c r="D234" s="449" t="s">
        <v>1095</v>
      </c>
      <c r="E234" s="450" t="s">
        <v>336</v>
      </c>
      <c r="F234" s="457">
        <v>67889320</v>
      </c>
      <c r="G234" s="457">
        <v>0</v>
      </c>
      <c r="H234" s="457">
        <v>0</v>
      </c>
      <c r="I234" s="457">
        <v>67889320</v>
      </c>
      <c r="J234" s="457">
        <v>65932430</v>
      </c>
      <c r="K234" s="457">
        <v>0</v>
      </c>
      <c r="L234" s="457">
        <v>0</v>
      </c>
      <c r="M234" s="457">
        <v>65932430</v>
      </c>
      <c r="N234" s="457">
        <v>1956890</v>
      </c>
      <c r="O234" s="457">
        <v>0</v>
      </c>
      <c r="P234" s="457">
        <v>0</v>
      </c>
      <c r="Q234" s="457">
        <v>1956890</v>
      </c>
      <c r="R234" s="457">
        <v>-687448</v>
      </c>
      <c r="S234" s="457">
        <v>0</v>
      </c>
      <c r="T234" s="457">
        <v>0</v>
      </c>
      <c r="U234" s="457">
        <v>-687448</v>
      </c>
      <c r="V234" s="457">
        <v>2644338</v>
      </c>
      <c r="W234" s="457">
        <v>0</v>
      </c>
      <c r="X234" s="457">
        <v>0</v>
      </c>
      <c r="Y234" s="457">
        <v>2644338</v>
      </c>
      <c r="Z234" s="457">
        <v>322252</v>
      </c>
      <c r="AA234" s="457">
        <v>322252</v>
      </c>
      <c r="AB234" s="457">
        <v>0</v>
      </c>
      <c r="AC234" s="457">
        <v>0</v>
      </c>
      <c r="AD234" s="457">
        <v>0</v>
      </c>
      <c r="AE234" s="457">
        <v>0</v>
      </c>
      <c r="AF234" s="457">
        <v>0</v>
      </c>
      <c r="AG234" s="457">
        <v>0</v>
      </c>
      <c r="AH234" s="457">
        <v>0</v>
      </c>
      <c r="AI234" s="457">
        <v>0</v>
      </c>
      <c r="AJ234" s="457">
        <v>0</v>
      </c>
      <c r="AK234" s="457">
        <v>0</v>
      </c>
      <c r="AL234" s="457">
        <v>0</v>
      </c>
      <c r="AM234" s="457">
        <v>0</v>
      </c>
      <c r="AN234" s="457">
        <v>0</v>
      </c>
      <c r="AO234" s="457">
        <v>0</v>
      </c>
      <c r="AP234" s="457">
        <v>0</v>
      </c>
      <c r="AQ234" s="457">
        <v>0</v>
      </c>
      <c r="AR234" s="457">
        <v>0</v>
      </c>
      <c r="AS234" s="457">
        <v>0</v>
      </c>
      <c r="AT234" s="457">
        <v>0</v>
      </c>
      <c r="AU234" s="457">
        <v>0</v>
      </c>
      <c r="AV234" s="457">
        <v>0</v>
      </c>
      <c r="AW234" s="457">
        <v>0</v>
      </c>
      <c r="AX234" s="457">
        <v>0</v>
      </c>
      <c r="AY234" s="457">
        <v>0</v>
      </c>
      <c r="AZ234" s="457">
        <v>0</v>
      </c>
      <c r="BA234" s="457">
        <v>1298460</v>
      </c>
      <c r="BB234" s="457">
        <v>1066126</v>
      </c>
      <c r="BC234" s="457">
        <v>232334</v>
      </c>
      <c r="BD234" s="457">
        <v>0</v>
      </c>
      <c r="BE234" s="457">
        <v>0</v>
      </c>
      <c r="BF234" s="457">
        <v>0</v>
      </c>
      <c r="BG234" s="457">
        <v>26499</v>
      </c>
      <c r="BH234" s="457">
        <v>21758</v>
      </c>
      <c r="BI234" s="457">
        <v>4741</v>
      </c>
    </row>
    <row r="235" spans="1:61" ht="12.75" x14ac:dyDescent="0.2">
      <c r="A235" s="446">
        <v>228</v>
      </c>
      <c r="B235" s="447" t="s">
        <v>339</v>
      </c>
      <c r="C235" s="448" t="s">
        <v>1093</v>
      </c>
      <c r="D235" s="449" t="s">
        <v>1101</v>
      </c>
      <c r="E235" s="450" t="s">
        <v>338</v>
      </c>
      <c r="F235" s="457">
        <v>37743503</v>
      </c>
      <c r="G235" s="457">
        <v>0</v>
      </c>
      <c r="H235" s="457">
        <v>0</v>
      </c>
      <c r="I235" s="457">
        <v>37743503</v>
      </c>
      <c r="J235" s="457">
        <v>41939969</v>
      </c>
      <c r="K235" s="457">
        <v>0</v>
      </c>
      <c r="L235" s="457">
        <v>0</v>
      </c>
      <c r="M235" s="457">
        <v>41939969</v>
      </c>
      <c r="N235" s="457">
        <v>-4196466</v>
      </c>
      <c r="O235" s="457">
        <v>0</v>
      </c>
      <c r="P235" s="457">
        <v>0</v>
      </c>
      <c r="Q235" s="457">
        <v>-4196466</v>
      </c>
      <c r="R235" s="457">
        <v>1787445</v>
      </c>
      <c r="S235" s="457">
        <v>0</v>
      </c>
      <c r="T235" s="457">
        <v>0</v>
      </c>
      <c r="U235" s="457">
        <v>1787445</v>
      </c>
      <c r="V235" s="457">
        <v>-5983911</v>
      </c>
      <c r="W235" s="457">
        <v>0</v>
      </c>
      <c r="X235" s="457">
        <v>0</v>
      </c>
      <c r="Y235" s="457">
        <v>-5983911</v>
      </c>
      <c r="Z235" s="457">
        <v>120601</v>
      </c>
      <c r="AA235" s="457">
        <v>120601</v>
      </c>
      <c r="AB235" s="457">
        <v>0</v>
      </c>
      <c r="AC235" s="457">
        <v>0</v>
      </c>
      <c r="AD235" s="457">
        <v>0</v>
      </c>
      <c r="AE235" s="457">
        <v>0</v>
      </c>
      <c r="AF235" s="457">
        <v>0</v>
      </c>
      <c r="AG235" s="457">
        <v>0</v>
      </c>
      <c r="AH235" s="457">
        <v>0</v>
      </c>
      <c r="AI235" s="457">
        <v>9186</v>
      </c>
      <c r="AJ235" s="457">
        <v>0</v>
      </c>
      <c r="AK235" s="457">
        <v>9186</v>
      </c>
      <c r="AL235" s="457">
        <v>0</v>
      </c>
      <c r="AM235" s="457">
        <v>0</v>
      </c>
      <c r="AN235" s="457">
        <v>0</v>
      </c>
      <c r="AO235" s="457">
        <v>0</v>
      </c>
      <c r="AP235" s="457">
        <v>0</v>
      </c>
      <c r="AQ235" s="457">
        <v>0</v>
      </c>
      <c r="AR235" s="457">
        <v>0</v>
      </c>
      <c r="AS235" s="457">
        <v>0</v>
      </c>
      <c r="AT235" s="457">
        <v>0</v>
      </c>
      <c r="AU235" s="457">
        <v>0</v>
      </c>
      <c r="AV235" s="457">
        <v>0</v>
      </c>
      <c r="AW235" s="457">
        <v>0</v>
      </c>
      <c r="AX235" s="457">
        <v>0</v>
      </c>
      <c r="AY235" s="457">
        <v>0</v>
      </c>
      <c r="AZ235" s="457">
        <v>0</v>
      </c>
      <c r="BA235" s="457">
        <v>303260</v>
      </c>
      <c r="BB235" s="457">
        <v>251581</v>
      </c>
      <c r="BC235" s="457">
        <v>51679</v>
      </c>
      <c r="BD235" s="457">
        <v>68234</v>
      </c>
      <c r="BE235" s="457">
        <v>56606</v>
      </c>
      <c r="BF235" s="457">
        <v>11628</v>
      </c>
      <c r="BG235" s="457">
        <v>7582</v>
      </c>
      <c r="BH235" s="457">
        <v>6290</v>
      </c>
      <c r="BI235" s="457">
        <v>1292</v>
      </c>
    </row>
    <row r="236" spans="1:61" ht="12.75" x14ac:dyDescent="0.2">
      <c r="A236" s="446">
        <v>229</v>
      </c>
      <c r="B236" s="447" t="s">
        <v>341</v>
      </c>
      <c r="C236" s="448" t="s">
        <v>1093</v>
      </c>
      <c r="D236" s="449" t="s">
        <v>1094</v>
      </c>
      <c r="E236" s="450" t="s">
        <v>340</v>
      </c>
      <c r="F236" s="457">
        <v>40766885</v>
      </c>
      <c r="G236" s="457">
        <v>0</v>
      </c>
      <c r="H236" s="457">
        <v>0</v>
      </c>
      <c r="I236" s="457">
        <v>40766885</v>
      </c>
      <c r="J236" s="457">
        <v>40820049</v>
      </c>
      <c r="K236" s="457">
        <v>0</v>
      </c>
      <c r="L236" s="457">
        <v>0</v>
      </c>
      <c r="M236" s="457">
        <v>40820049</v>
      </c>
      <c r="N236" s="457">
        <v>-53164</v>
      </c>
      <c r="O236" s="457">
        <v>0</v>
      </c>
      <c r="P236" s="457">
        <v>0</v>
      </c>
      <c r="Q236" s="457">
        <v>-53164</v>
      </c>
      <c r="R236" s="457">
        <v>126299</v>
      </c>
      <c r="S236" s="457">
        <v>0</v>
      </c>
      <c r="T236" s="457">
        <v>0</v>
      </c>
      <c r="U236" s="457">
        <v>126299</v>
      </c>
      <c r="V236" s="457">
        <v>-179463</v>
      </c>
      <c r="W236" s="457">
        <v>0</v>
      </c>
      <c r="X236" s="457">
        <v>0</v>
      </c>
      <c r="Y236" s="457">
        <v>-179463</v>
      </c>
      <c r="Z236" s="457">
        <v>170087</v>
      </c>
      <c r="AA236" s="457">
        <v>170087</v>
      </c>
      <c r="AB236" s="457">
        <v>0</v>
      </c>
      <c r="AC236" s="457">
        <v>0</v>
      </c>
      <c r="AD236" s="457">
        <v>0</v>
      </c>
      <c r="AE236" s="457">
        <v>0</v>
      </c>
      <c r="AF236" s="457">
        <v>0</v>
      </c>
      <c r="AG236" s="457">
        <v>0</v>
      </c>
      <c r="AH236" s="457">
        <v>0</v>
      </c>
      <c r="AI236" s="457">
        <v>0</v>
      </c>
      <c r="AJ236" s="457">
        <v>0</v>
      </c>
      <c r="AK236" s="457">
        <v>0</v>
      </c>
      <c r="AL236" s="457">
        <v>0</v>
      </c>
      <c r="AM236" s="457">
        <v>0</v>
      </c>
      <c r="AN236" s="457">
        <v>0</v>
      </c>
      <c r="AO236" s="457">
        <v>0</v>
      </c>
      <c r="AP236" s="457">
        <v>0</v>
      </c>
      <c r="AQ236" s="457">
        <v>0</v>
      </c>
      <c r="AR236" s="457">
        <v>0</v>
      </c>
      <c r="AS236" s="457">
        <v>0</v>
      </c>
      <c r="AT236" s="457">
        <v>0</v>
      </c>
      <c r="AU236" s="457">
        <v>0</v>
      </c>
      <c r="AV236" s="457">
        <v>0</v>
      </c>
      <c r="AW236" s="457">
        <v>0</v>
      </c>
      <c r="AX236" s="457">
        <v>0</v>
      </c>
      <c r="AY236" s="457">
        <v>0</v>
      </c>
      <c r="AZ236" s="457">
        <v>0</v>
      </c>
      <c r="BA236" s="457">
        <v>442611</v>
      </c>
      <c r="BB236" s="457">
        <v>373938</v>
      </c>
      <c r="BC236" s="457">
        <v>68673</v>
      </c>
      <c r="BD236" s="457">
        <v>99587</v>
      </c>
      <c r="BE236" s="457">
        <v>84136</v>
      </c>
      <c r="BF236" s="457">
        <v>15451</v>
      </c>
      <c r="BG236" s="457">
        <v>11065</v>
      </c>
      <c r="BH236" s="457">
        <v>9348</v>
      </c>
      <c r="BI236" s="457">
        <v>1717</v>
      </c>
    </row>
    <row r="237" spans="1:61" ht="12.75" x14ac:dyDescent="0.2">
      <c r="A237" s="446">
        <v>230</v>
      </c>
      <c r="B237" s="447" t="s">
        <v>343</v>
      </c>
      <c r="C237" s="448" t="s">
        <v>1100</v>
      </c>
      <c r="D237" s="449" t="s">
        <v>1101</v>
      </c>
      <c r="E237" s="450" t="s">
        <v>342</v>
      </c>
      <c r="F237" s="457">
        <v>211532182</v>
      </c>
      <c r="G237" s="457">
        <v>1013991</v>
      </c>
      <c r="H237" s="457">
        <v>1206073</v>
      </c>
      <c r="I237" s="457">
        <v>213752246</v>
      </c>
      <c r="J237" s="457">
        <v>212878245</v>
      </c>
      <c r="K237" s="457">
        <v>1013991</v>
      </c>
      <c r="L237" s="457">
        <v>1206073</v>
      </c>
      <c r="M237" s="457">
        <v>215098309</v>
      </c>
      <c r="N237" s="457">
        <v>-1346063</v>
      </c>
      <c r="O237" s="457">
        <v>0</v>
      </c>
      <c r="P237" s="457">
        <v>0</v>
      </c>
      <c r="Q237" s="457">
        <v>-1346063</v>
      </c>
      <c r="R237" s="457">
        <v>113045</v>
      </c>
      <c r="S237" s="457">
        <v>0</v>
      </c>
      <c r="T237" s="457">
        <v>0</v>
      </c>
      <c r="U237" s="457">
        <v>113045</v>
      </c>
      <c r="V237" s="457">
        <v>-1459108</v>
      </c>
      <c r="W237" s="457">
        <v>0</v>
      </c>
      <c r="X237" s="457">
        <v>0</v>
      </c>
      <c r="Y237" s="457">
        <v>-1459108</v>
      </c>
      <c r="Z237" s="457">
        <v>774873</v>
      </c>
      <c r="AA237" s="457">
        <v>774873</v>
      </c>
      <c r="AB237" s="457">
        <v>0</v>
      </c>
      <c r="AC237" s="457">
        <v>0</v>
      </c>
      <c r="AD237" s="457">
        <v>42556</v>
      </c>
      <c r="AE237" s="457">
        <v>-42556</v>
      </c>
      <c r="AF237" s="457">
        <v>0</v>
      </c>
      <c r="AG237" s="457">
        <v>0</v>
      </c>
      <c r="AH237" s="457">
        <v>0</v>
      </c>
      <c r="AI237" s="457">
        <v>0</v>
      </c>
      <c r="AJ237" s="457">
        <v>0</v>
      </c>
      <c r="AK237" s="457">
        <v>0</v>
      </c>
      <c r="AL237" s="457">
        <v>0</v>
      </c>
      <c r="AM237" s="457">
        <v>0</v>
      </c>
      <c r="AN237" s="457">
        <v>0</v>
      </c>
      <c r="AO237" s="457">
        <v>55000</v>
      </c>
      <c r="AP237" s="457">
        <v>55000</v>
      </c>
      <c r="AQ237" s="457">
        <v>0</v>
      </c>
      <c r="AR237" s="457">
        <v>55000</v>
      </c>
      <c r="AS237" s="457">
        <v>0</v>
      </c>
      <c r="AT237" s="457">
        <v>55000</v>
      </c>
      <c r="AU237" s="457">
        <v>0</v>
      </c>
      <c r="AV237" s="457">
        <v>0</v>
      </c>
      <c r="AW237" s="457">
        <v>0</v>
      </c>
      <c r="AX237" s="457">
        <v>0</v>
      </c>
      <c r="AY237" s="457">
        <v>0</v>
      </c>
      <c r="AZ237" s="457">
        <v>0</v>
      </c>
      <c r="BA237" s="457">
        <v>2472953</v>
      </c>
      <c r="BB237" s="457">
        <v>2212658</v>
      </c>
      <c r="BC237" s="457">
        <v>260295</v>
      </c>
      <c r="BD237" s="457">
        <v>0</v>
      </c>
      <c r="BE237" s="457">
        <v>0</v>
      </c>
      <c r="BF237" s="457">
        <v>0</v>
      </c>
      <c r="BG237" s="457">
        <v>50194</v>
      </c>
      <c r="BH237" s="457">
        <v>45156</v>
      </c>
      <c r="BI237" s="457">
        <v>5038</v>
      </c>
    </row>
    <row r="238" spans="1:61" ht="12.75" x14ac:dyDescent="0.2">
      <c r="A238" s="446">
        <v>231</v>
      </c>
      <c r="B238" s="447" t="s">
        <v>345</v>
      </c>
      <c r="C238" s="448" t="s">
        <v>1093</v>
      </c>
      <c r="D238" s="449" t="s">
        <v>1094</v>
      </c>
      <c r="E238" s="450" t="s">
        <v>344</v>
      </c>
      <c r="F238" s="457">
        <v>8201564</v>
      </c>
      <c r="G238" s="457">
        <v>0</v>
      </c>
      <c r="H238" s="457">
        <v>0</v>
      </c>
      <c r="I238" s="457">
        <v>8201564</v>
      </c>
      <c r="J238" s="457">
        <v>8419771</v>
      </c>
      <c r="K238" s="457">
        <v>0</v>
      </c>
      <c r="L238" s="457">
        <v>0</v>
      </c>
      <c r="M238" s="457">
        <v>8419771</v>
      </c>
      <c r="N238" s="457">
        <v>-218207</v>
      </c>
      <c r="O238" s="457">
        <v>0</v>
      </c>
      <c r="P238" s="457">
        <v>0</v>
      </c>
      <c r="Q238" s="457">
        <v>-218207</v>
      </c>
      <c r="R238" s="457">
        <v>209057</v>
      </c>
      <c r="S238" s="457">
        <v>0</v>
      </c>
      <c r="T238" s="457">
        <v>0</v>
      </c>
      <c r="U238" s="457">
        <v>209057</v>
      </c>
      <c r="V238" s="457">
        <v>-427264</v>
      </c>
      <c r="W238" s="457">
        <v>0</v>
      </c>
      <c r="X238" s="457">
        <v>0</v>
      </c>
      <c r="Y238" s="457">
        <v>-427264</v>
      </c>
      <c r="Z238" s="457">
        <v>152929</v>
      </c>
      <c r="AA238" s="457">
        <v>152929</v>
      </c>
      <c r="AB238" s="457">
        <v>0</v>
      </c>
      <c r="AC238" s="457">
        <v>0</v>
      </c>
      <c r="AD238" s="457">
        <v>0</v>
      </c>
      <c r="AE238" s="457">
        <v>0</v>
      </c>
      <c r="AF238" s="457">
        <v>0</v>
      </c>
      <c r="AG238" s="457">
        <v>0</v>
      </c>
      <c r="AH238" s="457">
        <v>0</v>
      </c>
      <c r="AI238" s="457">
        <v>0</v>
      </c>
      <c r="AJ238" s="457">
        <v>0</v>
      </c>
      <c r="AK238" s="457">
        <v>0</v>
      </c>
      <c r="AL238" s="457">
        <v>0</v>
      </c>
      <c r="AM238" s="457">
        <v>0</v>
      </c>
      <c r="AN238" s="457">
        <v>0</v>
      </c>
      <c r="AO238" s="457">
        <v>0</v>
      </c>
      <c r="AP238" s="457">
        <v>0</v>
      </c>
      <c r="AQ238" s="457">
        <v>0</v>
      </c>
      <c r="AR238" s="457">
        <v>0</v>
      </c>
      <c r="AS238" s="457">
        <v>0</v>
      </c>
      <c r="AT238" s="457">
        <v>0</v>
      </c>
      <c r="AU238" s="457">
        <v>0</v>
      </c>
      <c r="AV238" s="457">
        <v>0</v>
      </c>
      <c r="AW238" s="457">
        <v>0</v>
      </c>
      <c r="AX238" s="457">
        <v>0</v>
      </c>
      <c r="AY238" s="457">
        <v>0</v>
      </c>
      <c r="AZ238" s="457">
        <v>0</v>
      </c>
      <c r="BA238" s="457">
        <v>491324</v>
      </c>
      <c r="BB238" s="457">
        <v>416136</v>
      </c>
      <c r="BC238" s="457">
        <v>75188</v>
      </c>
      <c r="BD238" s="457">
        <v>110548</v>
      </c>
      <c r="BE238" s="457">
        <v>93631</v>
      </c>
      <c r="BF238" s="457">
        <v>16917</v>
      </c>
      <c r="BG238" s="457">
        <v>12283</v>
      </c>
      <c r="BH238" s="457">
        <v>10403</v>
      </c>
      <c r="BI238" s="457">
        <v>1880</v>
      </c>
    </row>
    <row r="239" spans="1:61" ht="12.75" x14ac:dyDescent="0.2">
      <c r="A239" s="446">
        <v>232</v>
      </c>
      <c r="B239" s="447" t="s">
        <v>347</v>
      </c>
      <c r="C239" s="448" t="s">
        <v>794</v>
      </c>
      <c r="D239" s="449" t="s">
        <v>1103</v>
      </c>
      <c r="E239" s="450" t="s">
        <v>346</v>
      </c>
      <c r="F239" s="457">
        <v>75933514</v>
      </c>
      <c r="G239" s="457">
        <v>0</v>
      </c>
      <c r="H239" s="457">
        <v>0</v>
      </c>
      <c r="I239" s="457">
        <v>75933514</v>
      </c>
      <c r="J239" s="457">
        <v>75981895</v>
      </c>
      <c r="K239" s="457">
        <v>0</v>
      </c>
      <c r="L239" s="457">
        <v>0</v>
      </c>
      <c r="M239" s="457">
        <v>75981895</v>
      </c>
      <c r="N239" s="457">
        <v>-48381</v>
      </c>
      <c r="O239" s="457">
        <v>0</v>
      </c>
      <c r="P239" s="457">
        <v>0</v>
      </c>
      <c r="Q239" s="457">
        <v>-48381</v>
      </c>
      <c r="R239" s="457">
        <v>177329</v>
      </c>
      <c r="S239" s="457">
        <v>0</v>
      </c>
      <c r="T239" s="457">
        <v>0</v>
      </c>
      <c r="U239" s="457">
        <v>177329</v>
      </c>
      <c r="V239" s="457">
        <v>-225710</v>
      </c>
      <c r="W239" s="457">
        <v>0</v>
      </c>
      <c r="X239" s="457">
        <v>0</v>
      </c>
      <c r="Y239" s="457">
        <v>-225710</v>
      </c>
      <c r="Z239" s="457">
        <v>463653</v>
      </c>
      <c r="AA239" s="457">
        <v>463653</v>
      </c>
      <c r="AB239" s="457">
        <v>0</v>
      </c>
      <c r="AC239" s="457">
        <v>0</v>
      </c>
      <c r="AD239" s="457">
        <v>0</v>
      </c>
      <c r="AE239" s="457">
        <v>0</v>
      </c>
      <c r="AF239" s="457">
        <v>0</v>
      </c>
      <c r="AG239" s="457">
        <v>0</v>
      </c>
      <c r="AH239" s="457">
        <v>0</v>
      </c>
      <c r="AI239" s="457">
        <v>0</v>
      </c>
      <c r="AJ239" s="457">
        <v>0</v>
      </c>
      <c r="AK239" s="457">
        <v>0</v>
      </c>
      <c r="AL239" s="457">
        <v>0</v>
      </c>
      <c r="AM239" s="457">
        <v>0</v>
      </c>
      <c r="AN239" s="457">
        <v>0</v>
      </c>
      <c r="AO239" s="457">
        <v>0</v>
      </c>
      <c r="AP239" s="457">
        <v>0</v>
      </c>
      <c r="AQ239" s="457">
        <v>0</v>
      </c>
      <c r="AR239" s="457">
        <v>0</v>
      </c>
      <c r="AS239" s="457">
        <v>0</v>
      </c>
      <c r="AT239" s="457">
        <v>0</v>
      </c>
      <c r="AU239" s="457">
        <v>0</v>
      </c>
      <c r="AV239" s="457">
        <v>0</v>
      </c>
      <c r="AW239" s="457">
        <v>0</v>
      </c>
      <c r="AX239" s="457">
        <v>0</v>
      </c>
      <c r="AY239" s="457">
        <v>0</v>
      </c>
      <c r="AZ239" s="457">
        <v>0</v>
      </c>
      <c r="BA239" s="457">
        <v>1828682</v>
      </c>
      <c r="BB239" s="457">
        <v>1569144</v>
      </c>
      <c r="BC239" s="457">
        <v>259538</v>
      </c>
      <c r="BD239" s="457">
        <v>0</v>
      </c>
      <c r="BE239" s="457">
        <v>0</v>
      </c>
      <c r="BF239" s="457">
        <v>0</v>
      </c>
      <c r="BG239" s="457">
        <v>37320</v>
      </c>
      <c r="BH239" s="457">
        <v>32023</v>
      </c>
      <c r="BI239" s="457">
        <v>5297</v>
      </c>
    </row>
    <row r="240" spans="1:61" ht="12.75" x14ac:dyDescent="0.2">
      <c r="A240" s="446">
        <v>233</v>
      </c>
      <c r="B240" s="447" t="s">
        <v>349</v>
      </c>
      <c r="C240" s="448" t="s">
        <v>794</v>
      </c>
      <c r="D240" s="449" t="s">
        <v>1094</v>
      </c>
      <c r="E240" s="450" t="s">
        <v>743</v>
      </c>
      <c r="F240" s="457">
        <v>94745326</v>
      </c>
      <c r="G240" s="457">
        <v>0</v>
      </c>
      <c r="H240" s="457">
        <v>0</v>
      </c>
      <c r="I240" s="457">
        <v>94745326</v>
      </c>
      <c r="J240" s="457">
        <v>95721467</v>
      </c>
      <c r="K240" s="457">
        <v>0</v>
      </c>
      <c r="L240" s="457">
        <v>0</v>
      </c>
      <c r="M240" s="457">
        <v>95721467</v>
      </c>
      <c r="N240" s="457">
        <v>-976141</v>
      </c>
      <c r="O240" s="457">
        <v>0</v>
      </c>
      <c r="P240" s="457">
        <v>0</v>
      </c>
      <c r="Q240" s="457">
        <v>-976141</v>
      </c>
      <c r="R240" s="457">
        <v>-396874</v>
      </c>
      <c r="S240" s="457">
        <v>0</v>
      </c>
      <c r="T240" s="457">
        <v>0</v>
      </c>
      <c r="U240" s="457">
        <v>-396874</v>
      </c>
      <c r="V240" s="457">
        <v>-579267</v>
      </c>
      <c r="W240" s="457">
        <v>0</v>
      </c>
      <c r="X240" s="457">
        <v>0</v>
      </c>
      <c r="Y240" s="457">
        <v>-579267</v>
      </c>
      <c r="Z240" s="457">
        <v>210291</v>
      </c>
      <c r="AA240" s="457">
        <v>210291</v>
      </c>
      <c r="AB240" s="457">
        <v>0</v>
      </c>
      <c r="AC240" s="457">
        <v>0</v>
      </c>
      <c r="AD240" s="457">
        <v>0</v>
      </c>
      <c r="AE240" s="457">
        <v>0</v>
      </c>
      <c r="AF240" s="457">
        <v>0</v>
      </c>
      <c r="AG240" s="457">
        <v>0</v>
      </c>
      <c r="AH240" s="457">
        <v>0</v>
      </c>
      <c r="AI240" s="457">
        <v>0</v>
      </c>
      <c r="AJ240" s="457">
        <v>0</v>
      </c>
      <c r="AK240" s="457">
        <v>0</v>
      </c>
      <c r="AL240" s="457">
        <v>0</v>
      </c>
      <c r="AM240" s="457">
        <v>0</v>
      </c>
      <c r="AN240" s="457">
        <v>0</v>
      </c>
      <c r="AO240" s="457">
        <v>0</v>
      </c>
      <c r="AP240" s="457">
        <v>0</v>
      </c>
      <c r="AQ240" s="457">
        <v>0</v>
      </c>
      <c r="AR240" s="457">
        <v>0</v>
      </c>
      <c r="AS240" s="457">
        <v>0</v>
      </c>
      <c r="AT240" s="457">
        <v>0</v>
      </c>
      <c r="AU240" s="457">
        <v>0</v>
      </c>
      <c r="AV240" s="457">
        <v>0</v>
      </c>
      <c r="AW240" s="457">
        <v>0</v>
      </c>
      <c r="AX240" s="457">
        <v>0</v>
      </c>
      <c r="AY240" s="457">
        <v>0</v>
      </c>
      <c r="AZ240" s="457">
        <v>0</v>
      </c>
      <c r="BA240" s="457">
        <v>261387</v>
      </c>
      <c r="BB240" s="457">
        <v>210804</v>
      </c>
      <c r="BC240" s="457">
        <v>50583</v>
      </c>
      <c r="BD240" s="457">
        <v>0</v>
      </c>
      <c r="BE240" s="457">
        <v>0</v>
      </c>
      <c r="BF240" s="457">
        <v>0</v>
      </c>
      <c r="BG240" s="457">
        <v>5334</v>
      </c>
      <c r="BH240" s="457">
        <v>4302</v>
      </c>
      <c r="BI240" s="457">
        <v>1032</v>
      </c>
    </row>
    <row r="241" spans="1:61" ht="12.75" x14ac:dyDescent="0.2">
      <c r="A241" s="446">
        <v>234</v>
      </c>
      <c r="B241" s="447" t="s">
        <v>351</v>
      </c>
      <c r="C241" s="448" t="s">
        <v>1100</v>
      </c>
      <c r="D241" s="449" t="s">
        <v>1103</v>
      </c>
      <c r="E241" s="450" t="s">
        <v>350</v>
      </c>
      <c r="F241" s="457">
        <v>101097602</v>
      </c>
      <c r="G241" s="457">
        <v>0</v>
      </c>
      <c r="H241" s="457">
        <v>0</v>
      </c>
      <c r="I241" s="457">
        <v>101097602</v>
      </c>
      <c r="J241" s="457">
        <v>101967449</v>
      </c>
      <c r="K241" s="457">
        <v>0</v>
      </c>
      <c r="L241" s="457">
        <v>0</v>
      </c>
      <c r="M241" s="457">
        <v>101967449</v>
      </c>
      <c r="N241" s="457">
        <v>-869847</v>
      </c>
      <c r="O241" s="457">
        <v>0</v>
      </c>
      <c r="P241" s="457">
        <v>0</v>
      </c>
      <c r="Q241" s="457">
        <v>-869847</v>
      </c>
      <c r="R241" s="457">
        <v>87676</v>
      </c>
      <c r="S241" s="457">
        <v>0</v>
      </c>
      <c r="T241" s="457">
        <v>0</v>
      </c>
      <c r="U241" s="457">
        <v>87676</v>
      </c>
      <c r="V241" s="457">
        <v>-957523</v>
      </c>
      <c r="W241" s="457">
        <v>0</v>
      </c>
      <c r="X241" s="457">
        <v>0</v>
      </c>
      <c r="Y241" s="457">
        <v>-957523</v>
      </c>
      <c r="Z241" s="457">
        <v>242567</v>
      </c>
      <c r="AA241" s="457">
        <v>242567</v>
      </c>
      <c r="AB241" s="457">
        <v>0</v>
      </c>
      <c r="AC241" s="457">
        <v>0</v>
      </c>
      <c r="AD241" s="457">
        <v>0</v>
      </c>
      <c r="AE241" s="457">
        <v>0</v>
      </c>
      <c r="AF241" s="457">
        <v>0</v>
      </c>
      <c r="AG241" s="457">
        <v>0</v>
      </c>
      <c r="AH241" s="457">
        <v>0</v>
      </c>
      <c r="AI241" s="457">
        <v>0</v>
      </c>
      <c r="AJ241" s="457">
        <v>0</v>
      </c>
      <c r="AK241" s="457">
        <v>0</v>
      </c>
      <c r="AL241" s="457">
        <v>0</v>
      </c>
      <c r="AM241" s="457">
        <v>0</v>
      </c>
      <c r="AN241" s="457">
        <v>0</v>
      </c>
      <c r="AO241" s="457">
        <v>0</v>
      </c>
      <c r="AP241" s="457">
        <v>0</v>
      </c>
      <c r="AQ241" s="457">
        <v>0</v>
      </c>
      <c r="AR241" s="457">
        <v>0</v>
      </c>
      <c r="AS241" s="457">
        <v>0</v>
      </c>
      <c r="AT241" s="457">
        <v>0</v>
      </c>
      <c r="AU241" s="457">
        <v>0</v>
      </c>
      <c r="AV241" s="457">
        <v>0</v>
      </c>
      <c r="AW241" s="457">
        <v>0</v>
      </c>
      <c r="AX241" s="457">
        <v>0</v>
      </c>
      <c r="AY241" s="457">
        <v>0</v>
      </c>
      <c r="AZ241" s="457">
        <v>0</v>
      </c>
      <c r="BA241" s="457">
        <v>498815</v>
      </c>
      <c r="BB241" s="457">
        <v>394843</v>
      </c>
      <c r="BC241" s="457">
        <v>103972</v>
      </c>
      <c r="BD241" s="457">
        <v>0</v>
      </c>
      <c r="BE241" s="457">
        <v>0</v>
      </c>
      <c r="BF241" s="457">
        <v>0</v>
      </c>
      <c r="BG241" s="457">
        <v>10180</v>
      </c>
      <c r="BH241" s="457">
        <v>8058</v>
      </c>
      <c r="BI241" s="457">
        <v>2122</v>
      </c>
    </row>
    <row r="242" spans="1:61" ht="12.75" x14ac:dyDescent="0.2">
      <c r="A242" s="446">
        <v>235</v>
      </c>
      <c r="B242" s="447" t="s">
        <v>353</v>
      </c>
      <c r="C242" s="448" t="s">
        <v>1093</v>
      </c>
      <c r="D242" s="449" t="s">
        <v>1094</v>
      </c>
      <c r="E242" s="450" t="s">
        <v>352</v>
      </c>
      <c r="F242" s="457">
        <v>29850489</v>
      </c>
      <c r="G242" s="457">
        <v>0</v>
      </c>
      <c r="H242" s="457">
        <v>0</v>
      </c>
      <c r="I242" s="457">
        <v>29850489</v>
      </c>
      <c r="J242" s="457">
        <v>29723938</v>
      </c>
      <c r="K242" s="457">
        <v>0</v>
      </c>
      <c r="L242" s="457">
        <v>0</v>
      </c>
      <c r="M242" s="457">
        <v>29723938</v>
      </c>
      <c r="N242" s="457">
        <v>126551</v>
      </c>
      <c r="O242" s="457">
        <v>0</v>
      </c>
      <c r="P242" s="457">
        <v>0</v>
      </c>
      <c r="Q242" s="457">
        <v>126551</v>
      </c>
      <c r="R242" s="457">
        <v>158976</v>
      </c>
      <c r="S242" s="457">
        <v>0</v>
      </c>
      <c r="T242" s="457">
        <v>0</v>
      </c>
      <c r="U242" s="457">
        <v>158976</v>
      </c>
      <c r="V242" s="457">
        <v>-32425</v>
      </c>
      <c r="W242" s="457">
        <v>0</v>
      </c>
      <c r="X242" s="457">
        <v>0</v>
      </c>
      <c r="Y242" s="457">
        <v>-32425</v>
      </c>
      <c r="Z242" s="457">
        <v>99868</v>
      </c>
      <c r="AA242" s="457">
        <v>99868</v>
      </c>
      <c r="AB242" s="457">
        <v>0</v>
      </c>
      <c r="AC242" s="457">
        <v>0</v>
      </c>
      <c r="AD242" s="457">
        <v>0</v>
      </c>
      <c r="AE242" s="457">
        <v>0</v>
      </c>
      <c r="AF242" s="457">
        <v>0</v>
      </c>
      <c r="AG242" s="457">
        <v>0</v>
      </c>
      <c r="AH242" s="457">
        <v>0</v>
      </c>
      <c r="AI242" s="457">
        <v>0</v>
      </c>
      <c r="AJ242" s="457">
        <v>0</v>
      </c>
      <c r="AK242" s="457">
        <v>0</v>
      </c>
      <c r="AL242" s="457">
        <v>0</v>
      </c>
      <c r="AM242" s="457">
        <v>0</v>
      </c>
      <c r="AN242" s="457">
        <v>0</v>
      </c>
      <c r="AO242" s="457">
        <v>0</v>
      </c>
      <c r="AP242" s="457">
        <v>0</v>
      </c>
      <c r="AQ242" s="457">
        <v>0</v>
      </c>
      <c r="AR242" s="457">
        <v>0</v>
      </c>
      <c r="AS242" s="457">
        <v>0</v>
      </c>
      <c r="AT242" s="457">
        <v>0</v>
      </c>
      <c r="AU242" s="457">
        <v>0</v>
      </c>
      <c r="AV242" s="457">
        <v>0</v>
      </c>
      <c r="AW242" s="457">
        <v>0</v>
      </c>
      <c r="AX242" s="457">
        <v>0</v>
      </c>
      <c r="AY242" s="457">
        <v>0</v>
      </c>
      <c r="AZ242" s="457">
        <v>0</v>
      </c>
      <c r="BA242" s="457">
        <v>170803</v>
      </c>
      <c r="BB242" s="457">
        <v>144994</v>
      </c>
      <c r="BC242" s="457">
        <v>25809</v>
      </c>
      <c r="BD242" s="457">
        <v>38431</v>
      </c>
      <c r="BE242" s="457">
        <v>32624</v>
      </c>
      <c r="BF242" s="457">
        <v>5807</v>
      </c>
      <c r="BG242" s="457">
        <v>4270</v>
      </c>
      <c r="BH242" s="457">
        <v>3625</v>
      </c>
      <c r="BI242" s="457">
        <v>645</v>
      </c>
    </row>
    <row r="243" spans="1:61" ht="12.75" x14ac:dyDescent="0.2">
      <c r="A243" s="446">
        <v>236</v>
      </c>
      <c r="B243" s="447" t="s">
        <v>355</v>
      </c>
      <c r="C243" s="448" t="s">
        <v>1093</v>
      </c>
      <c r="D243" s="449" t="s">
        <v>1097</v>
      </c>
      <c r="E243" s="450" t="s">
        <v>354</v>
      </c>
      <c r="F243" s="457">
        <v>1244072</v>
      </c>
      <c r="G243" s="457">
        <v>0</v>
      </c>
      <c r="H243" s="457">
        <v>0</v>
      </c>
      <c r="I243" s="457">
        <v>1244072</v>
      </c>
      <c r="J243" s="457">
        <v>1445451</v>
      </c>
      <c r="K243" s="457">
        <v>0</v>
      </c>
      <c r="L243" s="457">
        <v>0</v>
      </c>
      <c r="M243" s="457">
        <v>1445451</v>
      </c>
      <c r="N243" s="457">
        <v>-201379</v>
      </c>
      <c r="O243" s="457">
        <v>0</v>
      </c>
      <c r="P243" s="457">
        <v>0</v>
      </c>
      <c r="Q243" s="457">
        <v>-201379</v>
      </c>
      <c r="R243" s="457">
        <v>92927</v>
      </c>
      <c r="S243" s="457">
        <v>0</v>
      </c>
      <c r="T243" s="457">
        <v>0</v>
      </c>
      <c r="U243" s="457">
        <v>92927</v>
      </c>
      <c r="V243" s="457">
        <v>-294306</v>
      </c>
      <c r="W243" s="457">
        <v>0</v>
      </c>
      <c r="X243" s="457">
        <v>0</v>
      </c>
      <c r="Y243" s="457">
        <v>-294306</v>
      </c>
      <c r="Z243" s="457">
        <v>218656</v>
      </c>
      <c r="AA243" s="457">
        <v>218656</v>
      </c>
      <c r="AB243" s="457">
        <v>0</v>
      </c>
      <c r="AC243" s="457">
        <v>0</v>
      </c>
      <c r="AD243" s="457">
        <v>0</v>
      </c>
      <c r="AE243" s="457">
        <v>0</v>
      </c>
      <c r="AF243" s="457">
        <v>0</v>
      </c>
      <c r="AG243" s="457">
        <v>0</v>
      </c>
      <c r="AH243" s="457">
        <v>0</v>
      </c>
      <c r="AI243" s="457">
        <v>0</v>
      </c>
      <c r="AJ243" s="457">
        <v>0</v>
      </c>
      <c r="AK243" s="457">
        <v>0</v>
      </c>
      <c r="AL243" s="457">
        <v>0</v>
      </c>
      <c r="AM243" s="457">
        <v>0</v>
      </c>
      <c r="AN243" s="457">
        <v>0</v>
      </c>
      <c r="AO243" s="457">
        <v>0</v>
      </c>
      <c r="AP243" s="457">
        <v>0</v>
      </c>
      <c r="AQ243" s="457">
        <v>0</v>
      </c>
      <c r="AR243" s="457">
        <v>0</v>
      </c>
      <c r="AS243" s="457">
        <v>0</v>
      </c>
      <c r="AT243" s="457">
        <v>0</v>
      </c>
      <c r="AU243" s="457">
        <v>0</v>
      </c>
      <c r="AV243" s="457">
        <v>0</v>
      </c>
      <c r="AW243" s="457">
        <v>0</v>
      </c>
      <c r="AX243" s="457">
        <v>0</v>
      </c>
      <c r="AY243" s="457">
        <v>0</v>
      </c>
      <c r="AZ243" s="457">
        <v>0</v>
      </c>
      <c r="BA243" s="457">
        <v>453966</v>
      </c>
      <c r="BB243" s="457">
        <v>281787</v>
      </c>
      <c r="BC243" s="457">
        <v>172179</v>
      </c>
      <c r="BD243" s="457">
        <v>102142</v>
      </c>
      <c r="BE243" s="457">
        <v>63402</v>
      </c>
      <c r="BF243" s="457">
        <v>38740</v>
      </c>
      <c r="BG243" s="457">
        <v>11349</v>
      </c>
      <c r="BH243" s="457">
        <v>7045</v>
      </c>
      <c r="BI243" s="457">
        <v>4304</v>
      </c>
    </row>
    <row r="244" spans="1:61" ht="12.75" x14ac:dyDescent="0.2">
      <c r="A244" s="446">
        <v>237</v>
      </c>
      <c r="B244" s="447" t="s">
        <v>357</v>
      </c>
      <c r="C244" s="448" t="s">
        <v>1093</v>
      </c>
      <c r="D244" s="449" t="s">
        <v>1096</v>
      </c>
      <c r="E244" s="450" t="s">
        <v>356</v>
      </c>
      <c r="F244" s="457">
        <v>230342</v>
      </c>
      <c r="G244" s="457">
        <v>0</v>
      </c>
      <c r="H244" s="457">
        <v>0</v>
      </c>
      <c r="I244" s="457">
        <v>230342</v>
      </c>
      <c r="J244" s="457">
        <v>115074</v>
      </c>
      <c r="K244" s="457">
        <v>0</v>
      </c>
      <c r="L244" s="457">
        <v>0</v>
      </c>
      <c r="M244" s="457">
        <v>115074</v>
      </c>
      <c r="N244" s="457">
        <v>115268</v>
      </c>
      <c r="O244" s="457">
        <v>0</v>
      </c>
      <c r="P244" s="457">
        <v>0</v>
      </c>
      <c r="Q244" s="457">
        <v>115268</v>
      </c>
      <c r="R244" s="457">
        <v>-27186</v>
      </c>
      <c r="S244" s="457">
        <v>0</v>
      </c>
      <c r="T244" s="457">
        <v>0</v>
      </c>
      <c r="U244" s="457">
        <v>-27186</v>
      </c>
      <c r="V244" s="457">
        <v>88082</v>
      </c>
      <c r="W244" s="457">
        <v>0</v>
      </c>
      <c r="X244" s="457">
        <v>0</v>
      </c>
      <c r="Y244" s="457">
        <v>88082</v>
      </c>
      <c r="Z244" s="457">
        <v>90901</v>
      </c>
      <c r="AA244" s="457">
        <v>90901</v>
      </c>
      <c r="AB244" s="457">
        <v>0</v>
      </c>
      <c r="AC244" s="457">
        <v>0</v>
      </c>
      <c r="AD244" s="457">
        <v>0</v>
      </c>
      <c r="AE244" s="457">
        <v>0</v>
      </c>
      <c r="AF244" s="457">
        <v>0</v>
      </c>
      <c r="AG244" s="457">
        <v>0</v>
      </c>
      <c r="AH244" s="457">
        <v>0</v>
      </c>
      <c r="AI244" s="457">
        <v>0</v>
      </c>
      <c r="AJ244" s="457">
        <v>0</v>
      </c>
      <c r="AK244" s="457">
        <v>0</v>
      </c>
      <c r="AL244" s="457">
        <v>0</v>
      </c>
      <c r="AM244" s="457">
        <v>0</v>
      </c>
      <c r="AN244" s="457">
        <v>0</v>
      </c>
      <c r="AO244" s="457">
        <v>0</v>
      </c>
      <c r="AP244" s="457">
        <v>0</v>
      </c>
      <c r="AQ244" s="457">
        <v>0</v>
      </c>
      <c r="AR244" s="457">
        <v>0</v>
      </c>
      <c r="AS244" s="457">
        <v>0</v>
      </c>
      <c r="AT244" s="457">
        <v>0</v>
      </c>
      <c r="AU244" s="457">
        <v>0</v>
      </c>
      <c r="AV244" s="457">
        <v>0</v>
      </c>
      <c r="AW244" s="457">
        <v>0</v>
      </c>
      <c r="AX244" s="457">
        <v>0</v>
      </c>
      <c r="AY244" s="457">
        <v>0</v>
      </c>
      <c r="AZ244" s="457">
        <v>0</v>
      </c>
      <c r="BA244" s="457">
        <v>260575</v>
      </c>
      <c r="BB244" s="457">
        <v>227717</v>
      </c>
      <c r="BC244" s="457">
        <v>32858</v>
      </c>
      <c r="BD244" s="457">
        <v>58629</v>
      </c>
      <c r="BE244" s="457">
        <v>51236</v>
      </c>
      <c r="BF244" s="457">
        <v>7393</v>
      </c>
      <c r="BG244" s="457">
        <v>6514</v>
      </c>
      <c r="BH244" s="457">
        <v>5693</v>
      </c>
      <c r="BI244" s="457">
        <v>821</v>
      </c>
    </row>
    <row r="245" spans="1:61" ht="12.75" x14ac:dyDescent="0.2">
      <c r="A245" s="446">
        <v>238</v>
      </c>
      <c r="B245" s="447" t="s">
        <v>359</v>
      </c>
      <c r="C245" s="448" t="s">
        <v>794</v>
      </c>
      <c r="D245" s="449" t="s">
        <v>1102</v>
      </c>
      <c r="E245" s="450" t="s">
        <v>744</v>
      </c>
      <c r="F245" s="457">
        <v>147209814</v>
      </c>
      <c r="G245" s="457">
        <v>0</v>
      </c>
      <c r="H245" s="457">
        <v>0</v>
      </c>
      <c r="I245" s="457">
        <v>147209814</v>
      </c>
      <c r="J245" s="457">
        <v>147126632</v>
      </c>
      <c r="K245" s="457">
        <v>0</v>
      </c>
      <c r="L245" s="457">
        <v>0</v>
      </c>
      <c r="M245" s="457">
        <v>147126632</v>
      </c>
      <c r="N245" s="457">
        <v>83181.899999999994</v>
      </c>
      <c r="O245" s="457">
        <v>0</v>
      </c>
      <c r="P245" s="457">
        <v>0</v>
      </c>
      <c r="Q245" s="457">
        <v>83181.899999999994</v>
      </c>
      <c r="R245" s="457">
        <v>524853</v>
      </c>
      <c r="S245" s="457">
        <v>0</v>
      </c>
      <c r="T245" s="457">
        <v>0</v>
      </c>
      <c r="U245" s="457">
        <v>524853</v>
      </c>
      <c r="V245" s="457">
        <v>-441671</v>
      </c>
      <c r="W245" s="457">
        <v>0</v>
      </c>
      <c r="X245" s="457">
        <v>0</v>
      </c>
      <c r="Y245" s="457">
        <v>-441671</v>
      </c>
      <c r="Z245" s="457">
        <v>330468</v>
      </c>
      <c r="AA245" s="457">
        <v>330468</v>
      </c>
      <c r="AB245" s="457">
        <v>0</v>
      </c>
      <c r="AC245" s="457">
        <v>0</v>
      </c>
      <c r="AD245" s="457">
        <v>0</v>
      </c>
      <c r="AE245" s="457">
        <v>0</v>
      </c>
      <c r="AF245" s="457">
        <v>0</v>
      </c>
      <c r="AG245" s="457">
        <v>0</v>
      </c>
      <c r="AH245" s="457">
        <v>0</v>
      </c>
      <c r="AI245" s="457">
        <v>0</v>
      </c>
      <c r="AJ245" s="457">
        <v>0</v>
      </c>
      <c r="AK245" s="457">
        <v>0</v>
      </c>
      <c r="AL245" s="457">
        <v>0</v>
      </c>
      <c r="AM245" s="457">
        <v>0</v>
      </c>
      <c r="AN245" s="457">
        <v>0</v>
      </c>
      <c r="AO245" s="457">
        <v>0</v>
      </c>
      <c r="AP245" s="457">
        <v>0</v>
      </c>
      <c r="AQ245" s="457">
        <v>0</v>
      </c>
      <c r="AR245" s="457">
        <v>0</v>
      </c>
      <c r="AS245" s="457">
        <v>0</v>
      </c>
      <c r="AT245" s="457">
        <v>0</v>
      </c>
      <c r="AU245" s="457">
        <v>0</v>
      </c>
      <c r="AV245" s="457">
        <v>0</v>
      </c>
      <c r="AW245" s="457">
        <v>0</v>
      </c>
      <c r="AX245" s="457">
        <v>0</v>
      </c>
      <c r="AY245" s="457">
        <v>0</v>
      </c>
      <c r="AZ245" s="457">
        <v>0</v>
      </c>
      <c r="BA245" s="457">
        <v>806715</v>
      </c>
      <c r="BB245" s="457">
        <v>693989</v>
      </c>
      <c r="BC245" s="457">
        <v>112726</v>
      </c>
      <c r="BD245" s="457">
        <v>0</v>
      </c>
      <c r="BE245" s="457">
        <v>0</v>
      </c>
      <c r="BF245" s="457">
        <v>0</v>
      </c>
      <c r="BG245" s="457">
        <v>16464</v>
      </c>
      <c r="BH245" s="457">
        <v>14163</v>
      </c>
      <c r="BI245" s="457">
        <v>2301</v>
      </c>
    </row>
    <row r="246" spans="1:61" ht="12.75" x14ac:dyDescent="0.2">
      <c r="A246" s="446">
        <v>239</v>
      </c>
      <c r="B246" s="447" t="s">
        <v>361</v>
      </c>
      <c r="C246" s="448" t="s">
        <v>1093</v>
      </c>
      <c r="D246" s="449" t="s">
        <v>1102</v>
      </c>
      <c r="E246" s="450" t="s">
        <v>360</v>
      </c>
      <c r="F246" s="457">
        <v>31130062</v>
      </c>
      <c r="G246" s="457">
        <v>0</v>
      </c>
      <c r="H246" s="457">
        <v>0</v>
      </c>
      <c r="I246" s="457">
        <v>31130062</v>
      </c>
      <c r="J246" s="457">
        <v>28697749</v>
      </c>
      <c r="K246" s="457">
        <v>0</v>
      </c>
      <c r="L246" s="457">
        <v>0</v>
      </c>
      <c r="M246" s="457">
        <v>28697749</v>
      </c>
      <c r="N246" s="457">
        <v>2432313</v>
      </c>
      <c r="O246" s="457">
        <v>0</v>
      </c>
      <c r="P246" s="457">
        <v>0</v>
      </c>
      <c r="Q246" s="457">
        <v>2432313</v>
      </c>
      <c r="R246" s="457">
        <v>2607567</v>
      </c>
      <c r="S246" s="457">
        <v>0</v>
      </c>
      <c r="T246" s="457">
        <v>0</v>
      </c>
      <c r="U246" s="457">
        <v>2607567</v>
      </c>
      <c r="V246" s="457">
        <v>-175254</v>
      </c>
      <c r="W246" s="457">
        <v>0</v>
      </c>
      <c r="X246" s="457">
        <v>0</v>
      </c>
      <c r="Y246" s="457">
        <v>-175254</v>
      </c>
      <c r="Z246" s="457">
        <v>206226</v>
      </c>
      <c r="AA246" s="457">
        <v>206226</v>
      </c>
      <c r="AB246" s="457">
        <v>0</v>
      </c>
      <c r="AC246" s="457">
        <v>0</v>
      </c>
      <c r="AD246" s="457">
        <v>0</v>
      </c>
      <c r="AE246" s="457">
        <v>0</v>
      </c>
      <c r="AF246" s="457">
        <v>0</v>
      </c>
      <c r="AG246" s="457">
        <v>0</v>
      </c>
      <c r="AH246" s="457">
        <v>0</v>
      </c>
      <c r="AI246" s="457">
        <v>0</v>
      </c>
      <c r="AJ246" s="457">
        <v>0</v>
      </c>
      <c r="AK246" s="457">
        <v>0</v>
      </c>
      <c r="AL246" s="457">
        <v>0</v>
      </c>
      <c r="AM246" s="457">
        <v>0</v>
      </c>
      <c r="AN246" s="457">
        <v>0</v>
      </c>
      <c r="AO246" s="457">
        <v>0</v>
      </c>
      <c r="AP246" s="457">
        <v>0</v>
      </c>
      <c r="AQ246" s="457">
        <v>0</v>
      </c>
      <c r="AR246" s="457">
        <v>0</v>
      </c>
      <c r="AS246" s="457">
        <v>0</v>
      </c>
      <c r="AT246" s="457">
        <v>0</v>
      </c>
      <c r="AU246" s="457">
        <v>0</v>
      </c>
      <c r="AV246" s="457">
        <v>0</v>
      </c>
      <c r="AW246" s="457">
        <v>0</v>
      </c>
      <c r="AX246" s="457">
        <v>0</v>
      </c>
      <c r="AY246" s="457">
        <v>0</v>
      </c>
      <c r="AZ246" s="457">
        <v>0</v>
      </c>
      <c r="BA246" s="457">
        <v>712901</v>
      </c>
      <c r="BB246" s="457">
        <v>610194</v>
      </c>
      <c r="BC246" s="457">
        <v>102707</v>
      </c>
      <c r="BD246" s="457">
        <v>160403</v>
      </c>
      <c r="BE246" s="457">
        <v>137294</v>
      </c>
      <c r="BF246" s="457">
        <v>23109</v>
      </c>
      <c r="BG246" s="457">
        <v>17823</v>
      </c>
      <c r="BH246" s="457">
        <v>15255</v>
      </c>
      <c r="BI246" s="457">
        <v>2568</v>
      </c>
    </row>
    <row r="247" spans="1:61" ht="12.75" x14ac:dyDescent="0.2">
      <c r="A247" s="446">
        <v>240</v>
      </c>
      <c r="B247" s="447" t="s">
        <v>363</v>
      </c>
      <c r="C247" s="448" t="s">
        <v>1093</v>
      </c>
      <c r="D247" s="449" t="s">
        <v>1096</v>
      </c>
      <c r="E247" s="450" t="s">
        <v>362</v>
      </c>
      <c r="F247" s="457">
        <v>25843042</v>
      </c>
      <c r="G247" s="457">
        <v>0</v>
      </c>
      <c r="H247" s="457">
        <v>0</v>
      </c>
      <c r="I247" s="457">
        <v>25843042</v>
      </c>
      <c r="J247" s="457">
        <v>24376737</v>
      </c>
      <c r="K247" s="457">
        <v>0</v>
      </c>
      <c r="L247" s="457">
        <v>0</v>
      </c>
      <c r="M247" s="457">
        <v>24376737</v>
      </c>
      <c r="N247" s="457">
        <v>1466305</v>
      </c>
      <c r="O247" s="457">
        <v>0</v>
      </c>
      <c r="P247" s="457">
        <v>0</v>
      </c>
      <c r="Q247" s="457">
        <v>1466305</v>
      </c>
      <c r="R247" s="457">
        <v>1548348</v>
      </c>
      <c r="S247" s="457">
        <v>0</v>
      </c>
      <c r="T247" s="457">
        <v>0</v>
      </c>
      <c r="U247" s="457">
        <v>1548348</v>
      </c>
      <c r="V247" s="457">
        <v>-82043</v>
      </c>
      <c r="W247" s="457">
        <v>0</v>
      </c>
      <c r="X247" s="457">
        <v>0</v>
      </c>
      <c r="Y247" s="457">
        <v>-82043</v>
      </c>
      <c r="Z247" s="457">
        <v>113511</v>
      </c>
      <c r="AA247" s="457">
        <v>113511</v>
      </c>
      <c r="AB247" s="457">
        <v>0</v>
      </c>
      <c r="AC247" s="457">
        <v>0</v>
      </c>
      <c r="AD247" s="457">
        <v>0</v>
      </c>
      <c r="AE247" s="457">
        <v>0</v>
      </c>
      <c r="AF247" s="457">
        <v>0</v>
      </c>
      <c r="AG247" s="457">
        <v>0</v>
      </c>
      <c r="AH247" s="457">
        <v>0</v>
      </c>
      <c r="AI247" s="457">
        <v>193097</v>
      </c>
      <c r="AJ247" s="457">
        <v>0</v>
      </c>
      <c r="AK247" s="457">
        <v>193097</v>
      </c>
      <c r="AL247" s="457">
        <v>0</v>
      </c>
      <c r="AM247" s="457">
        <v>0</v>
      </c>
      <c r="AN247" s="457">
        <v>0</v>
      </c>
      <c r="AO247" s="457">
        <v>0</v>
      </c>
      <c r="AP247" s="457">
        <v>0</v>
      </c>
      <c r="AQ247" s="457">
        <v>0</v>
      </c>
      <c r="AR247" s="457">
        <v>0</v>
      </c>
      <c r="AS247" s="457">
        <v>0</v>
      </c>
      <c r="AT247" s="457">
        <v>0</v>
      </c>
      <c r="AU247" s="457">
        <v>0</v>
      </c>
      <c r="AV247" s="457">
        <v>0</v>
      </c>
      <c r="AW247" s="457">
        <v>0</v>
      </c>
      <c r="AX247" s="457">
        <v>0</v>
      </c>
      <c r="AY247" s="457">
        <v>0</v>
      </c>
      <c r="AZ247" s="457">
        <v>0</v>
      </c>
      <c r="BA247" s="457">
        <v>341318</v>
      </c>
      <c r="BB247" s="457">
        <v>286162</v>
      </c>
      <c r="BC247" s="457">
        <v>55156</v>
      </c>
      <c r="BD247" s="457">
        <v>85330</v>
      </c>
      <c r="BE247" s="457">
        <v>71541</v>
      </c>
      <c r="BF247" s="457">
        <v>13789</v>
      </c>
      <c r="BG247" s="457">
        <v>0</v>
      </c>
      <c r="BH247" s="457">
        <v>0</v>
      </c>
      <c r="BI247" s="457">
        <v>0</v>
      </c>
    </row>
    <row r="248" spans="1:61" ht="12.75" x14ac:dyDescent="0.2">
      <c r="A248" s="446">
        <v>241</v>
      </c>
      <c r="B248" s="447" t="s">
        <v>365</v>
      </c>
      <c r="C248" s="448" t="s">
        <v>1093</v>
      </c>
      <c r="D248" s="449" t="s">
        <v>1096</v>
      </c>
      <c r="E248" s="450" t="s">
        <v>364</v>
      </c>
      <c r="F248" s="457">
        <v>37427727</v>
      </c>
      <c r="G248" s="457">
        <v>0</v>
      </c>
      <c r="H248" s="457">
        <v>0</v>
      </c>
      <c r="I248" s="457">
        <v>37427727</v>
      </c>
      <c r="J248" s="457">
        <v>37479663</v>
      </c>
      <c r="K248" s="457">
        <v>0</v>
      </c>
      <c r="L248" s="457">
        <v>0</v>
      </c>
      <c r="M248" s="457">
        <v>37479663</v>
      </c>
      <c r="N248" s="457">
        <v>-51936</v>
      </c>
      <c r="O248" s="457">
        <v>0</v>
      </c>
      <c r="P248" s="457">
        <v>0</v>
      </c>
      <c r="Q248" s="457">
        <v>-51936</v>
      </c>
      <c r="R248" s="457">
        <v>106213</v>
      </c>
      <c r="S248" s="457">
        <v>0</v>
      </c>
      <c r="T248" s="457">
        <v>0</v>
      </c>
      <c r="U248" s="457">
        <v>106213</v>
      </c>
      <c r="V248" s="457">
        <v>-158149</v>
      </c>
      <c r="W248" s="457">
        <v>0</v>
      </c>
      <c r="X248" s="457">
        <v>0</v>
      </c>
      <c r="Y248" s="457">
        <v>-158149</v>
      </c>
      <c r="Z248" s="457">
        <v>179287</v>
      </c>
      <c r="AA248" s="457">
        <v>179287</v>
      </c>
      <c r="AB248" s="457">
        <v>0</v>
      </c>
      <c r="AC248" s="457">
        <v>0</v>
      </c>
      <c r="AD248" s="457">
        <v>0</v>
      </c>
      <c r="AE248" s="457">
        <v>0</v>
      </c>
      <c r="AF248" s="457">
        <v>0</v>
      </c>
      <c r="AG248" s="457">
        <v>0</v>
      </c>
      <c r="AH248" s="457">
        <v>0</v>
      </c>
      <c r="AI248" s="457">
        <v>0</v>
      </c>
      <c r="AJ248" s="457">
        <v>0</v>
      </c>
      <c r="AK248" s="457">
        <v>0</v>
      </c>
      <c r="AL248" s="457">
        <v>0</v>
      </c>
      <c r="AM248" s="457">
        <v>0</v>
      </c>
      <c r="AN248" s="457">
        <v>0</v>
      </c>
      <c r="AO248" s="457">
        <v>0</v>
      </c>
      <c r="AP248" s="457">
        <v>0</v>
      </c>
      <c r="AQ248" s="457">
        <v>0</v>
      </c>
      <c r="AR248" s="457">
        <v>0</v>
      </c>
      <c r="AS248" s="457">
        <v>0</v>
      </c>
      <c r="AT248" s="457">
        <v>0</v>
      </c>
      <c r="AU248" s="457">
        <v>0</v>
      </c>
      <c r="AV248" s="457">
        <v>0</v>
      </c>
      <c r="AW248" s="457">
        <v>0</v>
      </c>
      <c r="AX248" s="457">
        <v>0</v>
      </c>
      <c r="AY248" s="457">
        <v>0</v>
      </c>
      <c r="AZ248" s="457">
        <v>0</v>
      </c>
      <c r="BA248" s="457">
        <v>495304</v>
      </c>
      <c r="BB248" s="457">
        <v>400236</v>
      </c>
      <c r="BC248" s="457">
        <v>95068</v>
      </c>
      <c r="BD248" s="457">
        <v>123826</v>
      </c>
      <c r="BE248" s="457">
        <v>100059</v>
      </c>
      <c r="BF248" s="457">
        <v>23767</v>
      </c>
      <c r="BG248" s="457">
        <v>0</v>
      </c>
      <c r="BH248" s="457">
        <v>0</v>
      </c>
      <c r="BI248" s="457">
        <v>0</v>
      </c>
    </row>
    <row r="249" spans="1:61" ht="12.75" x14ac:dyDescent="0.2">
      <c r="A249" s="446">
        <v>242</v>
      </c>
      <c r="B249" s="447" t="s">
        <v>367</v>
      </c>
      <c r="C249" s="448" t="s">
        <v>1093</v>
      </c>
      <c r="D249" s="449" t="s">
        <v>1095</v>
      </c>
      <c r="E249" s="450" t="s">
        <v>366</v>
      </c>
      <c r="F249" s="457">
        <v>39834925</v>
      </c>
      <c r="G249" s="457">
        <v>0</v>
      </c>
      <c r="H249" s="457">
        <v>0</v>
      </c>
      <c r="I249" s="457">
        <v>39834925</v>
      </c>
      <c r="J249" s="457">
        <v>39936183</v>
      </c>
      <c r="K249" s="457">
        <v>0</v>
      </c>
      <c r="L249" s="457">
        <v>0</v>
      </c>
      <c r="M249" s="457">
        <v>39936183</v>
      </c>
      <c r="N249" s="457">
        <v>-101258</v>
      </c>
      <c r="O249" s="457">
        <v>0</v>
      </c>
      <c r="P249" s="457">
        <v>0</v>
      </c>
      <c r="Q249" s="457">
        <v>-101258</v>
      </c>
      <c r="R249" s="457">
        <v>109674</v>
      </c>
      <c r="S249" s="457">
        <v>0</v>
      </c>
      <c r="T249" s="457">
        <v>0</v>
      </c>
      <c r="U249" s="457">
        <v>109674</v>
      </c>
      <c r="V249" s="457">
        <v>-210932</v>
      </c>
      <c r="W249" s="457">
        <v>0</v>
      </c>
      <c r="X249" s="457">
        <v>0</v>
      </c>
      <c r="Y249" s="457">
        <v>-210932</v>
      </c>
      <c r="Z249" s="457">
        <v>296593</v>
      </c>
      <c r="AA249" s="457">
        <v>296593</v>
      </c>
      <c r="AB249" s="457">
        <v>0</v>
      </c>
      <c r="AC249" s="457">
        <v>0</v>
      </c>
      <c r="AD249" s="457">
        <v>0</v>
      </c>
      <c r="AE249" s="457">
        <v>0</v>
      </c>
      <c r="AF249" s="457">
        <v>0</v>
      </c>
      <c r="AG249" s="457">
        <v>0</v>
      </c>
      <c r="AH249" s="457">
        <v>0</v>
      </c>
      <c r="AI249" s="457">
        <v>0</v>
      </c>
      <c r="AJ249" s="457">
        <v>0</v>
      </c>
      <c r="AK249" s="457">
        <v>0</v>
      </c>
      <c r="AL249" s="457">
        <v>0</v>
      </c>
      <c r="AM249" s="457">
        <v>0</v>
      </c>
      <c r="AN249" s="457">
        <v>0</v>
      </c>
      <c r="AO249" s="457">
        <v>0</v>
      </c>
      <c r="AP249" s="457">
        <v>0</v>
      </c>
      <c r="AQ249" s="457">
        <v>0</v>
      </c>
      <c r="AR249" s="457">
        <v>0</v>
      </c>
      <c r="AS249" s="457">
        <v>0</v>
      </c>
      <c r="AT249" s="457">
        <v>0</v>
      </c>
      <c r="AU249" s="457">
        <v>0</v>
      </c>
      <c r="AV249" s="457">
        <v>0</v>
      </c>
      <c r="AW249" s="457">
        <v>0</v>
      </c>
      <c r="AX249" s="457">
        <v>0</v>
      </c>
      <c r="AY249" s="457">
        <v>0</v>
      </c>
      <c r="AZ249" s="457">
        <v>0</v>
      </c>
      <c r="BA249" s="457">
        <v>1093565</v>
      </c>
      <c r="BB249" s="457">
        <v>946333</v>
      </c>
      <c r="BC249" s="457">
        <v>147232</v>
      </c>
      <c r="BD249" s="457">
        <v>273391</v>
      </c>
      <c r="BE249" s="457">
        <v>236583</v>
      </c>
      <c r="BF249" s="457">
        <v>36808</v>
      </c>
      <c r="BG249" s="457">
        <v>0</v>
      </c>
      <c r="BH249" s="457">
        <v>0</v>
      </c>
      <c r="BI249" s="457">
        <v>0</v>
      </c>
    </row>
    <row r="250" spans="1:61" ht="12.75" x14ac:dyDescent="0.2">
      <c r="A250" s="446">
        <v>243</v>
      </c>
      <c r="B250" s="447" t="s">
        <v>369</v>
      </c>
      <c r="C250" s="448" t="s">
        <v>1093</v>
      </c>
      <c r="D250" s="449" t="s">
        <v>1097</v>
      </c>
      <c r="E250" s="450" t="s">
        <v>368</v>
      </c>
      <c r="F250" s="457">
        <v>28199771</v>
      </c>
      <c r="G250" s="457">
        <v>0</v>
      </c>
      <c r="H250" s="457">
        <v>0</v>
      </c>
      <c r="I250" s="457">
        <v>28199771</v>
      </c>
      <c r="J250" s="457">
        <v>28119617</v>
      </c>
      <c r="K250" s="457">
        <v>0</v>
      </c>
      <c r="L250" s="457">
        <v>0</v>
      </c>
      <c r="M250" s="457">
        <v>28119617</v>
      </c>
      <c r="N250" s="457">
        <v>80154</v>
      </c>
      <c r="O250" s="457">
        <v>0</v>
      </c>
      <c r="P250" s="457">
        <v>0</v>
      </c>
      <c r="Q250" s="457">
        <v>80154</v>
      </c>
      <c r="R250" s="457">
        <v>129748</v>
      </c>
      <c r="S250" s="457">
        <v>0</v>
      </c>
      <c r="T250" s="457">
        <v>0</v>
      </c>
      <c r="U250" s="457">
        <v>129748</v>
      </c>
      <c r="V250" s="457">
        <v>-49594</v>
      </c>
      <c r="W250" s="457">
        <v>0</v>
      </c>
      <c r="X250" s="457">
        <v>0</v>
      </c>
      <c r="Y250" s="457">
        <v>-49594</v>
      </c>
      <c r="Z250" s="457">
        <v>148821</v>
      </c>
      <c r="AA250" s="457">
        <v>148821</v>
      </c>
      <c r="AB250" s="457">
        <v>0</v>
      </c>
      <c r="AC250" s="457">
        <v>0</v>
      </c>
      <c r="AD250" s="457">
        <v>0</v>
      </c>
      <c r="AE250" s="457">
        <v>0</v>
      </c>
      <c r="AF250" s="457">
        <v>0</v>
      </c>
      <c r="AG250" s="457">
        <v>0</v>
      </c>
      <c r="AH250" s="457">
        <v>0</v>
      </c>
      <c r="AI250" s="457">
        <v>0</v>
      </c>
      <c r="AJ250" s="457">
        <v>20000</v>
      </c>
      <c r="AK250" s="457">
        <v>-20000</v>
      </c>
      <c r="AL250" s="457">
        <v>0</v>
      </c>
      <c r="AM250" s="457">
        <v>0</v>
      </c>
      <c r="AN250" s="457">
        <v>0</v>
      </c>
      <c r="AO250" s="457">
        <v>0</v>
      </c>
      <c r="AP250" s="457">
        <v>0</v>
      </c>
      <c r="AQ250" s="457">
        <v>0</v>
      </c>
      <c r="AR250" s="457">
        <v>0</v>
      </c>
      <c r="AS250" s="457">
        <v>0</v>
      </c>
      <c r="AT250" s="457">
        <v>0</v>
      </c>
      <c r="AU250" s="457">
        <v>0</v>
      </c>
      <c r="AV250" s="457">
        <v>0</v>
      </c>
      <c r="AW250" s="457">
        <v>0</v>
      </c>
      <c r="AX250" s="457">
        <v>0</v>
      </c>
      <c r="AY250" s="457">
        <v>0</v>
      </c>
      <c r="AZ250" s="457">
        <v>0</v>
      </c>
      <c r="BA250" s="457">
        <v>455341</v>
      </c>
      <c r="BB250" s="457">
        <v>356218</v>
      </c>
      <c r="BC250" s="457">
        <v>99123</v>
      </c>
      <c r="BD250" s="457">
        <v>113835</v>
      </c>
      <c r="BE250" s="457">
        <v>89055</v>
      </c>
      <c r="BF250" s="457">
        <v>24780</v>
      </c>
      <c r="BG250" s="457">
        <v>0</v>
      </c>
      <c r="BH250" s="457">
        <v>0</v>
      </c>
      <c r="BI250" s="457">
        <v>0</v>
      </c>
    </row>
    <row r="251" spans="1:61" ht="12.75" x14ac:dyDescent="0.2">
      <c r="A251" s="446">
        <v>244</v>
      </c>
      <c r="B251" s="447" t="s">
        <v>371</v>
      </c>
      <c r="C251" s="448" t="s">
        <v>1093</v>
      </c>
      <c r="D251" s="449" t="s">
        <v>1096</v>
      </c>
      <c r="E251" s="450" t="s">
        <v>370</v>
      </c>
      <c r="F251" s="457">
        <v>20107371.800000001</v>
      </c>
      <c r="G251" s="457">
        <v>0</v>
      </c>
      <c r="H251" s="457">
        <v>0</v>
      </c>
      <c r="I251" s="457">
        <v>20107371.800000001</v>
      </c>
      <c r="J251" s="457">
        <v>20239344.600000001</v>
      </c>
      <c r="K251" s="457">
        <v>0</v>
      </c>
      <c r="L251" s="457">
        <v>0</v>
      </c>
      <c r="M251" s="457">
        <v>20239344.600000001</v>
      </c>
      <c r="N251" s="457">
        <v>-131972.76</v>
      </c>
      <c r="O251" s="457">
        <v>0</v>
      </c>
      <c r="P251" s="457">
        <v>0</v>
      </c>
      <c r="Q251" s="457">
        <v>-131972.76</v>
      </c>
      <c r="R251" s="457">
        <v>23390</v>
      </c>
      <c r="S251" s="457">
        <v>0</v>
      </c>
      <c r="T251" s="457">
        <v>0</v>
      </c>
      <c r="U251" s="457">
        <v>23390</v>
      </c>
      <c r="V251" s="457">
        <v>-155363</v>
      </c>
      <c r="W251" s="457">
        <v>0</v>
      </c>
      <c r="X251" s="457">
        <v>0</v>
      </c>
      <c r="Y251" s="457">
        <v>-155363</v>
      </c>
      <c r="Z251" s="457">
        <v>106988</v>
      </c>
      <c r="AA251" s="457">
        <v>106988</v>
      </c>
      <c r="AB251" s="457">
        <v>0</v>
      </c>
      <c r="AC251" s="457">
        <v>0</v>
      </c>
      <c r="AD251" s="457">
        <v>0</v>
      </c>
      <c r="AE251" s="457">
        <v>0</v>
      </c>
      <c r="AF251" s="457">
        <v>0</v>
      </c>
      <c r="AG251" s="457">
        <v>0</v>
      </c>
      <c r="AH251" s="457">
        <v>0</v>
      </c>
      <c r="AI251" s="457">
        <v>0</v>
      </c>
      <c r="AJ251" s="457">
        <v>0</v>
      </c>
      <c r="AK251" s="457">
        <v>0</v>
      </c>
      <c r="AL251" s="457">
        <v>0</v>
      </c>
      <c r="AM251" s="457">
        <v>0</v>
      </c>
      <c r="AN251" s="457">
        <v>0</v>
      </c>
      <c r="AO251" s="457">
        <v>0</v>
      </c>
      <c r="AP251" s="457">
        <v>0</v>
      </c>
      <c r="AQ251" s="457">
        <v>0</v>
      </c>
      <c r="AR251" s="457">
        <v>0</v>
      </c>
      <c r="AS251" s="457">
        <v>0</v>
      </c>
      <c r="AT251" s="457">
        <v>0</v>
      </c>
      <c r="AU251" s="457">
        <v>0</v>
      </c>
      <c r="AV251" s="457">
        <v>0</v>
      </c>
      <c r="AW251" s="457">
        <v>0</v>
      </c>
      <c r="AX251" s="457">
        <v>0</v>
      </c>
      <c r="AY251" s="457">
        <v>0</v>
      </c>
      <c r="AZ251" s="457">
        <v>0</v>
      </c>
      <c r="BA251" s="457">
        <v>326672</v>
      </c>
      <c r="BB251" s="457">
        <v>269220</v>
      </c>
      <c r="BC251" s="457">
        <v>57452</v>
      </c>
      <c r="BD251" s="457">
        <v>81668</v>
      </c>
      <c r="BE251" s="457">
        <v>67305</v>
      </c>
      <c r="BF251" s="457">
        <v>14363</v>
      </c>
      <c r="BG251" s="457">
        <v>0</v>
      </c>
      <c r="BH251" s="457">
        <v>0</v>
      </c>
      <c r="BI251" s="457">
        <v>0</v>
      </c>
    </row>
    <row r="252" spans="1:61" ht="12.75" x14ac:dyDescent="0.2">
      <c r="A252" s="446">
        <v>245</v>
      </c>
      <c r="B252" s="447" t="s">
        <v>373</v>
      </c>
      <c r="C252" s="448" t="s">
        <v>1093</v>
      </c>
      <c r="D252" s="449" t="s">
        <v>1094</v>
      </c>
      <c r="E252" s="450" t="s">
        <v>372</v>
      </c>
      <c r="F252" s="457">
        <v>41771817</v>
      </c>
      <c r="G252" s="457">
        <v>0</v>
      </c>
      <c r="H252" s="457">
        <v>0</v>
      </c>
      <c r="I252" s="457">
        <v>41771817</v>
      </c>
      <c r="J252" s="457">
        <v>41943600</v>
      </c>
      <c r="K252" s="457">
        <v>0</v>
      </c>
      <c r="L252" s="457">
        <v>0</v>
      </c>
      <c r="M252" s="457">
        <v>41943600</v>
      </c>
      <c r="N252" s="457">
        <v>-171783</v>
      </c>
      <c r="O252" s="457">
        <v>0</v>
      </c>
      <c r="P252" s="457">
        <v>0</v>
      </c>
      <c r="Q252" s="457">
        <v>-171783</v>
      </c>
      <c r="R252" s="457">
        <v>46577</v>
      </c>
      <c r="S252" s="457">
        <v>0</v>
      </c>
      <c r="T252" s="457">
        <v>0</v>
      </c>
      <c r="U252" s="457">
        <v>46577</v>
      </c>
      <c r="V252" s="457">
        <v>-218360</v>
      </c>
      <c r="W252" s="457">
        <v>0</v>
      </c>
      <c r="X252" s="457">
        <v>0</v>
      </c>
      <c r="Y252" s="457">
        <v>-218360</v>
      </c>
      <c r="Z252" s="457">
        <v>186629</v>
      </c>
      <c r="AA252" s="457">
        <v>186629</v>
      </c>
      <c r="AB252" s="457">
        <v>0</v>
      </c>
      <c r="AC252" s="457">
        <v>0</v>
      </c>
      <c r="AD252" s="457">
        <v>0</v>
      </c>
      <c r="AE252" s="457">
        <v>0</v>
      </c>
      <c r="AF252" s="457">
        <v>0</v>
      </c>
      <c r="AG252" s="457">
        <v>0</v>
      </c>
      <c r="AH252" s="457">
        <v>0</v>
      </c>
      <c r="AI252" s="457">
        <v>0</v>
      </c>
      <c r="AJ252" s="457">
        <v>0</v>
      </c>
      <c r="AK252" s="457">
        <v>0</v>
      </c>
      <c r="AL252" s="457">
        <v>0</v>
      </c>
      <c r="AM252" s="457">
        <v>0</v>
      </c>
      <c r="AN252" s="457">
        <v>0</v>
      </c>
      <c r="AO252" s="457">
        <v>0</v>
      </c>
      <c r="AP252" s="457">
        <v>0</v>
      </c>
      <c r="AQ252" s="457">
        <v>0</v>
      </c>
      <c r="AR252" s="457">
        <v>0</v>
      </c>
      <c r="AS252" s="457">
        <v>0</v>
      </c>
      <c r="AT252" s="457">
        <v>0</v>
      </c>
      <c r="AU252" s="457">
        <v>0</v>
      </c>
      <c r="AV252" s="457">
        <v>0</v>
      </c>
      <c r="AW252" s="457">
        <v>0</v>
      </c>
      <c r="AX252" s="457">
        <v>0</v>
      </c>
      <c r="AY252" s="457">
        <v>0</v>
      </c>
      <c r="AZ252" s="457">
        <v>0</v>
      </c>
      <c r="BA252" s="457">
        <v>465070</v>
      </c>
      <c r="BB252" s="457">
        <v>382812</v>
      </c>
      <c r="BC252" s="457">
        <v>82258</v>
      </c>
      <c r="BD252" s="457">
        <v>116267</v>
      </c>
      <c r="BE252" s="457">
        <v>95703</v>
      </c>
      <c r="BF252" s="457">
        <v>20564</v>
      </c>
      <c r="BG252" s="457">
        <v>0</v>
      </c>
      <c r="BH252" s="457">
        <v>0</v>
      </c>
      <c r="BI252" s="457">
        <v>0</v>
      </c>
    </row>
    <row r="253" spans="1:61" ht="12.75" x14ac:dyDescent="0.2">
      <c r="A253" s="446">
        <v>246</v>
      </c>
      <c r="B253" s="447" t="s">
        <v>375</v>
      </c>
      <c r="C253" s="448" t="s">
        <v>1093</v>
      </c>
      <c r="D253" s="449" t="s">
        <v>1095</v>
      </c>
      <c r="E253" s="450" t="s">
        <v>374</v>
      </c>
      <c r="F253" s="457">
        <v>39144254</v>
      </c>
      <c r="G253" s="457">
        <v>0</v>
      </c>
      <c r="H253" s="457">
        <v>0</v>
      </c>
      <c r="I253" s="457">
        <v>39144254</v>
      </c>
      <c r="J253" s="457">
        <v>39378456</v>
      </c>
      <c r="K253" s="457">
        <v>0</v>
      </c>
      <c r="L253" s="457">
        <v>0</v>
      </c>
      <c r="M253" s="457">
        <v>39378456</v>
      </c>
      <c r="N253" s="457">
        <v>-234202</v>
      </c>
      <c r="O253" s="457">
        <v>0</v>
      </c>
      <c r="P253" s="457">
        <v>0</v>
      </c>
      <c r="Q253" s="457">
        <v>-234202</v>
      </c>
      <c r="R253" s="457">
        <v>59186</v>
      </c>
      <c r="S253" s="457">
        <v>0</v>
      </c>
      <c r="T253" s="457">
        <v>0</v>
      </c>
      <c r="U253" s="457">
        <v>59186</v>
      </c>
      <c r="V253" s="457">
        <v>-293388</v>
      </c>
      <c r="W253" s="457">
        <v>0</v>
      </c>
      <c r="X253" s="457">
        <v>0</v>
      </c>
      <c r="Y253" s="457">
        <v>-293388</v>
      </c>
      <c r="Z253" s="457">
        <v>124367</v>
      </c>
      <c r="AA253" s="457">
        <v>124367</v>
      </c>
      <c r="AB253" s="457">
        <v>0</v>
      </c>
      <c r="AC253" s="457">
        <v>0</v>
      </c>
      <c r="AD253" s="457">
        <v>0</v>
      </c>
      <c r="AE253" s="457">
        <v>0</v>
      </c>
      <c r="AF253" s="457">
        <v>0</v>
      </c>
      <c r="AG253" s="457">
        <v>0</v>
      </c>
      <c r="AH253" s="457">
        <v>0</v>
      </c>
      <c r="AI253" s="457">
        <v>0</v>
      </c>
      <c r="AJ253" s="457">
        <v>0</v>
      </c>
      <c r="AK253" s="457">
        <v>0</v>
      </c>
      <c r="AL253" s="457">
        <v>0</v>
      </c>
      <c r="AM253" s="457">
        <v>0</v>
      </c>
      <c r="AN253" s="457">
        <v>0</v>
      </c>
      <c r="AO253" s="457">
        <v>0</v>
      </c>
      <c r="AP253" s="457">
        <v>0</v>
      </c>
      <c r="AQ253" s="457">
        <v>0</v>
      </c>
      <c r="AR253" s="457">
        <v>0</v>
      </c>
      <c r="AS253" s="457">
        <v>0</v>
      </c>
      <c r="AT253" s="457">
        <v>0</v>
      </c>
      <c r="AU253" s="457">
        <v>0</v>
      </c>
      <c r="AV253" s="457">
        <v>0</v>
      </c>
      <c r="AW253" s="457">
        <v>0</v>
      </c>
      <c r="AX253" s="457">
        <v>0</v>
      </c>
      <c r="AY253" s="457">
        <v>0</v>
      </c>
      <c r="AZ253" s="457">
        <v>0</v>
      </c>
      <c r="BA253" s="457">
        <v>393417</v>
      </c>
      <c r="BB253" s="457">
        <v>327319</v>
      </c>
      <c r="BC253" s="457">
        <v>66098</v>
      </c>
      <c r="BD253" s="457">
        <v>88519</v>
      </c>
      <c r="BE253" s="457">
        <v>73647</v>
      </c>
      <c r="BF253" s="457">
        <v>14872</v>
      </c>
      <c r="BG253" s="457">
        <v>9835</v>
      </c>
      <c r="BH253" s="457">
        <v>8183</v>
      </c>
      <c r="BI253" s="457">
        <v>1652</v>
      </c>
    </row>
    <row r="254" spans="1:61" ht="12.75" x14ac:dyDescent="0.2">
      <c r="A254" s="446">
        <v>247</v>
      </c>
      <c r="B254" s="447" t="s">
        <v>377</v>
      </c>
      <c r="C254" s="448" t="s">
        <v>1093</v>
      </c>
      <c r="D254" s="449" t="s">
        <v>1102</v>
      </c>
      <c r="E254" s="450" t="s">
        <v>376</v>
      </c>
      <c r="F254" s="457">
        <v>47749931</v>
      </c>
      <c r="G254" s="457">
        <v>0</v>
      </c>
      <c r="H254" s="457">
        <v>0</v>
      </c>
      <c r="I254" s="457">
        <v>47749931</v>
      </c>
      <c r="J254" s="457">
        <v>47768835</v>
      </c>
      <c r="K254" s="457">
        <v>0</v>
      </c>
      <c r="L254" s="457">
        <v>0</v>
      </c>
      <c r="M254" s="457">
        <v>47768835</v>
      </c>
      <c r="N254" s="457">
        <v>-18904</v>
      </c>
      <c r="O254" s="457">
        <v>0</v>
      </c>
      <c r="P254" s="457">
        <v>0</v>
      </c>
      <c r="Q254" s="457">
        <v>-18904</v>
      </c>
      <c r="R254" s="457">
        <v>293918</v>
      </c>
      <c r="S254" s="457">
        <v>0</v>
      </c>
      <c r="T254" s="457">
        <v>0</v>
      </c>
      <c r="U254" s="457">
        <v>293918</v>
      </c>
      <c r="V254" s="457">
        <v>-312822</v>
      </c>
      <c r="W254" s="457">
        <v>0</v>
      </c>
      <c r="X254" s="457">
        <v>0</v>
      </c>
      <c r="Y254" s="457">
        <v>-312822</v>
      </c>
      <c r="Z254" s="457">
        <v>223390</v>
      </c>
      <c r="AA254" s="457">
        <v>223390</v>
      </c>
      <c r="AB254" s="457">
        <v>0</v>
      </c>
      <c r="AC254" s="457">
        <v>0</v>
      </c>
      <c r="AD254" s="457">
        <v>0</v>
      </c>
      <c r="AE254" s="457">
        <v>0</v>
      </c>
      <c r="AF254" s="457">
        <v>0</v>
      </c>
      <c r="AG254" s="457">
        <v>0</v>
      </c>
      <c r="AH254" s="457">
        <v>0</v>
      </c>
      <c r="AI254" s="457">
        <v>8101</v>
      </c>
      <c r="AJ254" s="457">
        <v>20000</v>
      </c>
      <c r="AK254" s="457">
        <v>-11899</v>
      </c>
      <c r="AL254" s="457">
        <v>0</v>
      </c>
      <c r="AM254" s="457">
        <v>0</v>
      </c>
      <c r="AN254" s="457">
        <v>0</v>
      </c>
      <c r="AO254" s="457">
        <v>0</v>
      </c>
      <c r="AP254" s="457">
        <v>0</v>
      </c>
      <c r="AQ254" s="457">
        <v>0</v>
      </c>
      <c r="AR254" s="457">
        <v>0</v>
      </c>
      <c r="AS254" s="457">
        <v>0</v>
      </c>
      <c r="AT254" s="457">
        <v>0</v>
      </c>
      <c r="AU254" s="457">
        <v>0</v>
      </c>
      <c r="AV254" s="457">
        <v>0</v>
      </c>
      <c r="AW254" s="457">
        <v>0</v>
      </c>
      <c r="AX254" s="457">
        <v>0</v>
      </c>
      <c r="AY254" s="457">
        <v>0</v>
      </c>
      <c r="AZ254" s="457">
        <v>0</v>
      </c>
      <c r="BA254" s="457">
        <v>691708</v>
      </c>
      <c r="BB254" s="457">
        <v>572430</v>
      </c>
      <c r="BC254" s="457">
        <v>119278</v>
      </c>
      <c r="BD254" s="457">
        <v>155634</v>
      </c>
      <c r="BE254" s="457">
        <v>128797</v>
      </c>
      <c r="BF254" s="457">
        <v>26837</v>
      </c>
      <c r="BG254" s="457">
        <v>17293</v>
      </c>
      <c r="BH254" s="457">
        <v>14311</v>
      </c>
      <c r="BI254" s="457">
        <v>2982</v>
      </c>
    </row>
    <row r="255" spans="1:61" ht="12.75" x14ac:dyDescent="0.2">
      <c r="A255" s="446">
        <v>248</v>
      </c>
      <c r="B255" s="447" t="s">
        <v>379</v>
      </c>
      <c r="C255" s="448" t="s">
        <v>1093</v>
      </c>
      <c r="D255" s="449" t="s">
        <v>1103</v>
      </c>
      <c r="E255" s="450" t="s">
        <v>378</v>
      </c>
      <c r="F255" s="457">
        <v>20779848.600000001</v>
      </c>
      <c r="G255" s="457">
        <v>0</v>
      </c>
      <c r="H255" s="457">
        <v>0</v>
      </c>
      <c r="I255" s="457">
        <v>20779848.600000001</v>
      </c>
      <c r="J255" s="457">
        <v>20746571</v>
      </c>
      <c r="K255" s="457">
        <v>0</v>
      </c>
      <c r="L255" s="457">
        <v>0</v>
      </c>
      <c r="M255" s="457">
        <v>20746571</v>
      </c>
      <c r="N255" s="457">
        <v>33277.660000000003</v>
      </c>
      <c r="O255" s="457">
        <v>0</v>
      </c>
      <c r="P255" s="457">
        <v>0</v>
      </c>
      <c r="Q255" s="457">
        <v>33277.660000000003</v>
      </c>
      <c r="R255" s="457">
        <v>134434</v>
      </c>
      <c r="S255" s="457">
        <v>0</v>
      </c>
      <c r="T255" s="457">
        <v>0</v>
      </c>
      <c r="U255" s="457">
        <v>134434</v>
      </c>
      <c r="V255" s="457">
        <v>-101156</v>
      </c>
      <c r="W255" s="457">
        <v>0</v>
      </c>
      <c r="X255" s="457">
        <v>0</v>
      </c>
      <c r="Y255" s="457">
        <v>-101156</v>
      </c>
      <c r="Z255" s="457">
        <v>103528</v>
      </c>
      <c r="AA255" s="457">
        <v>103528</v>
      </c>
      <c r="AB255" s="457">
        <v>0</v>
      </c>
      <c r="AC255" s="457">
        <v>494143</v>
      </c>
      <c r="AD255" s="457">
        <v>662065</v>
      </c>
      <c r="AE255" s="457">
        <v>-167922</v>
      </c>
      <c r="AF255" s="457">
        <v>0</v>
      </c>
      <c r="AG255" s="457">
        <v>0</v>
      </c>
      <c r="AH255" s="457">
        <v>0</v>
      </c>
      <c r="AI255" s="457">
        <v>0</v>
      </c>
      <c r="AJ255" s="457">
        <v>0</v>
      </c>
      <c r="AK255" s="457">
        <v>0</v>
      </c>
      <c r="AL255" s="457">
        <v>0</v>
      </c>
      <c r="AM255" s="457">
        <v>0</v>
      </c>
      <c r="AN255" s="457">
        <v>0</v>
      </c>
      <c r="AO255" s="457">
        <v>54035</v>
      </c>
      <c r="AP255" s="457">
        <v>54035</v>
      </c>
      <c r="AQ255" s="457">
        <v>0</v>
      </c>
      <c r="AR255" s="457">
        <v>54035</v>
      </c>
      <c r="AS255" s="457">
        <v>54035</v>
      </c>
      <c r="AT255" s="457">
        <v>0</v>
      </c>
      <c r="AU255" s="457">
        <v>0</v>
      </c>
      <c r="AV255" s="457">
        <v>0</v>
      </c>
      <c r="AW255" s="457">
        <v>0</v>
      </c>
      <c r="AX255" s="457">
        <v>0</v>
      </c>
      <c r="AY255" s="457">
        <v>0</v>
      </c>
      <c r="AZ255" s="457">
        <v>0</v>
      </c>
      <c r="BA255" s="457">
        <v>377013</v>
      </c>
      <c r="BB255" s="457">
        <v>326372</v>
      </c>
      <c r="BC255" s="457">
        <v>50641</v>
      </c>
      <c r="BD255" s="457">
        <v>84828</v>
      </c>
      <c r="BE255" s="457">
        <v>73434</v>
      </c>
      <c r="BF255" s="457">
        <v>11394</v>
      </c>
      <c r="BG255" s="457">
        <v>9425</v>
      </c>
      <c r="BH255" s="457">
        <v>8159</v>
      </c>
      <c r="BI255" s="457">
        <v>1266</v>
      </c>
    </row>
    <row r="256" spans="1:61" ht="12.75" x14ac:dyDescent="0.2">
      <c r="A256" s="446">
        <v>249</v>
      </c>
      <c r="B256" s="447" t="s">
        <v>381</v>
      </c>
      <c r="C256" s="448" t="s">
        <v>1100</v>
      </c>
      <c r="D256" s="449" t="s">
        <v>1105</v>
      </c>
      <c r="E256" s="450" t="s">
        <v>380</v>
      </c>
      <c r="F256" s="457">
        <v>29305404</v>
      </c>
      <c r="G256" s="457">
        <v>0</v>
      </c>
      <c r="H256" s="457">
        <v>0</v>
      </c>
      <c r="I256" s="457">
        <v>29305404</v>
      </c>
      <c r="J256" s="457">
        <v>29627722</v>
      </c>
      <c r="K256" s="457">
        <v>0</v>
      </c>
      <c r="L256" s="457">
        <v>0</v>
      </c>
      <c r="M256" s="457">
        <v>29627722</v>
      </c>
      <c r="N256" s="457">
        <v>-322318</v>
      </c>
      <c r="O256" s="457">
        <v>0</v>
      </c>
      <c r="P256" s="457">
        <v>0</v>
      </c>
      <c r="Q256" s="457">
        <v>-322318</v>
      </c>
      <c r="R256" s="457">
        <v>73782</v>
      </c>
      <c r="S256" s="457">
        <v>0</v>
      </c>
      <c r="T256" s="457">
        <v>0</v>
      </c>
      <c r="U256" s="457">
        <v>73782</v>
      </c>
      <c r="V256" s="457">
        <v>-396100</v>
      </c>
      <c r="W256" s="457">
        <v>0</v>
      </c>
      <c r="X256" s="457">
        <v>0</v>
      </c>
      <c r="Y256" s="457">
        <v>-396100</v>
      </c>
      <c r="Z256" s="457">
        <v>150312</v>
      </c>
      <c r="AA256" s="457">
        <v>150312</v>
      </c>
      <c r="AB256" s="457">
        <v>0</v>
      </c>
      <c r="AC256" s="457">
        <v>0</v>
      </c>
      <c r="AD256" s="457">
        <v>0</v>
      </c>
      <c r="AE256" s="457">
        <v>0</v>
      </c>
      <c r="AF256" s="457">
        <v>0</v>
      </c>
      <c r="AG256" s="457">
        <v>0</v>
      </c>
      <c r="AH256" s="457">
        <v>0</v>
      </c>
      <c r="AI256" s="457">
        <v>0</v>
      </c>
      <c r="AJ256" s="457">
        <v>0</v>
      </c>
      <c r="AK256" s="457">
        <v>0</v>
      </c>
      <c r="AL256" s="457">
        <v>0</v>
      </c>
      <c r="AM256" s="457">
        <v>0</v>
      </c>
      <c r="AN256" s="457">
        <v>0</v>
      </c>
      <c r="AO256" s="457">
        <v>0</v>
      </c>
      <c r="AP256" s="457">
        <v>0</v>
      </c>
      <c r="AQ256" s="457">
        <v>0</v>
      </c>
      <c r="AR256" s="457">
        <v>0</v>
      </c>
      <c r="AS256" s="457">
        <v>0</v>
      </c>
      <c r="AT256" s="457">
        <v>0</v>
      </c>
      <c r="AU256" s="457">
        <v>0</v>
      </c>
      <c r="AV256" s="457">
        <v>0</v>
      </c>
      <c r="AW256" s="457">
        <v>0</v>
      </c>
      <c r="AX256" s="457">
        <v>0</v>
      </c>
      <c r="AY256" s="457">
        <v>0</v>
      </c>
      <c r="AZ256" s="457">
        <v>0</v>
      </c>
      <c r="BA256" s="457">
        <v>576884</v>
      </c>
      <c r="BB256" s="457">
        <v>505010</v>
      </c>
      <c r="BC256" s="457">
        <v>71874</v>
      </c>
      <c r="BD256" s="457">
        <v>0</v>
      </c>
      <c r="BE256" s="457">
        <v>0</v>
      </c>
      <c r="BF256" s="457">
        <v>0</v>
      </c>
      <c r="BG256" s="457">
        <v>11773</v>
      </c>
      <c r="BH256" s="457">
        <v>10306</v>
      </c>
      <c r="BI256" s="457">
        <v>1467</v>
      </c>
    </row>
    <row r="257" spans="1:62" ht="12.75" x14ac:dyDescent="0.2">
      <c r="A257" s="446">
        <v>250</v>
      </c>
      <c r="B257" s="447" t="s">
        <v>383</v>
      </c>
      <c r="C257" s="448" t="s">
        <v>794</v>
      </c>
      <c r="D257" s="449" t="s">
        <v>1094</v>
      </c>
      <c r="E257" s="450" t="s">
        <v>745</v>
      </c>
      <c r="F257" s="457">
        <v>99732233</v>
      </c>
      <c r="G257" s="457">
        <v>0</v>
      </c>
      <c r="H257" s="457">
        <v>0</v>
      </c>
      <c r="I257" s="457">
        <v>99732233</v>
      </c>
      <c r="J257" s="457">
        <v>100875135</v>
      </c>
      <c r="K257" s="457">
        <v>0</v>
      </c>
      <c r="L257" s="457">
        <v>0</v>
      </c>
      <c r="M257" s="457">
        <v>100875135</v>
      </c>
      <c r="N257" s="457">
        <v>-1142902</v>
      </c>
      <c r="O257" s="457">
        <v>0</v>
      </c>
      <c r="P257" s="457">
        <v>0</v>
      </c>
      <c r="Q257" s="457">
        <v>-1142902</v>
      </c>
      <c r="R257" s="457">
        <v>130416</v>
      </c>
      <c r="S257" s="457">
        <v>0</v>
      </c>
      <c r="T257" s="457">
        <v>0</v>
      </c>
      <c r="U257" s="457">
        <v>130416</v>
      </c>
      <c r="V257" s="457">
        <v>-1273318</v>
      </c>
      <c r="W257" s="457">
        <v>0</v>
      </c>
      <c r="X257" s="457">
        <v>0</v>
      </c>
      <c r="Y257" s="457">
        <v>-1273318</v>
      </c>
      <c r="Z257" s="457">
        <v>321850</v>
      </c>
      <c r="AA257" s="457">
        <v>321850</v>
      </c>
      <c r="AB257" s="457">
        <v>0</v>
      </c>
      <c r="AC257" s="457">
        <v>0</v>
      </c>
      <c r="AD257" s="457">
        <v>0</v>
      </c>
      <c r="AE257" s="457">
        <v>0</v>
      </c>
      <c r="AF257" s="457">
        <v>0</v>
      </c>
      <c r="AG257" s="457">
        <v>0</v>
      </c>
      <c r="AH257" s="457">
        <v>0</v>
      </c>
      <c r="AI257" s="457">
        <v>0</v>
      </c>
      <c r="AJ257" s="457">
        <v>0</v>
      </c>
      <c r="AK257" s="457">
        <v>0</v>
      </c>
      <c r="AL257" s="457">
        <v>0</v>
      </c>
      <c r="AM257" s="457">
        <v>0</v>
      </c>
      <c r="AN257" s="457">
        <v>0</v>
      </c>
      <c r="AO257" s="457">
        <v>0</v>
      </c>
      <c r="AP257" s="457">
        <v>0</v>
      </c>
      <c r="AQ257" s="457">
        <v>0</v>
      </c>
      <c r="AR257" s="457">
        <v>0</v>
      </c>
      <c r="AS257" s="457">
        <v>0</v>
      </c>
      <c r="AT257" s="457">
        <v>0</v>
      </c>
      <c r="AU257" s="457">
        <v>0</v>
      </c>
      <c r="AV257" s="457">
        <v>0</v>
      </c>
      <c r="AW257" s="457">
        <v>0</v>
      </c>
      <c r="AX257" s="457">
        <v>0</v>
      </c>
      <c r="AY257" s="457">
        <v>0</v>
      </c>
      <c r="AZ257" s="457">
        <v>0</v>
      </c>
      <c r="BA257" s="457">
        <v>768939</v>
      </c>
      <c r="BB257" s="457">
        <v>661120</v>
      </c>
      <c r="BC257" s="457">
        <v>107819</v>
      </c>
      <c r="BD257" s="457">
        <v>0</v>
      </c>
      <c r="BE257" s="457">
        <v>0</v>
      </c>
      <c r="BF257" s="457">
        <v>0</v>
      </c>
      <c r="BG257" s="457">
        <v>15693</v>
      </c>
      <c r="BH257" s="457">
        <v>13492</v>
      </c>
      <c r="BI257" s="457">
        <v>2201</v>
      </c>
    </row>
    <row r="258" spans="1:62" ht="12.75" x14ac:dyDescent="0.2">
      <c r="A258" s="446">
        <v>251</v>
      </c>
      <c r="B258" s="447" t="s">
        <v>385</v>
      </c>
      <c r="C258" s="448" t="s">
        <v>794</v>
      </c>
      <c r="D258" s="449" t="s">
        <v>1097</v>
      </c>
      <c r="E258" s="450" t="s">
        <v>746</v>
      </c>
      <c r="F258" s="457">
        <v>46297460.700000003</v>
      </c>
      <c r="G258" s="457">
        <v>0</v>
      </c>
      <c r="H258" s="457">
        <v>0</v>
      </c>
      <c r="I258" s="457">
        <v>46297460.700000003</v>
      </c>
      <c r="J258" s="457">
        <v>46247279</v>
      </c>
      <c r="K258" s="457">
        <v>0</v>
      </c>
      <c r="L258" s="457">
        <v>0</v>
      </c>
      <c r="M258" s="457">
        <v>46247279</v>
      </c>
      <c r="N258" s="457">
        <v>50181.760000000002</v>
      </c>
      <c r="O258" s="457">
        <v>0</v>
      </c>
      <c r="P258" s="457">
        <v>0</v>
      </c>
      <c r="Q258" s="457">
        <v>50181.760000000002</v>
      </c>
      <c r="R258" s="457">
        <v>80744</v>
      </c>
      <c r="S258" s="457">
        <v>0</v>
      </c>
      <c r="T258" s="457">
        <v>0</v>
      </c>
      <c r="U258" s="457">
        <v>80744</v>
      </c>
      <c r="V258" s="457">
        <v>-30562</v>
      </c>
      <c r="W258" s="457">
        <v>0</v>
      </c>
      <c r="X258" s="457">
        <v>0</v>
      </c>
      <c r="Y258" s="457">
        <v>-30562</v>
      </c>
      <c r="Z258" s="457">
        <v>238667</v>
      </c>
      <c r="AA258" s="457">
        <v>238667</v>
      </c>
      <c r="AB258" s="457">
        <v>0</v>
      </c>
      <c r="AC258" s="457">
        <v>0</v>
      </c>
      <c r="AD258" s="457">
        <v>0</v>
      </c>
      <c r="AE258" s="457">
        <v>0</v>
      </c>
      <c r="AF258" s="457">
        <v>0</v>
      </c>
      <c r="AG258" s="457">
        <v>0</v>
      </c>
      <c r="AH258" s="457">
        <v>0</v>
      </c>
      <c r="AI258" s="457">
        <v>0</v>
      </c>
      <c r="AJ258" s="457">
        <v>0</v>
      </c>
      <c r="AK258" s="457">
        <v>0</v>
      </c>
      <c r="AL258" s="457">
        <v>0</v>
      </c>
      <c r="AM258" s="457">
        <v>0</v>
      </c>
      <c r="AN258" s="457">
        <v>0</v>
      </c>
      <c r="AO258" s="457">
        <v>0</v>
      </c>
      <c r="AP258" s="457">
        <v>0</v>
      </c>
      <c r="AQ258" s="457">
        <v>0</v>
      </c>
      <c r="AR258" s="457">
        <v>0</v>
      </c>
      <c r="AS258" s="457">
        <v>0</v>
      </c>
      <c r="AT258" s="457">
        <v>0</v>
      </c>
      <c r="AU258" s="457">
        <v>0</v>
      </c>
      <c r="AV258" s="457">
        <v>0</v>
      </c>
      <c r="AW258" s="457">
        <v>0</v>
      </c>
      <c r="AX258" s="457">
        <v>0</v>
      </c>
      <c r="AY258" s="457">
        <v>0</v>
      </c>
      <c r="AZ258" s="457">
        <v>0</v>
      </c>
      <c r="BA258" s="457">
        <v>1113942</v>
      </c>
      <c r="BB258" s="457">
        <v>969094</v>
      </c>
      <c r="BC258" s="457">
        <v>144848</v>
      </c>
      <c r="BD258" s="457">
        <v>0</v>
      </c>
      <c r="BE258" s="457">
        <v>0</v>
      </c>
      <c r="BF258" s="457">
        <v>0</v>
      </c>
      <c r="BG258" s="457">
        <v>22734</v>
      </c>
      <c r="BH258" s="457">
        <v>19777</v>
      </c>
      <c r="BI258" s="457">
        <v>2957</v>
      </c>
    </row>
    <row r="259" spans="1:62" ht="12.75" x14ac:dyDescent="0.2">
      <c r="A259" s="446">
        <v>252</v>
      </c>
      <c r="B259" s="447" t="s">
        <v>387</v>
      </c>
      <c r="C259" s="448" t="s">
        <v>1104</v>
      </c>
      <c r="D259" s="449" t="s">
        <v>1099</v>
      </c>
      <c r="E259" s="450" t="s">
        <v>386</v>
      </c>
      <c r="F259" s="457">
        <v>608892</v>
      </c>
      <c r="G259" s="457">
        <v>0</v>
      </c>
      <c r="H259" s="457">
        <v>0</v>
      </c>
      <c r="I259" s="457">
        <v>608892</v>
      </c>
      <c r="J259" s="457">
        <v>712596</v>
      </c>
      <c r="K259" s="457">
        <v>0</v>
      </c>
      <c r="L259" s="457">
        <v>0</v>
      </c>
      <c r="M259" s="457">
        <v>712596</v>
      </c>
      <c r="N259" s="457">
        <v>-1321488</v>
      </c>
      <c r="O259" s="457">
        <v>0</v>
      </c>
      <c r="P259" s="457">
        <v>0</v>
      </c>
      <c r="Q259" s="457">
        <v>-1321488</v>
      </c>
      <c r="R259" s="457">
        <v>485473</v>
      </c>
      <c r="S259" s="457">
        <v>0</v>
      </c>
      <c r="T259" s="457">
        <v>0</v>
      </c>
      <c r="U259" s="457">
        <v>485473</v>
      </c>
      <c r="V259" s="457">
        <v>-1806961</v>
      </c>
      <c r="W259" s="457">
        <v>0</v>
      </c>
      <c r="X259" s="457">
        <v>0</v>
      </c>
      <c r="Y259" s="457">
        <v>-1806961</v>
      </c>
      <c r="Z259" s="457">
        <v>655771</v>
      </c>
      <c r="AA259" s="457">
        <v>655771</v>
      </c>
      <c r="AB259" s="457">
        <v>0</v>
      </c>
      <c r="AC259" s="457">
        <v>0</v>
      </c>
      <c r="AD259" s="457">
        <v>0</v>
      </c>
      <c r="AE259" s="457">
        <v>0</v>
      </c>
      <c r="AF259" s="457">
        <v>0</v>
      </c>
      <c r="AG259" s="457">
        <v>0</v>
      </c>
      <c r="AH259" s="457">
        <v>0</v>
      </c>
      <c r="AI259" s="457">
        <v>0</v>
      </c>
      <c r="AJ259" s="457">
        <v>0</v>
      </c>
      <c r="AK259" s="457">
        <v>0</v>
      </c>
      <c r="AL259" s="457">
        <v>0</v>
      </c>
      <c r="AM259" s="457">
        <v>0</v>
      </c>
      <c r="AN259" s="457">
        <v>0</v>
      </c>
      <c r="AO259" s="457">
        <v>0</v>
      </c>
      <c r="AP259" s="457">
        <v>0</v>
      </c>
      <c r="AQ259" s="457">
        <v>0</v>
      </c>
      <c r="AR259" s="457">
        <v>0</v>
      </c>
      <c r="AS259" s="457">
        <v>0</v>
      </c>
      <c r="AT259" s="457">
        <v>0</v>
      </c>
      <c r="AU259" s="457">
        <v>0</v>
      </c>
      <c r="AV259" s="457">
        <v>0</v>
      </c>
      <c r="AW259" s="457">
        <v>0</v>
      </c>
      <c r="AX259" s="457">
        <v>0</v>
      </c>
      <c r="AY259" s="457">
        <v>0</v>
      </c>
      <c r="AZ259" s="457">
        <v>0</v>
      </c>
      <c r="BA259" s="457">
        <v>776026</v>
      </c>
      <c r="BB259" s="457">
        <v>636316</v>
      </c>
      <c r="BC259" s="457">
        <v>139710</v>
      </c>
      <c r="BD259" s="457">
        <v>517351</v>
      </c>
      <c r="BE259" s="457">
        <v>424210</v>
      </c>
      <c r="BF259" s="457">
        <v>93141</v>
      </c>
      <c r="BG259" s="457">
        <v>0</v>
      </c>
      <c r="BH259" s="457">
        <v>0</v>
      </c>
      <c r="BI259" s="457">
        <v>0</v>
      </c>
    </row>
    <row r="260" spans="1:62" ht="12.75" x14ac:dyDescent="0.2">
      <c r="A260" s="446">
        <v>253</v>
      </c>
      <c r="B260" s="447" t="s">
        <v>389</v>
      </c>
      <c r="C260" s="448" t="s">
        <v>1093</v>
      </c>
      <c r="D260" s="449" t="s">
        <v>1094</v>
      </c>
      <c r="E260" s="450" t="s">
        <v>388</v>
      </c>
      <c r="F260" s="457">
        <v>40626938</v>
      </c>
      <c r="G260" s="457">
        <v>0</v>
      </c>
      <c r="H260" s="457">
        <v>0</v>
      </c>
      <c r="I260" s="457">
        <v>40626938</v>
      </c>
      <c r="J260" s="457">
        <v>40455294</v>
      </c>
      <c r="K260" s="457">
        <v>0</v>
      </c>
      <c r="L260" s="457">
        <v>0</v>
      </c>
      <c r="M260" s="457">
        <v>40455294</v>
      </c>
      <c r="N260" s="457">
        <v>171644</v>
      </c>
      <c r="O260" s="457">
        <v>0</v>
      </c>
      <c r="P260" s="457">
        <v>0</v>
      </c>
      <c r="Q260" s="457">
        <v>171644</v>
      </c>
      <c r="R260" s="457">
        <v>-43281</v>
      </c>
      <c r="S260" s="457">
        <v>0</v>
      </c>
      <c r="T260" s="457">
        <v>0</v>
      </c>
      <c r="U260" s="457">
        <v>-43281</v>
      </c>
      <c r="V260" s="457">
        <v>214925</v>
      </c>
      <c r="W260" s="457">
        <v>0</v>
      </c>
      <c r="X260" s="457">
        <v>0</v>
      </c>
      <c r="Y260" s="457">
        <v>214925</v>
      </c>
      <c r="Z260" s="457">
        <v>132328</v>
      </c>
      <c r="AA260" s="457">
        <v>132328</v>
      </c>
      <c r="AB260" s="457">
        <v>0</v>
      </c>
      <c r="AC260" s="457">
        <v>0</v>
      </c>
      <c r="AD260" s="457">
        <v>0</v>
      </c>
      <c r="AE260" s="457">
        <v>0</v>
      </c>
      <c r="AF260" s="457">
        <v>0</v>
      </c>
      <c r="AG260" s="457">
        <v>0</v>
      </c>
      <c r="AH260" s="457">
        <v>0</v>
      </c>
      <c r="AI260" s="457">
        <v>0</v>
      </c>
      <c r="AJ260" s="457">
        <v>0</v>
      </c>
      <c r="AK260" s="457">
        <v>0</v>
      </c>
      <c r="AL260" s="457">
        <v>0</v>
      </c>
      <c r="AM260" s="457">
        <v>0</v>
      </c>
      <c r="AN260" s="457">
        <v>0</v>
      </c>
      <c r="AO260" s="457">
        <v>0</v>
      </c>
      <c r="AP260" s="457">
        <v>0</v>
      </c>
      <c r="AQ260" s="457">
        <v>0</v>
      </c>
      <c r="AR260" s="457">
        <v>0</v>
      </c>
      <c r="AS260" s="457">
        <v>0</v>
      </c>
      <c r="AT260" s="457">
        <v>0</v>
      </c>
      <c r="AU260" s="457">
        <v>0</v>
      </c>
      <c r="AV260" s="457">
        <v>0</v>
      </c>
      <c r="AW260" s="457">
        <v>0</v>
      </c>
      <c r="AX260" s="457">
        <v>0</v>
      </c>
      <c r="AY260" s="457">
        <v>0</v>
      </c>
      <c r="AZ260" s="457">
        <v>0</v>
      </c>
      <c r="BA260" s="457">
        <v>230928</v>
      </c>
      <c r="BB260" s="457">
        <v>197395</v>
      </c>
      <c r="BC260" s="457">
        <v>33533</v>
      </c>
      <c r="BD260" s="457">
        <v>57732</v>
      </c>
      <c r="BE260" s="457">
        <v>49349</v>
      </c>
      <c r="BF260" s="457">
        <v>8383</v>
      </c>
      <c r="BG260" s="457">
        <v>0</v>
      </c>
      <c r="BH260" s="457">
        <v>0</v>
      </c>
      <c r="BI260" s="457">
        <v>0</v>
      </c>
    </row>
    <row r="261" spans="1:62" ht="12.75" x14ac:dyDescent="0.2">
      <c r="A261" s="446">
        <v>254</v>
      </c>
      <c r="B261" s="447" t="s">
        <v>391</v>
      </c>
      <c r="C261" s="448" t="s">
        <v>1093</v>
      </c>
      <c r="D261" s="449" t="s">
        <v>1097</v>
      </c>
      <c r="E261" s="450" t="s">
        <v>390</v>
      </c>
      <c r="F261" s="457">
        <v>180620</v>
      </c>
      <c r="G261" s="457">
        <v>0</v>
      </c>
      <c r="H261" s="457">
        <v>0</v>
      </c>
      <c r="I261" s="457">
        <v>180620</v>
      </c>
      <c r="J261" s="457">
        <v>314959</v>
      </c>
      <c r="K261" s="457">
        <v>0</v>
      </c>
      <c r="L261" s="457">
        <v>0</v>
      </c>
      <c r="M261" s="457">
        <v>314959</v>
      </c>
      <c r="N261" s="457">
        <v>-134339</v>
      </c>
      <c r="O261" s="457">
        <v>0</v>
      </c>
      <c r="P261" s="457">
        <v>0</v>
      </c>
      <c r="Q261" s="457">
        <v>-134339</v>
      </c>
      <c r="R261" s="457">
        <v>180620</v>
      </c>
      <c r="S261" s="457">
        <v>0</v>
      </c>
      <c r="T261" s="457">
        <v>0</v>
      </c>
      <c r="U261" s="457">
        <v>180620</v>
      </c>
      <c r="V261" s="457">
        <v>-314959</v>
      </c>
      <c r="W261" s="457">
        <v>0</v>
      </c>
      <c r="X261" s="457">
        <v>0</v>
      </c>
      <c r="Y261" s="457">
        <v>-314959</v>
      </c>
      <c r="Z261" s="457">
        <v>197970</v>
      </c>
      <c r="AA261" s="457">
        <v>197970</v>
      </c>
      <c r="AB261" s="457">
        <v>0</v>
      </c>
      <c r="AC261" s="457">
        <v>0</v>
      </c>
      <c r="AD261" s="457">
        <v>0</v>
      </c>
      <c r="AE261" s="457">
        <v>0</v>
      </c>
      <c r="AF261" s="457">
        <v>0</v>
      </c>
      <c r="AG261" s="457">
        <v>0</v>
      </c>
      <c r="AH261" s="457">
        <v>0</v>
      </c>
      <c r="AI261" s="457">
        <v>0</v>
      </c>
      <c r="AJ261" s="457">
        <v>0</v>
      </c>
      <c r="AK261" s="457">
        <v>0</v>
      </c>
      <c r="AL261" s="457">
        <v>0</v>
      </c>
      <c r="AM261" s="457">
        <v>0</v>
      </c>
      <c r="AN261" s="457">
        <v>0</v>
      </c>
      <c r="AO261" s="457">
        <v>0</v>
      </c>
      <c r="AP261" s="457">
        <v>0</v>
      </c>
      <c r="AQ261" s="457">
        <v>0</v>
      </c>
      <c r="AR261" s="457">
        <v>0</v>
      </c>
      <c r="AS261" s="457">
        <v>0</v>
      </c>
      <c r="AT261" s="457">
        <v>0</v>
      </c>
      <c r="AU261" s="457">
        <v>0</v>
      </c>
      <c r="AV261" s="457">
        <v>0</v>
      </c>
      <c r="AW261" s="457">
        <v>0</v>
      </c>
      <c r="AX261" s="457">
        <v>0</v>
      </c>
      <c r="AY261" s="457">
        <v>0</v>
      </c>
      <c r="AZ261" s="457">
        <v>0</v>
      </c>
      <c r="BA261" s="457">
        <v>296203</v>
      </c>
      <c r="BB261" s="457">
        <v>236156</v>
      </c>
      <c r="BC261" s="457">
        <v>60047</v>
      </c>
      <c r="BD261" s="457">
        <v>74051</v>
      </c>
      <c r="BE261" s="457">
        <v>59039</v>
      </c>
      <c r="BF261" s="457">
        <v>15012</v>
      </c>
      <c r="BG261" s="457">
        <v>0</v>
      </c>
      <c r="BH261" s="457">
        <v>0</v>
      </c>
      <c r="BI261" s="457">
        <v>0</v>
      </c>
    </row>
    <row r="262" spans="1:62" ht="12.75" x14ac:dyDescent="0.2">
      <c r="A262" s="446">
        <v>255</v>
      </c>
      <c r="B262" s="447" t="s">
        <v>393</v>
      </c>
      <c r="C262" s="448" t="s">
        <v>1093</v>
      </c>
      <c r="D262" s="449" t="s">
        <v>1097</v>
      </c>
      <c r="E262" s="450" t="s">
        <v>392</v>
      </c>
      <c r="F262" s="457">
        <v>45475763</v>
      </c>
      <c r="G262" s="457">
        <v>0</v>
      </c>
      <c r="H262" s="457">
        <v>0</v>
      </c>
      <c r="I262" s="457">
        <v>45475763</v>
      </c>
      <c r="J262" s="457">
        <v>45488941</v>
      </c>
      <c r="K262" s="457">
        <v>0</v>
      </c>
      <c r="L262" s="457">
        <v>0</v>
      </c>
      <c r="M262" s="457">
        <v>45488941</v>
      </c>
      <c r="N262" s="457">
        <v>-13178</v>
      </c>
      <c r="O262" s="457">
        <v>0</v>
      </c>
      <c r="P262" s="457">
        <v>0</v>
      </c>
      <c r="Q262" s="457">
        <v>-13178</v>
      </c>
      <c r="R262" s="457">
        <v>56938.33</v>
      </c>
      <c r="S262" s="457">
        <v>0</v>
      </c>
      <c r="T262" s="457">
        <v>0</v>
      </c>
      <c r="U262" s="457">
        <v>56938</v>
      </c>
      <c r="V262" s="457">
        <v>-70116</v>
      </c>
      <c r="W262" s="457">
        <v>0</v>
      </c>
      <c r="X262" s="457">
        <v>0</v>
      </c>
      <c r="Y262" s="457">
        <v>-70116</v>
      </c>
      <c r="Z262" s="457">
        <v>164145</v>
      </c>
      <c r="AA262" s="457">
        <v>164145</v>
      </c>
      <c r="AB262" s="457">
        <v>0</v>
      </c>
      <c r="AC262" s="457">
        <v>0</v>
      </c>
      <c r="AD262" s="457">
        <v>0</v>
      </c>
      <c r="AE262" s="457">
        <v>0</v>
      </c>
      <c r="AF262" s="457">
        <v>0</v>
      </c>
      <c r="AG262" s="457">
        <v>0</v>
      </c>
      <c r="AH262" s="457">
        <v>0</v>
      </c>
      <c r="AI262" s="457">
        <v>35841</v>
      </c>
      <c r="AJ262" s="457">
        <v>0</v>
      </c>
      <c r="AK262" s="457">
        <v>35841</v>
      </c>
      <c r="AL262" s="457">
        <v>0</v>
      </c>
      <c r="AM262" s="457">
        <v>0</v>
      </c>
      <c r="AN262" s="457">
        <v>0</v>
      </c>
      <c r="AO262" s="457">
        <v>0</v>
      </c>
      <c r="AP262" s="457">
        <v>0</v>
      </c>
      <c r="AQ262" s="457">
        <v>0</v>
      </c>
      <c r="AR262" s="457">
        <v>0</v>
      </c>
      <c r="AS262" s="457">
        <v>0</v>
      </c>
      <c r="AT262" s="457">
        <v>0</v>
      </c>
      <c r="AU262" s="457">
        <v>0</v>
      </c>
      <c r="AV262" s="457">
        <v>0</v>
      </c>
      <c r="AW262" s="457">
        <v>0</v>
      </c>
      <c r="AX262" s="457">
        <v>0</v>
      </c>
      <c r="AY262" s="457">
        <v>0</v>
      </c>
      <c r="AZ262" s="457">
        <v>0</v>
      </c>
      <c r="BA262" s="457">
        <v>373442</v>
      </c>
      <c r="BB262" s="457">
        <v>328099</v>
      </c>
      <c r="BC262" s="457">
        <v>45343</v>
      </c>
      <c r="BD262" s="457">
        <v>93361</v>
      </c>
      <c r="BE262" s="457">
        <v>82025</v>
      </c>
      <c r="BF262" s="457">
        <v>11336</v>
      </c>
      <c r="BG262" s="457">
        <v>0</v>
      </c>
      <c r="BH262" s="457">
        <v>0</v>
      </c>
      <c r="BI262" s="457">
        <v>0</v>
      </c>
    </row>
    <row r="263" spans="1:62" ht="12.75" x14ac:dyDescent="0.2">
      <c r="A263" s="446">
        <v>256</v>
      </c>
      <c r="B263" s="447" t="s">
        <v>395</v>
      </c>
      <c r="C263" s="448" t="s">
        <v>1100</v>
      </c>
      <c r="D263" s="449" t="s">
        <v>1095</v>
      </c>
      <c r="E263" s="450" t="s">
        <v>394</v>
      </c>
      <c r="F263" s="457">
        <v>60554260</v>
      </c>
      <c r="G263" s="457">
        <v>0</v>
      </c>
      <c r="H263" s="457">
        <v>0</v>
      </c>
      <c r="I263" s="457">
        <v>60554260</v>
      </c>
      <c r="J263" s="457">
        <v>60843936</v>
      </c>
      <c r="K263" s="457">
        <v>0</v>
      </c>
      <c r="L263" s="457">
        <v>0</v>
      </c>
      <c r="M263" s="457">
        <v>60843936</v>
      </c>
      <c r="N263" s="457">
        <v>-289676</v>
      </c>
      <c r="O263" s="457">
        <v>0</v>
      </c>
      <c r="P263" s="457">
        <v>0</v>
      </c>
      <c r="Q263" s="457">
        <v>-289676</v>
      </c>
      <c r="R263" s="457">
        <v>-15581</v>
      </c>
      <c r="S263" s="457">
        <v>0</v>
      </c>
      <c r="T263" s="457">
        <v>0</v>
      </c>
      <c r="U263" s="457">
        <v>-15581</v>
      </c>
      <c r="V263" s="457">
        <v>-274095</v>
      </c>
      <c r="W263" s="457">
        <v>0</v>
      </c>
      <c r="X263" s="457">
        <v>0</v>
      </c>
      <c r="Y263" s="457">
        <v>-274095</v>
      </c>
      <c r="Z263" s="457">
        <v>195142</v>
      </c>
      <c r="AA263" s="457">
        <v>195142</v>
      </c>
      <c r="AB263" s="457">
        <v>0</v>
      </c>
      <c r="AC263" s="457">
        <v>0</v>
      </c>
      <c r="AD263" s="457">
        <v>0</v>
      </c>
      <c r="AE263" s="457">
        <v>0</v>
      </c>
      <c r="AF263" s="457">
        <v>0</v>
      </c>
      <c r="AG263" s="457">
        <v>0</v>
      </c>
      <c r="AH263" s="457">
        <v>0</v>
      </c>
      <c r="AI263" s="457">
        <v>0</v>
      </c>
      <c r="AJ263" s="457">
        <v>0</v>
      </c>
      <c r="AK263" s="457">
        <v>0</v>
      </c>
      <c r="AL263" s="457">
        <v>0</v>
      </c>
      <c r="AM263" s="457">
        <v>0</v>
      </c>
      <c r="AN263" s="457">
        <v>0</v>
      </c>
      <c r="AO263" s="457">
        <v>0</v>
      </c>
      <c r="AP263" s="457">
        <v>0</v>
      </c>
      <c r="AQ263" s="457">
        <v>0</v>
      </c>
      <c r="AR263" s="457">
        <v>0</v>
      </c>
      <c r="AS263" s="457">
        <v>0</v>
      </c>
      <c r="AT263" s="457">
        <v>0</v>
      </c>
      <c r="AU263" s="457">
        <v>0</v>
      </c>
      <c r="AV263" s="457">
        <v>0</v>
      </c>
      <c r="AW263" s="457">
        <v>0</v>
      </c>
      <c r="AX263" s="457">
        <v>0</v>
      </c>
      <c r="AY263" s="457">
        <v>0</v>
      </c>
      <c r="AZ263" s="457">
        <v>0</v>
      </c>
      <c r="BA263" s="457">
        <v>720020</v>
      </c>
      <c r="BB263" s="457">
        <v>628442</v>
      </c>
      <c r="BC263" s="457">
        <v>91578</v>
      </c>
      <c r="BD263" s="457">
        <v>0</v>
      </c>
      <c r="BE263" s="457">
        <v>0</v>
      </c>
      <c r="BF263" s="457">
        <v>0</v>
      </c>
      <c r="BG263" s="457">
        <v>14694</v>
      </c>
      <c r="BH263" s="457">
        <v>12825</v>
      </c>
      <c r="BI263" s="457">
        <v>1869</v>
      </c>
    </row>
    <row r="264" spans="1:62" ht="12.75" x14ac:dyDescent="0.2">
      <c r="A264" s="446">
        <v>257</v>
      </c>
      <c r="B264" s="447" t="s">
        <v>397</v>
      </c>
      <c r="C264" s="448" t="s">
        <v>1093</v>
      </c>
      <c r="D264" s="449" t="s">
        <v>1103</v>
      </c>
      <c r="E264" s="450" t="s">
        <v>396</v>
      </c>
      <c r="F264" s="457">
        <v>44150822</v>
      </c>
      <c r="G264" s="457">
        <v>0</v>
      </c>
      <c r="H264" s="457">
        <v>0</v>
      </c>
      <c r="I264" s="457">
        <v>44150822</v>
      </c>
      <c r="J264" s="457">
        <v>44183024</v>
      </c>
      <c r="K264" s="457">
        <v>0</v>
      </c>
      <c r="L264" s="457">
        <v>0</v>
      </c>
      <c r="M264" s="457">
        <v>44183024</v>
      </c>
      <c r="N264" s="457">
        <v>-32202</v>
      </c>
      <c r="O264" s="457">
        <v>0</v>
      </c>
      <c r="P264" s="457">
        <v>0</v>
      </c>
      <c r="Q264" s="457">
        <v>-32202</v>
      </c>
      <c r="R264" s="457">
        <v>65862</v>
      </c>
      <c r="S264" s="457">
        <v>0</v>
      </c>
      <c r="T264" s="457">
        <v>0</v>
      </c>
      <c r="U264" s="457">
        <v>65862</v>
      </c>
      <c r="V264" s="457">
        <v>-98064</v>
      </c>
      <c r="W264" s="457">
        <v>0</v>
      </c>
      <c r="X264" s="457">
        <v>0</v>
      </c>
      <c r="Y264" s="457">
        <v>-98064</v>
      </c>
      <c r="Z264" s="457">
        <v>172645</v>
      </c>
      <c r="AA264" s="457">
        <v>172645</v>
      </c>
      <c r="AB264" s="457">
        <v>0</v>
      </c>
      <c r="AC264" s="457">
        <v>0</v>
      </c>
      <c r="AD264" s="457">
        <v>0</v>
      </c>
      <c r="AE264" s="457">
        <v>0</v>
      </c>
      <c r="AF264" s="457">
        <v>0</v>
      </c>
      <c r="AG264" s="457">
        <v>0</v>
      </c>
      <c r="AH264" s="457">
        <v>0</v>
      </c>
      <c r="AI264" s="457">
        <v>0</v>
      </c>
      <c r="AJ264" s="457">
        <v>0</v>
      </c>
      <c r="AK264" s="457">
        <v>0</v>
      </c>
      <c r="AL264" s="457">
        <v>0</v>
      </c>
      <c r="AM264" s="457">
        <v>0</v>
      </c>
      <c r="AN264" s="457">
        <v>0</v>
      </c>
      <c r="AO264" s="457">
        <v>0</v>
      </c>
      <c r="AP264" s="457">
        <v>0</v>
      </c>
      <c r="AQ264" s="457">
        <v>0</v>
      </c>
      <c r="AR264" s="457">
        <v>0</v>
      </c>
      <c r="AS264" s="457">
        <v>0</v>
      </c>
      <c r="AT264" s="457">
        <v>0</v>
      </c>
      <c r="AU264" s="457">
        <v>0</v>
      </c>
      <c r="AV264" s="457">
        <v>0</v>
      </c>
      <c r="AW264" s="457">
        <v>0</v>
      </c>
      <c r="AX264" s="457">
        <v>0</v>
      </c>
      <c r="AY264" s="457">
        <v>0</v>
      </c>
      <c r="AZ264" s="457">
        <v>0</v>
      </c>
      <c r="BA264" s="457">
        <v>445200</v>
      </c>
      <c r="BB264" s="457">
        <v>382510</v>
      </c>
      <c r="BC264" s="457">
        <v>62690</v>
      </c>
      <c r="BD264" s="457">
        <v>100170</v>
      </c>
      <c r="BE264" s="457">
        <v>86065</v>
      </c>
      <c r="BF264" s="457">
        <v>14105</v>
      </c>
      <c r="BG264" s="457">
        <v>11130</v>
      </c>
      <c r="BH264" s="457">
        <v>9563</v>
      </c>
      <c r="BI264" s="457">
        <v>1567</v>
      </c>
    </row>
    <row r="265" spans="1:62" ht="12.75" x14ac:dyDescent="0.2">
      <c r="A265" s="446">
        <v>258</v>
      </c>
      <c r="B265" s="447" t="s">
        <v>399</v>
      </c>
      <c r="C265" s="448" t="s">
        <v>1093</v>
      </c>
      <c r="D265" s="449" t="s">
        <v>1103</v>
      </c>
      <c r="E265" s="450" t="s">
        <v>398</v>
      </c>
      <c r="F265" s="457">
        <v>17831350</v>
      </c>
      <c r="G265" s="457">
        <v>0</v>
      </c>
      <c r="H265" s="457">
        <v>0</v>
      </c>
      <c r="I265" s="457">
        <v>17831350</v>
      </c>
      <c r="J265" s="457">
        <v>17801478</v>
      </c>
      <c r="K265" s="457">
        <v>0</v>
      </c>
      <c r="L265" s="457">
        <v>0</v>
      </c>
      <c r="M265" s="457">
        <v>17801478</v>
      </c>
      <c r="N265" s="457">
        <v>29872</v>
      </c>
      <c r="O265" s="457">
        <v>0</v>
      </c>
      <c r="P265" s="457">
        <v>0</v>
      </c>
      <c r="Q265" s="457">
        <v>29872</v>
      </c>
      <c r="R265" s="457">
        <v>116957</v>
      </c>
      <c r="S265" s="457">
        <v>0</v>
      </c>
      <c r="T265" s="457">
        <v>0</v>
      </c>
      <c r="U265" s="457">
        <v>116957</v>
      </c>
      <c r="V265" s="457">
        <v>-87085</v>
      </c>
      <c r="W265" s="457">
        <v>0</v>
      </c>
      <c r="X265" s="457">
        <v>0</v>
      </c>
      <c r="Y265" s="457">
        <v>-87085</v>
      </c>
      <c r="Z265" s="457">
        <v>116953</v>
      </c>
      <c r="AA265" s="457">
        <v>116953</v>
      </c>
      <c r="AB265" s="457">
        <v>0</v>
      </c>
      <c r="AC265" s="457">
        <v>0</v>
      </c>
      <c r="AD265" s="457">
        <v>0</v>
      </c>
      <c r="AE265" s="457">
        <v>0</v>
      </c>
      <c r="AF265" s="457">
        <v>0</v>
      </c>
      <c r="AG265" s="457">
        <v>0</v>
      </c>
      <c r="AH265" s="457">
        <v>0</v>
      </c>
      <c r="AI265" s="457">
        <v>0</v>
      </c>
      <c r="AJ265" s="457">
        <v>0</v>
      </c>
      <c r="AK265" s="457">
        <v>0</v>
      </c>
      <c r="AL265" s="457">
        <v>0</v>
      </c>
      <c r="AM265" s="457">
        <v>0</v>
      </c>
      <c r="AN265" s="457">
        <v>0</v>
      </c>
      <c r="AO265" s="457">
        <v>0</v>
      </c>
      <c r="AP265" s="457">
        <v>0</v>
      </c>
      <c r="AQ265" s="457">
        <v>0</v>
      </c>
      <c r="AR265" s="457">
        <v>0</v>
      </c>
      <c r="AS265" s="457">
        <v>0</v>
      </c>
      <c r="AT265" s="457">
        <v>0</v>
      </c>
      <c r="AU265" s="457">
        <v>0</v>
      </c>
      <c r="AV265" s="457">
        <v>0</v>
      </c>
      <c r="AW265" s="457">
        <v>0</v>
      </c>
      <c r="AX265" s="457">
        <v>0</v>
      </c>
      <c r="AY265" s="457">
        <v>0</v>
      </c>
      <c r="AZ265" s="457">
        <v>0</v>
      </c>
      <c r="BA265" s="457">
        <v>420385</v>
      </c>
      <c r="BB265" s="457">
        <v>359331</v>
      </c>
      <c r="BC265" s="457">
        <v>61054</v>
      </c>
      <c r="BD265" s="457">
        <v>94587</v>
      </c>
      <c r="BE265" s="457">
        <v>80850</v>
      </c>
      <c r="BF265" s="457">
        <v>13737</v>
      </c>
      <c r="BG265" s="457">
        <v>10510</v>
      </c>
      <c r="BH265" s="457">
        <v>8983</v>
      </c>
      <c r="BI265" s="457">
        <v>1527</v>
      </c>
    </row>
    <row r="266" spans="1:62" ht="12.75" x14ac:dyDescent="0.2">
      <c r="A266" s="446">
        <v>259</v>
      </c>
      <c r="B266" s="447" t="s">
        <v>401</v>
      </c>
      <c r="C266" s="448" t="s">
        <v>1093</v>
      </c>
      <c r="D266" s="449" t="s">
        <v>1097</v>
      </c>
      <c r="E266" s="450" t="s">
        <v>400</v>
      </c>
      <c r="F266" s="457">
        <v>51532641</v>
      </c>
      <c r="G266" s="457">
        <v>0</v>
      </c>
      <c r="H266" s="457">
        <v>0</v>
      </c>
      <c r="I266" s="457">
        <v>51532641</v>
      </c>
      <c r="J266" s="457">
        <v>51965005</v>
      </c>
      <c r="K266" s="457">
        <v>0</v>
      </c>
      <c r="L266" s="457">
        <v>0</v>
      </c>
      <c r="M266" s="457">
        <v>51965005</v>
      </c>
      <c r="N266" s="457">
        <v>-432364</v>
      </c>
      <c r="O266" s="457">
        <v>0</v>
      </c>
      <c r="P266" s="457">
        <v>0</v>
      </c>
      <c r="Q266" s="457">
        <v>-432364</v>
      </c>
      <c r="R266" s="457">
        <v>-47401</v>
      </c>
      <c r="S266" s="457">
        <v>0</v>
      </c>
      <c r="T266" s="457">
        <v>0</v>
      </c>
      <c r="U266" s="457">
        <v>-47401</v>
      </c>
      <c r="V266" s="457">
        <v>-384963</v>
      </c>
      <c r="W266" s="457">
        <v>0</v>
      </c>
      <c r="X266" s="457">
        <v>0</v>
      </c>
      <c r="Y266" s="457">
        <v>-384963</v>
      </c>
      <c r="Z266" s="457">
        <v>113077</v>
      </c>
      <c r="AA266" s="457">
        <v>113077</v>
      </c>
      <c r="AB266" s="457">
        <v>0</v>
      </c>
      <c r="AC266" s="457">
        <v>0</v>
      </c>
      <c r="AD266" s="457">
        <v>0</v>
      </c>
      <c r="AE266" s="457">
        <v>0</v>
      </c>
      <c r="AF266" s="457">
        <v>0</v>
      </c>
      <c r="AG266" s="457">
        <v>0</v>
      </c>
      <c r="AH266" s="457">
        <v>0</v>
      </c>
      <c r="AI266" s="457">
        <v>0</v>
      </c>
      <c r="AJ266" s="457">
        <v>0</v>
      </c>
      <c r="AK266" s="457">
        <v>0</v>
      </c>
      <c r="AL266" s="457">
        <v>0</v>
      </c>
      <c r="AM266" s="457">
        <v>0</v>
      </c>
      <c r="AN266" s="457">
        <v>0</v>
      </c>
      <c r="AO266" s="457">
        <v>0</v>
      </c>
      <c r="AP266" s="457">
        <v>0</v>
      </c>
      <c r="AQ266" s="457">
        <v>0</v>
      </c>
      <c r="AR266" s="457">
        <v>0</v>
      </c>
      <c r="AS266" s="457">
        <v>0</v>
      </c>
      <c r="AT266" s="457">
        <v>0</v>
      </c>
      <c r="AU266" s="457">
        <v>0</v>
      </c>
      <c r="AV266" s="457">
        <v>0</v>
      </c>
      <c r="AW266" s="457">
        <v>0</v>
      </c>
      <c r="AX266" s="457">
        <v>0</v>
      </c>
      <c r="AY266" s="457">
        <v>0</v>
      </c>
      <c r="AZ266" s="457">
        <v>0</v>
      </c>
      <c r="BA266" s="457">
        <v>160559</v>
      </c>
      <c r="BB266" s="457">
        <v>135629</v>
      </c>
      <c r="BC266" s="457">
        <v>24930</v>
      </c>
      <c r="BD266" s="457">
        <v>40140</v>
      </c>
      <c r="BE266" s="457">
        <v>33907</v>
      </c>
      <c r="BF266" s="457">
        <v>6233</v>
      </c>
      <c r="BG266" s="457">
        <v>0</v>
      </c>
      <c r="BH266" s="457">
        <v>0</v>
      </c>
      <c r="BI266" s="457">
        <v>0</v>
      </c>
    </row>
    <row r="267" spans="1:62" ht="12.75" x14ac:dyDescent="0.2">
      <c r="A267" s="446">
        <v>260</v>
      </c>
      <c r="B267" s="447" t="s">
        <v>403</v>
      </c>
      <c r="C267" s="448" t="s">
        <v>1100</v>
      </c>
      <c r="D267" s="449" t="s">
        <v>1095</v>
      </c>
      <c r="E267" s="450" t="s">
        <v>402</v>
      </c>
      <c r="F267" s="457">
        <v>0</v>
      </c>
      <c r="G267" s="457">
        <v>0</v>
      </c>
      <c r="H267" s="457">
        <v>0</v>
      </c>
      <c r="I267" s="457">
        <v>0</v>
      </c>
      <c r="J267" s="457">
        <v>0</v>
      </c>
      <c r="K267" s="457">
        <v>0</v>
      </c>
      <c r="L267" s="457">
        <v>0</v>
      </c>
      <c r="M267" s="457">
        <v>0</v>
      </c>
      <c r="N267" s="457">
        <v>-741246</v>
      </c>
      <c r="O267" s="457">
        <v>0</v>
      </c>
      <c r="P267" s="457">
        <v>0</v>
      </c>
      <c r="Q267" s="457">
        <v>-741246</v>
      </c>
      <c r="R267" s="457">
        <v>102090</v>
      </c>
      <c r="S267" s="457">
        <v>0</v>
      </c>
      <c r="T267" s="457">
        <v>0</v>
      </c>
      <c r="U267" s="457">
        <v>102090</v>
      </c>
      <c r="V267" s="457">
        <v>-843336</v>
      </c>
      <c r="W267" s="457">
        <v>0</v>
      </c>
      <c r="X267" s="457">
        <v>0</v>
      </c>
      <c r="Y267" s="457">
        <v>-843336</v>
      </c>
      <c r="Z267" s="457">
        <v>429417</v>
      </c>
      <c r="AA267" s="457">
        <v>429417</v>
      </c>
      <c r="AB267" s="457">
        <v>0</v>
      </c>
      <c r="AC267" s="457">
        <v>0</v>
      </c>
      <c r="AD267" s="457">
        <v>0</v>
      </c>
      <c r="AE267" s="457">
        <v>0</v>
      </c>
      <c r="AF267" s="457">
        <v>0</v>
      </c>
      <c r="AG267" s="457">
        <v>0</v>
      </c>
      <c r="AH267" s="457">
        <v>0</v>
      </c>
      <c r="AI267" s="457">
        <v>0</v>
      </c>
      <c r="AJ267" s="457">
        <v>0</v>
      </c>
      <c r="AK267" s="457">
        <v>0</v>
      </c>
      <c r="AL267" s="457">
        <v>0</v>
      </c>
      <c r="AM267" s="457">
        <v>0</v>
      </c>
      <c r="AN267" s="457">
        <v>0</v>
      </c>
      <c r="AO267" s="457">
        <v>0</v>
      </c>
      <c r="AP267" s="457">
        <v>0</v>
      </c>
      <c r="AQ267" s="457">
        <v>0</v>
      </c>
      <c r="AR267" s="457">
        <v>0</v>
      </c>
      <c r="AS267" s="457">
        <v>0</v>
      </c>
      <c r="AT267" s="457">
        <v>0</v>
      </c>
      <c r="AU267" s="457">
        <v>0</v>
      </c>
      <c r="AV267" s="457">
        <v>0</v>
      </c>
      <c r="AW267" s="457">
        <v>0</v>
      </c>
      <c r="AX267" s="457">
        <v>0</v>
      </c>
      <c r="AY267" s="457">
        <v>0</v>
      </c>
      <c r="AZ267" s="457">
        <v>0</v>
      </c>
      <c r="BA267" s="457">
        <v>1584512</v>
      </c>
      <c r="BB267" s="457">
        <v>1372158</v>
      </c>
      <c r="BC267" s="457">
        <v>212354</v>
      </c>
      <c r="BD267" s="457">
        <v>0</v>
      </c>
      <c r="BE267" s="457">
        <v>0</v>
      </c>
      <c r="BF267" s="457">
        <v>0</v>
      </c>
      <c r="BG267" s="457">
        <v>32337</v>
      </c>
      <c r="BH267" s="457">
        <v>28003</v>
      </c>
      <c r="BI267" s="457">
        <v>4334</v>
      </c>
    </row>
    <row r="268" spans="1:62" ht="12.75" x14ac:dyDescent="0.2">
      <c r="A268" s="446">
        <v>261</v>
      </c>
      <c r="B268" s="447" t="s">
        <v>405</v>
      </c>
      <c r="C268" s="448" t="s">
        <v>794</v>
      </c>
      <c r="D268" s="449" t="s">
        <v>1105</v>
      </c>
      <c r="E268" s="450" t="s">
        <v>747</v>
      </c>
      <c r="F268" s="457">
        <v>88190924</v>
      </c>
      <c r="G268" s="457">
        <v>0</v>
      </c>
      <c r="H268" s="457">
        <v>0</v>
      </c>
      <c r="I268" s="457">
        <v>88190924</v>
      </c>
      <c r="J268" s="457">
        <v>88712354.5</v>
      </c>
      <c r="K268" s="457">
        <v>0</v>
      </c>
      <c r="L268" s="457">
        <v>0</v>
      </c>
      <c r="M268" s="457">
        <v>88712354.5</v>
      </c>
      <c r="N268" s="457">
        <v>-521430.48</v>
      </c>
      <c r="O268" s="457">
        <v>0</v>
      </c>
      <c r="P268" s="457">
        <v>0</v>
      </c>
      <c r="Q268" s="457">
        <v>-521430.48</v>
      </c>
      <c r="R268" s="457">
        <v>-110260</v>
      </c>
      <c r="S268" s="457">
        <v>0</v>
      </c>
      <c r="T268" s="457">
        <v>0</v>
      </c>
      <c r="U268" s="457">
        <v>-110260</v>
      </c>
      <c r="V268" s="457">
        <v>-411170</v>
      </c>
      <c r="W268" s="457">
        <v>0</v>
      </c>
      <c r="X268" s="457">
        <v>0</v>
      </c>
      <c r="Y268" s="457">
        <v>-411170</v>
      </c>
      <c r="Z268" s="457">
        <v>236341</v>
      </c>
      <c r="AA268" s="457">
        <v>236341</v>
      </c>
      <c r="AB268" s="457">
        <v>0</v>
      </c>
      <c r="AC268" s="457">
        <v>0</v>
      </c>
      <c r="AD268" s="457">
        <v>0</v>
      </c>
      <c r="AE268" s="457">
        <v>0</v>
      </c>
      <c r="AF268" s="457">
        <v>0</v>
      </c>
      <c r="AG268" s="457">
        <v>0</v>
      </c>
      <c r="AH268" s="457">
        <v>0</v>
      </c>
      <c r="AI268" s="457">
        <v>0</v>
      </c>
      <c r="AJ268" s="457">
        <v>0</v>
      </c>
      <c r="AK268" s="457">
        <v>0</v>
      </c>
      <c r="AL268" s="457">
        <v>0</v>
      </c>
      <c r="AM268" s="457">
        <v>0</v>
      </c>
      <c r="AN268" s="457">
        <v>0</v>
      </c>
      <c r="AO268" s="457">
        <v>34962</v>
      </c>
      <c r="AP268" s="457">
        <v>8685</v>
      </c>
      <c r="AQ268" s="457">
        <v>26277</v>
      </c>
      <c r="AR268" s="457">
        <v>34262</v>
      </c>
      <c r="AS268" s="457">
        <v>0</v>
      </c>
      <c r="AT268" s="457">
        <v>34262</v>
      </c>
      <c r="AU268" s="457">
        <v>0</v>
      </c>
      <c r="AV268" s="457">
        <v>0</v>
      </c>
      <c r="AW268" s="457">
        <v>0</v>
      </c>
      <c r="AX268" s="457">
        <v>699</v>
      </c>
      <c r="AY268" s="457">
        <v>0</v>
      </c>
      <c r="AZ268" s="457">
        <v>699</v>
      </c>
      <c r="BA268" s="457">
        <v>630482</v>
      </c>
      <c r="BB268" s="457">
        <v>523117</v>
      </c>
      <c r="BC268" s="457">
        <v>107365</v>
      </c>
      <c r="BD268" s="457">
        <v>0</v>
      </c>
      <c r="BE268" s="457">
        <v>0</v>
      </c>
      <c r="BF268" s="457">
        <v>0</v>
      </c>
      <c r="BG268" s="457">
        <v>12867</v>
      </c>
      <c r="BH268" s="457">
        <v>10676</v>
      </c>
      <c r="BI268" s="457">
        <v>2191</v>
      </c>
    </row>
    <row r="269" spans="1:62" ht="12.75" x14ac:dyDescent="0.2">
      <c r="A269" s="446">
        <v>262</v>
      </c>
      <c r="B269" s="447" t="s">
        <v>407</v>
      </c>
      <c r="C269" s="448" t="s">
        <v>794</v>
      </c>
      <c r="D269" s="449" t="s">
        <v>1103</v>
      </c>
      <c r="E269" s="450" t="s">
        <v>748</v>
      </c>
      <c r="F269" s="457">
        <v>100109735</v>
      </c>
      <c r="G269" s="457">
        <v>0</v>
      </c>
      <c r="H269" s="457">
        <v>0</v>
      </c>
      <c r="I269" s="457">
        <v>100109735</v>
      </c>
      <c r="J269" s="457">
        <v>100655530</v>
      </c>
      <c r="K269" s="457">
        <v>0</v>
      </c>
      <c r="L269" s="457">
        <v>0</v>
      </c>
      <c r="M269" s="457">
        <v>100655530</v>
      </c>
      <c r="N269" s="457">
        <v>-545795</v>
      </c>
      <c r="O269" s="457">
        <v>0</v>
      </c>
      <c r="P269" s="457">
        <v>0</v>
      </c>
      <c r="Q269" s="457">
        <v>-545795</v>
      </c>
      <c r="R269" s="457">
        <v>220871</v>
      </c>
      <c r="S269" s="457">
        <v>0</v>
      </c>
      <c r="T269" s="457">
        <v>0</v>
      </c>
      <c r="U269" s="457">
        <v>220871</v>
      </c>
      <c r="V269" s="457">
        <v>-766666</v>
      </c>
      <c r="W269" s="457">
        <v>0</v>
      </c>
      <c r="X269" s="457">
        <v>0</v>
      </c>
      <c r="Y269" s="457">
        <v>-766666</v>
      </c>
      <c r="Z269" s="457">
        <v>366370</v>
      </c>
      <c r="AA269" s="457">
        <v>366370</v>
      </c>
      <c r="AB269" s="457">
        <v>0</v>
      </c>
      <c r="AC269" s="457">
        <v>0</v>
      </c>
      <c r="AD269" s="457">
        <v>0</v>
      </c>
      <c r="AE269" s="457">
        <v>0</v>
      </c>
      <c r="AF269" s="457">
        <v>0</v>
      </c>
      <c r="AG269" s="457">
        <v>0</v>
      </c>
      <c r="AH269" s="457">
        <v>0</v>
      </c>
      <c r="AI269" s="457">
        <v>0</v>
      </c>
      <c r="AJ269" s="457">
        <v>0</v>
      </c>
      <c r="AK269" s="457">
        <v>0</v>
      </c>
      <c r="AL269" s="457">
        <v>0</v>
      </c>
      <c r="AM269" s="457">
        <v>0</v>
      </c>
      <c r="AN269" s="457">
        <v>0</v>
      </c>
      <c r="AO269" s="457">
        <v>0</v>
      </c>
      <c r="AP269" s="457">
        <v>0</v>
      </c>
      <c r="AQ269" s="457">
        <v>0</v>
      </c>
      <c r="AR269" s="457">
        <v>0</v>
      </c>
      <c r="AS269" s="457">
        <v>0</v>
      </c>
      <c r="AT269" s="457">
        <v>0</v>
      </c>
      <c r="AU269" s="457">
        <v>0</v>
      </c>
      <c r="AV269" s="457">
        <v>0</v>
      </c>
      <c r="AW269" s="457">
        <v>0</v>
      </c>
      <c r="AX269" s="457">
        <v>0</v>
      </c>
      <c r="AY269" s="457">
        <v>0</v>
      </c>
      <c r="AZ269" s="457">
        <v>0</v>
      </c>
      <c r="BA269" s="457">
        <v>1381318</v>
      </c>
      <c r="BB269" s="457">
        <v>1198652</v>
      </c>
      <c r="BC269" s="457">
        <v>182666</v>
      </c>
      <c r="BD269" s="457">
        <v>0</v>
      </c>
      <c r="BE269" s="457">
        <v>0</v>
      </c>
      <c r="BF269" s="457">
        <v>0</v>
      </c>
      <c r="BG269" s="457">
        <v>28190</v>
      </c>
      <c r="BH269" s="457">
        <v>24462</v>
      </c>
      <c r="BI269" s="457">
        <v>3728</v>
      </c>
    </row>
    <row r="270" spans="1:62" ht="12.75" x14ac:dyDescent="0.2">
      <c r="A270" s="446">
        <v>263</v>
      </c>
      <c r="B270" s="447" t="s">
        <v>409</v>
      </c>
      <c r="C270" s="448" t="s">
        <v>1093</v>
      </c>
      <c r="D270" s="449" t="s">
        <v>1103</v>
      </c>
      <c r="E270" s="450" t="s">
        <v>408</v>
      </c>
      <c r="F270" s="457">
        <v>210912</v>
      </c>
      <c r="G270" s="457">
        <v>0</v>
      </c>
      <c r="H270" s="457">
        <v>0</v>
      </c>
      <c r="I270" s="457">
        <v>210912</v>
      </c>
      <c r="J270" s="457">
        <v>57272</v>
      </c>
      <c r="K270" s="457">
        <v>0</v>
      </c>
      <c r="L270" s="457">
        <v>0</v>
      </c>
      <c r="M270" s="457">
        <v>57272</v>
      </c>
      <c r="N270" s="457">
        <v>153640</v>
      </c>
      <c r="O270" s="457">
        <v>0</v>
      </c>
      <c r="P270" s="457">
        <v>0</v>
      </c>
      <c r="Q270" s="457">
        <v>153640</v>
      </c>
      <c r="R270" s="457">
        <v>90200</v>
      </c>
      <c r="S270" s="457">
        <v>0</v>
      </c>
      <c r="T270" s="457">
        <v>0</v>
      </c>
      <c r="U270" s="457">
        <v>90200</v>
      </c>
      <c r="V270" s="457">
        <v>63440</v>
      </c>
      <c r="W270" s="457">
        <v>0</v>
      </c>
      <c r="X270" s="457">
        <v>0</v>
      </c>
      <c r="Y270" s="457">
        <v>63440</v>
      </c>
      <c r="Z270" s="457">
        <v>217406</v>
      </c>
      <c r="AA270" s="457">
        <v>217406</v>
      </c>
      <c r="AB270" s="457">
        <v>0</v>
      </c>
      <c r="AC270" s="457">
        <v>0</v>
      </c>
      <c r="AD270" s="457">
        <v>0</v>
      </c>
      <c r="AE270" s="457">
        <v>0</v>
      </c>
      <c r="AF270" s="457">
        <v>0</v>
      </c>
      <c r="AG270" s="457">
        <v>0</v>
      </c>
      <c r="AH270" s="457">
        <v>0</v>
      </c>
      <c r="AI270" s="457">
        <v>0</v>
      </c>
      <c r="AJ270" s="457">
        <v>0</v>
      </c>
      <c r="AK270" s="457">
        <v>0</v>
      </c>
      <c r="AL270" s="457">
        <v>0</v>
      </c>
      <c r="AM270" s="457">
        <v>0</v>
      </c>
      <c r="AN270" s="457">
        <v>0</v>
      </c>
      <c r="AO270" s="457">
        <v>0</v>
      </c>
      <c r="AP270" s="457">
        <v>0</v>
      </c>
      <c r="AQ270" s="457">
        <v>0</v>
      </c>
      <c r="AR270" s="457">
        <v>0</v>
      </c>
      <c r="AS270" s="457">
        <v>0</v>
      </c>
      <c r="AT270" s="457">
        <v>0</v>
      </c>
      <c r="AU270" s="457">
        <v>0</v>
      </c>
      <c r="AV270" s="457">
        <v>0</v>
      </c>
      <c r="AW270" s="457">
        <v>0</v>
      </c>
      <c r="AX270" s="457">
        <v>0</v>
      </c>
      <c r="AY270" s="457">
        <v>0</v>
      </c>
      <c r="AZ270" s="457">
        <v>0</v>
      </c>
      <c r="BA270" s="457">
        <v>628198</v>
      </c>
      <c r="BB270" s="457">
        <v>595184</v>
      </c>
      <c r="BC270" s="457">
        <v>33014</v>
      </c>
      <c r="BD270" s="457">
        <v>157050</v>
      </c>
      <c r="BE270" s="457">
        <v>148796</v>
      </c>
      <c r="BF270" s="457">
        <v>8254</v>
      </c>
      <c r="BG270" s="457">
        <v>0</v>
      </c>
      <c r="BH270" s="457">
        <v>0</v>
      </c>
      <c r="BI270" s="457">
        <v>0</v>
      </c>
    </row>
    <row r="271" spans="1:62" ht="12.75" x14ac:dyDescent="0.2">
      <c r="A271" s="446">
        <v>264</v>
      </c>
      <c r="B271" s="447" t="s">
        <v>411</v>
      </c>
      <c r="C271" s="448" t="s">
        <v>1093</v>
      </c>
      <c r="D271" s="449" t="s">
        <v>1102</v>
      </c>
      <c r="E271" s="450" t="s">
        <v>410</v>
      </c>
      <c r="F271" s="457">
        <v>24153339</v>
      </c>
      <c r="G271" s="457">
        <v>0</v>
      </c>
      <c r="H271" s="457">
        <v>0</v>
      </c>
      <c r="I271" s="457">
        <v>24153339</v>
      </c>
      <c r="J271" s="457">
        <v>24334528</v>
      </c>
      <c r="K271" s="457">
        <v>0</v>
      </c>
      <c r="L271" s="457">
        <v>0</v>
      </c>
      <c r="M271" s="457">
        <v>24334528</v>
      </c>
      <c r="N271" s="457">
        <v>-181189</v>
      </c>
      <c r="O271" s="457">
        <v>0</v>
      </c>
      <c r="P271" s="457">
        <v>0</v>
      </c>
      <c r="Q271" s="457">
        <v>-181189</v>
      </c>
      <c r="R271" s="457">
        <v>-90497</v>
      </c>
      <c r="S271" s="457">
        <v>0</v>
      </c>
      <c r="T271" s="457">
        <v>0</v>
      </c>
      <c r="U271" s="457">
        <v>-90497</v>
      </c>
      <c r="V271" s="457">
        <v>-90692</v>
      </c>
      <c r="W271" s="457">
        <v>0</v>
      </c>
      <c r="X271" s="457">
        <v>0</v>
      </c>
      <c r="Y271" s="457">
        <v>-90692</v>
      </c>
      <c r="Z271" s="457">
        <v>157553</v>
      </c>
      <c r="AA271" s="457">
        <v>157553</v>
      </c>
      <c r="AB271" s="457">
        <v>0</v>
      </c>
      <c r="AC271" s="457">
        <v>0</v>
      </c>
      <c r="AD271" s="457">
        <v>0</v>
      </c>
      <c r="AE271" s="457">
        <v>0</v>
      </c>
      <c r="AF271" s="457">
        <v>0</v>
      </c>
      <c r="AG271" s="457">
        <v>0</v>
      </c>
      <c r="AH271" s="457">
        <v>0</v>
      </c>
      <c r="AI271" s="457">
        <v>550</v>
      </c>
      <c r="AJ271" s="457">
        <v>0</v>
      </c>
      <c r="AK271" s="457">
        <v>550</v>
      </c>
      <c r="AL271" s="457">
        <v>0</v>
      </c>
      <c r="AM271" s="457">
        <v>0</v>
      </c>
      <c r="AN271" s="457">
        <v>0</v>
      </c>
      <c r="AO271" s="457">
        <v>0</v>
      </c>
      <c r="AP271" s="457">
        <v>0</v>
      </c>
      <c r="AQ271" s="457">
        <v>0</v>
      </c>
      <c r="AR271" s="457">
        <v>0</v>
      </c>
      <c r="AS271" s="457">
        <v>0</v>
      </c>
      <c r="AT271" s="457">
        <v>0</v>
      </c>
      <c r="AU271" s="457">
        <v>0</v>
      </c>
      <c r="AV271" s="457">
        <v>0</v>
      </c>
      <c r="AW271" s="457">
        <v>0</v>
      </c>
      <c r="AX271" s="457">
        <v>0</v>
      </c>
      <c r="AY271" s="457">
        <v>0</v>
      </c>
      <c r="AZ271" s="457">
        <v>0</v>
      </c>
      <c r="BA271" s="457">
        <v>492912</v>
      </c>
      <c r="BB271" s="457">
        <v>419551</v>
      </c>
      <c r="BC271" s="457">
        <v>73361</v>
      </c>
      <c r="BD271" s="457">
        <v>123228</v>
      </c>
      <c r="BE271" s="457">
        <v>104888</v>
      </c>
      <c r="BF271" s="457">
        <v>18340</v>
      </c>
      <c r="BG271" s="457">
        <v>0</v>
      </c>
      <c r="BH271" s="457">
        <v>0</v>
      </c>
      <c r="BI271" s="457">
        <v>0</v>
      </c>
    </row>
    <row r="272" spans="1:62" ht="12.75" x14ac:dyDescent="0.2">
      <c r="A272" s="446">
        <v>265</v>
      </c>
      <c r="B272" s="447" t="s">
        <v>413</v>
      </c>
      <c r="C272" s="448" t="s">
        <v>1093</v>
      </c>
      <c r="D272" s="449" t="s">
        <v>1097</v>
      </c>
      <c r="E272" s="450" t="s">
        <v>412</v>
      </c>
      <c r="F272" s="457">
        <v>67457972.429999992</v>
      </c>
      <c r="G272" s="457">
        <v>0</v>
      </c>
      <c r="H272" s="457">
        <v>0</v>
      </c>
      <c r="I272" s="457">
        <v>67457972.429999992</v>
      </c>
      <c r="J272" s="457">
        <v>48756085.700000003</v>
      </c>
      <c r="K272" s="457">
        <v>0</v>
      </c>
      <c r="L272" s="457">
        <v>0</v>
      </c>
      <c r="M272" s="457">
        <v>48756085.700000003</v>
      </c>
      <c r="N272" s="457">
        <v>18701886.639999993</v>
      </c>
      <c r="O272" s="457">
        <v>0</v>
      </c>
      <c r="P272" s="457">
        <v>0</v>
      </c>
      <c r="Q272" s="457">
        <v>18701886.639999993</v>
      </c>
      <c r="R272" s="457">
        <v>18745176</v>
      </c>
      <c r="S272" s="457">
        <v>0</v>
      </c>
      <c r="T272" s="457">
        <v>0</v>
      </c>
      <c r="U272" s="457">
        <v>18745176</v>
      </c>
      <c r="V272" s="457">
        <v>-43289</v>
      </c>
      <c r="W272" s="457">
        <v>0</v>
      </c>
      <c r="X272" s="457">
        <v>0</v>
      </c>
      <c r="Y272" s="457">
        <v>-43289</v>
      </c>
      <c r="Z272" s="457">
        <v>277838</v>
      </c>
      <c r="AA272" s="457">
        <v>277838</v>
      </c>
      <c r="AB272" s="457">
        <v>0</v>
      </c>
      <c r="AC272" s="457">
        <v>0</v>
      </c>
      <c r="AD272" s="457">
        <v>0</v>
      </c>
      <c r="AE272" s="457">
        <v>0</v>
      </c>
      <c r="AF272" s="457">
        <v>0</v>
      </c>
      <c r="AG272" s="457">
        <v>0</v>
      </c>
      <c r="AH272" s="457">
        <v>0</v>
      </c>
      <c r="AI272" s="457">
        <v>0</v>
      </c>
      <c r="AJ272" s="457">
        <v>0</v>
      </c>
      <c r="AK272" s="457">
        <v>0</v>
      </c>
      <c r="AL272" s="457">
        <v>0</v>
      </c>
      <c r="AM272" s="457">
        <v>0</v>
      </c>
      <c r="AN272" s="457">
        <v>0</v>
      </c>
      <c r="AO272" s="457">
        <v>0</v>
      </c>
      <c r="AP272" s="457">
        <v>0</v>
      </c>
      <c r="AQ272" s="457">
        <v>0</v>
      </c>
      <c r="AR272" s="457">
        <v>0</v>
      </c>
      <c r="AS272" s="457">
        <v>0</v>
      </c>
      <c r="AT272" s="457">
        <v>0</v>
      </c>
      <c r="AU272" s="457">
        <v>0</v>
      </c>
      <c r="AV272" s="457">
        <v>0</v>
      </c>
      <c r="AW272" s="457">
        <v>0</v>
      </c>
      <c r="AX272" s="457">
        <v>0</v>
      </c>
      <c r="AY272" s="457">
        <v>0</v>
      </c>
      <c r="AZ272" s="457">
        <v>0</v>
      </c>
      <c r="BA272" s="457">
        <v>672652</v>
      </c>
      <c r="BB272" s="457">
        <v>577121</v>
      </c>
      <c r="BC272" s="457">
        <v>95531</v>
      </c>
      <c r="BD272" s="457">
        <v>168163</v>
      </c>
      <c r="BE272" s="457">
        <v>144280</v>
      </c>
      <c r="BF272" s="457">
        <v>23883</v>
      </c>
      <c r="BG272" s="457">
        <v>0</v>
      </c>
      <c r="BH272" s="457">
        <v>0</v>
      </c>
      <c r="BI272" s="457">
        <v>0</v>
      </c>
      <c r="BJ272" s="324" t="s">
        <v>1120</v>
      </c>
    </row>
    <row r="273" spans="1:61" ht="12.75" x14ac:dyDescent="0.2">
      <c r="A273" s="446">
        <v>266</v>
      </c>
      <c r="B273" s="447" t="s">
        <v>415</v>
      </c>
      <c r="C273" s="448" t="s">
        <v>1100</v>
      </c>
      <c r="D273" s="449" t="s">
        <v>1105</v>
      </c>
      <c r="E273" s="450" t="s">
        <v>414</v>
      </c>
      <c r="F273" s="457">
        <v>133594</v>
      </c>
      <c r="G273" s="457">
        <v>0</v>
      </c>
      <c r="H273" s="457">
        <v>0</v>
      </c>
      <c r="I273" s="457">
        <v>133594</v>
      </c>
      <c r="J273" s="457">
        <v>178587</v>
      </c>
      <c r="K273" s="457">
        <v>0</v>
      </c>
      <c r="L273" s="457">
        <v>0</v>
      </c>
      <c r="M273" s="457">
        <v>178587</v>
      </c>
      <c r="N273" s="457">
        <v>-44993</v>
      </c>
      <c r="O273" s="457">
        <v>0</v>
      </c>
      <c r="P273" s="457">
        <v>0</v>
      </c>
      <c r="Q273" s="457">
        <v>-44993</v>
      </c>
      <c r="R273" s="457">
        <v>208503</v>
      </c>
      <c r="S273" s="457">
        <v>0</v>
      </c>
      <c r="T273" s="457">
        <v>0</v>
      </c>
      <c r="U273" s="457">
        <v>208503</v>
      </c>
      <c r="V273" s="457">
        <v>-253496</v>
      </c>
      <c r="W273" s="457">
        <v>0</v>
      </c>
      <c r="X273" s="457">
        <v>0</v>
      </c>
      <c r="Y273" s="457">
        <v>-253496</v>
      </c>
      <c r="Z273" s="457">
        <v>333443</v>
      </c>
      <c r="AA273" s="457">
        <v>333443</v>
      </c>
      <c r="AB273" s="457">
        <v>0</v>
      </c>
      <c r="AC273" s="457">
        <v>570350</v>
      </c>
      <c r="AD273" s="457">
        <v>380008</v>
      </c>
      <c r="AE273" s="457">
        <v>190342</v>
      </c>
      <c r="AF273" s="457">
        <v>0</v>
      </c>
      <c r="AG273" s="457">
        <v>0</v>
      </c>
      <c r="AH273" s="457">
        <v>0</v>
      </c>
      <c r="AI273" s="457">
        <v>0</v>
      </c>
      <c r="AJ273" s="457">
        <v>0</v>
      </c>
      <c r="AK273" s="457">
        <v>0</v>
      </c>
      <c r="AL273" s="457">
        <v>0</v>
      </c>
      <c r="AM273" s="457">
        <v>0</v>
      </c>
      <c r="AN273" s="457">
        <v>0</v>
      </c>
      <c r="AO273" s="457">
        <v>28390</v>
      </c>
      <c r="AP273" s="457">
        <v>37680</v>
      </c>
      <c r="AQ273" s="457">
        <v>-9290</v>
      </c>
      <c r="AR273" s="457">
        <v>28390</v>
      </c>
      <c r="AS273" s="457">
        <v>0</v>
      </c>
      <c r="AT273" s="457">
        <v>28390</v>
      </c>
      <c r="AU273" s="457">
        <v>0</v>
      </c>
      <c r="AV273" s="457">
        <v>0</v>
      </c>
      <c r="AW273" s="457">
        <v>0</v>
      </c>
      <c r="AX273" s="457">
        <v>0</v>
      </c>
      <c r="AY273" s="457">
        <v>0</v>
      </c>
      <c r="AZ273" s="457">
        <v>0</v>
      </c>
      <c r="BA273" s="457">
        <v>1021016</v>
      </c>
      <c r="BB273" s="457">
        <v>894043</v>
      </c>
      <c r="BC273" s="457">
        <v>126973</v>
      </c>
      <c r="BD273" s="457">
        <v>0</v>
      </c>
      <c r="BE273" s="457">
        <v>0</v>
      </c>
      <c r="BF273" s="457">
        <v>0</v>
      </c>
      <c r="BG273" s="457">
        <v>20837</v>
      </c>
      <c r="BH273" s="457">
        <v>18246</v>
      </c>
      <c r="BI273" s="457">
        <v>2591</v>
      </c>
    </row>
    <row r="274" spans="1:61" ht="12.75" x14ac:dyDescent="0.2">
      <c r="A274" s="446">
        <v>267</v>
      </c>
      <c r="B274" s="447" t="s">
        <v>417</v>
      </c>
      <c r="C274" s="448" t="s">
        <v>1093</v>
      </c>
      <c r="D274" s="449" t="s">
        <v>1094</v>
      </c>
      <c r="E274" s="450" t="s">
        <v>416</v>
      </c>
      <c r="F274" s="457">
        <v>35795961</v>
      </c>
      <c r="G274" s="457">
        <v>0</v>
      </c>
      <c r="H274" s="457">
        <v>0</v>
      </c>
      <c r="I274" s="457">
        <v>35795961</v>
      </c>
      <c r="J274" s="457">
        <v>36981024</v>
      </c>
      <c r="K274" s="457">
        <v>0</v>
      </c>
      <c r="L274" s="457">
        <v>0</v>
      </c>
      <c r="M274" s="457">
        <v>36981024</v>
      </c>
      <c r="N274" s="457">
        <v>-1185063</v>
      </c>
      <c r="O274" s="457">
        <v>0</v>
      </c>
      <c r="P274" s="457">
        <v>0</v>
      </c>
      <c r="Q274" s="457">
        <v>-1185063</v>
      </c>
      <c r="R274" s="457">
        <v>-1009004</v>
      </c>
      <c r="S274" s="457">
        <v>0</v>
      </c>
      <c r="T274" s="457">
        <v>0</v>
      </c>
      <c r="U274" s="457">
        <v>-1009004</v>
      </c>
      <c r="V274" s="457">
        <v>-176059</v>
      </c>
      <c r="W274" s="457">
        <v>0</v>
      </c>
      <c r="X274" s="457">
        <v>0</v>
      </c>
      <c r="Y274" s="457">
        <v>-176059</v>
      </c>
      <c r="Z274" s="457">
        <v>122476</v>
      </c>
      <c r="AA274" s="457">
        <v>122476</v>
      </c>
      <c r="AB274" s="457">
        <v>0</v>
      </c>
      <c r="AC274" s="457">
        <v>0</v>
      </c>
      <c r="AD274" s="457">
        <v>0</v>
      </c>
      <c r="AE274" s="457">
        <v>0</v>
      </c>
      <c r="AF274" s="457">
        <v>0</v>
      </c>
      <c r="AG274" s="457">
        <v>0</v>
      </c>
      <c r="AH274" s="457">
        <v>0</v>
      </c>
      <c r="AI274" s="457">
        <v>0</v>
      </c>
      <c r="AJ274" s="457">
        <v>0</v>
      </c>
      <c r="AK274" s="457">
        <v>0</v>
      </c>
      <c r="AL274" s="457">
        <v>0</v>
      </c>
      <c r="AM274" s="457">
        <v>0</v>
      </c>
      <c r="AN274" s="457">
        <v>0</v>
      </c>
      <c r="AO274" s="457">
        <v>0</v>
      </c>
      <c r="AP274" s="457">
        <v>0</v>
      </c>
      <c r="AQ274" s="457">
        <v>0</v>
      </c>
      <c r="AR274" s="457">
        <v>0</v>
      </c>
      <c r="AS274" s="457">
        <v>0</v>
      </c>
      <c r="AT274" s="457">
        <v>0</v>
      </c>
      <c r="AU274" s="457">
        <v>0</v>
      </c>
      <c r="AV274" s="457">
        <v>0</v>
      </c>
      <c r="AW274" s="457">
        <v>0</v>
      </c>
      <c r="AX274" s="457">
        <v>0</v>
      </c>
      <c r="AY274" s="457">
        <v>0</v>
      </c>
      <c r="AZ274" s="457">
        <v>0</v>
      </c>
      <c r="BA274" s="457">
        <v>233402</v>
      </c>
      <c r="BB274" s="457">
        <v>196956</v>
      </c>
      <c r="BC274" s="457">
        <v>36446</v>
      </c>
      <c r="BD274" s="457">
        <v>58350</v>
      </c>
      <c r="BE274" s="457">
        <v>49239</v>
      </c>
      <c r="BF274" s="457">
        <v>9111</v>
      </c>
      <c r="BG274" s="457">
        <v>0</v>
      </c>
      <c r="BH274" s="457">
        <v>0</v>
      </c>
      <c r="BI274" s="457">
        <v>0</v>
      </c>
    </row>
    <row r="275" spans="1:61" ht="12.75" x14ac:dyDescent="0.2">
      <c r="A275" s="446">
        <v>268</v>
      </c>
      <c r="B275" s="447" t="s">
        <v>419</v>
      </c>
      <c r="C275" s="448" t="s">
        <v>1098</v>
      </c>
      <c r="D275" s="449" t="s">
        <v>1099</v>
      </c>
      <c r="E275" s="450" t="s">
        <v>418</v>
      </c>
      <c r="F275" s="457">
        <v>58909691</v>
      </c>
      <c r="G275" s="457">
        <v>0</v>
      </c>
      <c r="H275" s="457">
        <v>0</v>
      </c>
      <c r="I275" s="457">
        <v>58909691</v>
      </c>
      <c r="J275" s="457">
        <v>60027675</v>
      </c>
      <c r="K275" s="457">
        <v>0</v>
      </c>
      <c r="L275" s="457">
        <v>0</v>
      </c>
      <c r="M275" s="457">
        <v>60027675</v>
      </c>
      <c r="N275" s="457">
        <v>-1117984</v>
      </c>
      <c r="O275" s="457">
        <v>0</v>
      </c>
      <c r="P275" s="457">
        <v>0</v>
      </c>
      <c r="Q275" s="457">
        <v>-1117984</v>
      </c>
      <c r="R275" s="457">
        <v>-85323</v>
      </c>
      <c r="S275" s="457">
        <v>0</v>
      </c>
      <c r="T275" s="457">
        <v>0</v>
      </c>
      <c r="U275" s="457">
        <v>-85323</v>
      </c>
      <c r="V275" s="457">
        <v>-1032661</v>
      </c>
      <c r="W275" s="457">
        <v>0</v>
      </c>
      <c r="X275" s="457">
        <v>0</v>
      </c>
      <c r="Y275" s="457">
        <v>-1032661</v>
      </c>
      <c r="Z275" s="457">
        <v>209603</v>
      </c>
      <c r="AA275" s="457">
        <v>209603</v>
      </c>
      <c r="AB275" s="457">
        <v>0</v>
      </c>
      <c r="AC275" s="457">
        <v>0</v>
      </c>
      <c r="AD275" s="457">
        <v>0</v>
      </c>
      <c r="AE275" s="457">
        <v>0</v>
      </c>
      <c r="AF275" s="457">
        <v>0</v>
      </c>
      <c r="AG275" s="457">
        <v>0</v>
      </c>
      <c r="AH275" s="457">
        <v>0</v>
      </c>
      <c r="AI275" s="457">
        <v>0</v>
      </c>
      <c r="AJ275" s="457">
        <v>0</v>
      </c>
      <c r="AK275" s="457">
        <v>0</v>
      </c>
      <c r="AL275" s="457">
        <v>0</v>
      </c>
      <c r="AM275" s="457">
        <v>0</v>
      </c>
      <c r="AN275" s="457">
        <v>0</v>
      </c>
      <c r="AO275" s="457">
        <v>0</v>
      </c>
      <c r="AP275" s="457">
        <v>0</v>
      </c>
      <c r="AQ275" s="457">
        <v>0</v>
      </c>
      <c r="AR275" s="457">
        <v>0</v>
      </c>
      <c r="AS275" s="457">
        <v>0</v>
      </c>
      <c r="AT275" s="457">
        <v>0</v>
      </c>
      <c r="AU275" s="457">
        <v>0</v>
      </c>
      <c r="AV275" s="457">
        <v>0</v>
      </c>
      <c r="AW275" s="457">
        <v>0</v>
      </c>
      <c r="AX275" s="457">
        <v>0</v>
      </c>
      <c r="AY275" s="457">
        <v>0</v>
      </c>
      <c r="AZ275" s="457">
        <v>0</v>
      </c>
      <c r="BA275" s="457">
        <v>398047</v>
      </c>
      <c r="BB275" s="457">
        <v>341318</v>
      </c>
      <c r="BC275" s="457">
        <v>56729</v>
      </c>
      <c r="BD275" s="457">
        <v>265364</v>
      </c>
      <c r="BE275" s="457">
        <v>227545</v>
      </c>
      <c r="BF275" s="457">
        <v>37819</v>
      </c>
      <c r="BG275" s="457">
        <v>0</v>
      </c>
      <c r="BH275" s="457">
        <v>0</v>
      </c>
      <c r="BI275" s="457">
        <v>0</v>
      </c>
    </row>
    <row r="276" spans="1:61" ht="12.75" x14ac:dyDescent="0.2">
      <c r="A276" s="446">
        <v>269</v>
      </c>
      <c r="B276" s="447" t="s">
        <v>421</v>
      </c>
      <c r="C276" s="448" t="s">
        <v>1093</v>
      </c>
      <c r="D276" s="449" t="s">
        <v>1094</v>
      </c>
      <c r="E276" s="450" t="s">
        <v>420</v>
      </c>
      <c r="F276" s="457">
        <v>-101969</v>
      </c>
      <c r="G276" s="457">
        <v>0</v>
      </c>
      <c r="H276" s="457">
        <v>0</v>
      </c>
      <c r="I276" s="457">
        <v>-101969</v>
      </c>
      <c r="J276" s="457">
        <v>43465</v>
      </c>
      <c r="K276" s="457">
        <v>0</v>
      </c>
      <c r="L276" s="457">
        <v>0</v>
      </c>
      <c r="M276" s="457">
        <v>43465</v>
      </c>
      <c r="N276" s="457">
        <v>-145434</v>
      </c>
      <c r="O276" s="457">
        <v>0</v>
      </c>
      <c r="P276" s="457">
        <v>0</v>
      </c>
      <c r="Q276" s="457">
        <v>-145434</v>
      </c>
      <c r="R276" s="457">
        <v>-76620</v>
      </c>
      <c r="S276" s="457">
        <v>0</v>
      </c>
      <c r="T276" s="457">
        <v>0</v>
      </c>
      <c r="U276" s="457">
        <v>-76620</v>
      </c>
      <c r="V276" s="457">
        <v>-68814</v>
      </c>
      <c r="W276" s="457">
        <v>0</v>
      </c>
      <c r="X276" s="457">
        <v>0</v>
      </c>
      <c r="Y276" s="457">
        <v>-68814</v>
      </c>
      <c r="Z276" s="457">
        <v>176909</v>
      </c>
      <c r="AA276" s="457">
        <v>176909</v>
      </c>
      <c r="AB276" s="457">
        <v>0</v>
      </c>
      <c r="AC276" s="457">
        <v>0</v>
      </c>
      <c r="AD276" s="457">
        <v>0</v>
      </c>
      <c r="AE276" s="457">
        <v>0</v>
      </c>
      <c r="AF276" s="457">
        <v>0</v>
      </c>
      <c r="AG276" s="457">
        <v>0</v>
      </c>
      <c r="AH276" s="457">
        <v>0</v>
      </c>
      <c r="AI276" s="457">
        <v>0</v>
      </c>
      <c r="AJ276" s="457">
        <v>0</v>
      </c>
      <c r="AK276" s="457">
        <v>0</v>
      </c>
      <c r="AL276" s="457">
        <v>0</v>
      </c>
      <c r="AM276" s="457">
        <v>0</v>
      </c>
      <c r="AN276" s="457">
        <v>0</v>
      </c>
      <c r="AO276" s="457">
        <v>0</v>
      </c>
      <c r="AP276" s="457">
        <v>0</v>
      </c>
      <c r="AQ276" s="457">
        <v>0</v>
      </c>
      <c r="AR276" s="457">
        <v>0</v>
      </c>
      <c r="AS276" s="457">
        <v>0</v>
      </c>
      <c r="AT276" s="457">
        <v>0</v>
      </c>
      <c r="AU276" s="457">
        <v>0</v>
      </c>
      <c r="AV276" s="457">
        <v>0</v>
      </c>
      <c r="AW276" s="457">
        <v>0</v>
      </c>
      <c r="AX276" s="457">
        <v>0</v>
      </c>
      <c r="AY276" s="457">
        <v>0</v>
      </c>
      <c r="AZ276" s="457">
        <v>0</v>
      </c>
      <c r="BA276" s="457">
        <v>589843</v>
      </c>
      <c r="BB276" s="457">
        <v>474923</v>
      </c>
      <c r="BC276" s="457">
        <v>114920</v>
      </c>
      <c r="BD276" s="457">
        <v>132715</v>
      </c>
      <c r="BE276" s="457">
        <v>106858</v>
      </c>
      <c r="BF276" s="457">
        <v>25857</v>
      </c>
      <c r="BG276" s="457">
        <v>14746</v>
      </c>
      <c r="BH276" s="457">
        <v>11873</v>
      </c>
      <c r="BI276" s="457">
        <v>2873</v>
      </c>
    </row>
    <row r="277" spans="1:61" ht="12.75" x14ac:dyDescent="0.2">
      <c r="A277" s="446">
        <v>270</v>
      </c>
      <c r="B277" s="447" t="s">
        <v>423</v>
      </c>
      <c r="C277" s="448" t="s">
        <v>794</v>
      </c>
      <c r="D277" s="449" t="s">
        <v>1102</v>
      </c>
      <c r="E277" s="450" t="s">
        <v>749</v>
      </c>
      <c r="F277" s="457">
        <v>115822407</v>
      </c>
      <c r="G277" s="457">
        <v>0</v>
      </c>
      <c r="H277" s="457">
        <v>0</v>
      </c>
      <c r="I277" s="457">
        <v>115822407</v>
      </c>
      <c r="J277" s="457">
        <v>118911150</v>
      </c>
      <c r="K277" s="457">
        <v>0</v>
      </c>
      <c r="L277" s="457">
        <v>0</v>
      </c>
      <c r="M277" s="457">
        <v>118911150</v>
      </c>
      <c r="N277" s="457">
        <v>-3088743.2</v>
      </c>
      <c r="O277" s="457">
        <v>0</v>
      </c>
      <c r="P277" s="457">
        <v>0</v>
      </c>
      <c r="Q277" s="457">
        <v>-3088743.2</v>
      </c>
      <c r="R277" s="457">
        <v>-316161</v>
      </c>
      <c r="S277" s="457">
        <v>0</v>
      </c>
      <c r="T277" s="457">
        <v>0</v>
      </c>
      <c r="U277" s="457">
        <v>-316161</v>
      </c>
      <c r="V277" s="457">
        <v>-2772582</v>
      </c>
      <c r="W277" s="457">
        <v>0</v>
      </c>
      <c r="X277" s="457">
        <v>0</v>
      </c>
      <c r="Y277" s="457">
        <v>-2772582</v>
      </c>
      <c r="Z277" s="457">
        <v>273630</v>
      </c>
      <c r="AA277" s="457">
        <v>273630</v>
      </c>
      <c r="AB277" s="457">
        <v>0</v>
      </c>
      <c r="AC277" s="457">
        <v>0</v>
      </c>
      <c r="AD277" s="457">
        <v>0</v>
      </c>
      <c r="AE277" s="457">
        <v>0</v>
      </c>
      <c r="AF277" s="457">
        <v>0</v>
      </c>
      <c r="AG277" s="457">
        <v>0</v>
      </c>
      <c r="AH277" s="457">
        <v>0</v>
      </c>
      <c r="AI277" s="457">
        <v>0</v>
      </c>
      <c r="AJ277" s="457">
        <v>0</v>
      </c>
      <c r="AK277" s="457">
        <v>0</v>
      </c>
      <c r="AL277" s="457">
        <v>0</v>
      </c>
      <c r="AM277" s="457">
        <v>0</v>
      </c>
      <c r="AN277" s="457">
        <v>0</v>
      </c>
      <c r="AO277" s="457">
        <v>0</v>
      </c>
      <c r="AP277" s="457">
        <v>0</v>
      </c>
      <c r="AQ277" s="457">
        <v>0</v>
      </c>
      <c r="AR277" s="457">
        <v>0</v>
      </c>
      <c r="AS277" s="457">
        <v>0</v>
      </c>
      <c r="AT277" s="457">
        <v>0</v>
      </c>
      <c r="AU277" s="457">
        <v>0</v>
      </c>
      <c r="AV277" s="457">
        <v>0</v>
      </c>
      <c r="AW277" s="457">
        <v>0</v>
      </c>
      <c r="AX277" s="457">
        <v>0</v>
      </c>
      <c r="AY277" s="457">
        <v>0</v>
      </c>
      <c r="AZ277" s="457">
        <v>0</v>
      </c>
      <c r="BA277" s="457">
        <v>592674</v>
      </c>
      <c r="BB277" s="457">
        <v>487116</v>
      </c>
      <c r="BC277" s="457">
        <v>105558</v>
      </c>
      <c r="BD277" s="457">
        <v>0</v>
      </c>
      <c r="BE277" s="457">
        <v>0</v>
      </c>
      <c r="BF277" s="457">
        <v>0</v>
      </c>
      <c r="BG277" s="457">
        <v>12095</v>
      </c>
      <c r="BH277" s="457">
        <v>9941</v>
      </c>
      <c r="BI277" s="457">
        <v>2154</v>
      </c>
    </row>
    <row r="278" spans="1:61" ht="12.75" x14ac:dyDescent="0.2">
      <c r="A278" s="446">
        <v>271</v>
      </c>
      <c r="B278" s="447" t="s">
        <v>425</v>
      </c>
      <c r="C278" s="448" t="s">
        <v>1100</v>
      </c>
      <c r="D278" s="449" t="s">
        <v>1095</v>
      </c>
      <c r="E278" s="450" t="s">
        <v>424</v>
      </c>
      <c r="F278" s="457">
        <v>57272140</v>
      </c>
      <c r="G278" s="457">
        <v>0</v>
      </c>
      <c r="H278" s="457">
        <v>0</v>
      </c>
      <c r="I278" s="457">
        <v>57272140</v>
      </c>
      <c r="J278" s="457">
        <v>57838508.899999999</v>
      </c>
      <c r="K278" s="457">
        <v>0</v>
      </c>
      <c r="L278" s="457">
        <v>0</v>
      </c>
      <c r="M278" s="457">
        <v>57838508.899999999</v>
      </c>
      <c r="N278" s="457">
        <v>-566368.85</v>
      </c>
      <c r="O278" s="457">
        <v>0</v>
      </c>
      <c r="P278" s="457">
        <v>0</v>
      </c>
      <c r="Q278" s="457">
        <v>-566368.85</v>
      </c>
      <c r="R278" s="457">
        <v>192371</v>
      </c>
      <c r="S278" s="457">
        <v>0</v>
      </c>
      <c r="T278" s="457">
        <v>0</v>
      </c>
      <c r="U278" s="457">
        <v>192371</v>
      </c>
      <c r="V278" s="457">
        <v>-758740</v>
      </c>
      <c r="W278" s="457">
        <v>0</v>
      </c>
      <c r="X278" s="457">
        <v>0</v>
      </c>
      <c r="Y278" s="457">
        <v>-758740</v>
      </c>
      <c r="Z278" s="457">
        <v>300092</v>
      </c>
      <c r="AA278" s="457">
        <v>300092</v>
      </c>
      <c r="AB278" s="457">
        <v>0</v>
      </c>
      <c r="AC278" s="457">
        <v>0</v>
      </c>
      <c r="AD278" s="457">
        <v>0</v>
      </c>
      <c r="AE278" s="457">
        <v>0</v>
      </c>
      <c r="AF278" s="457">
        <v>0</v>
      </c>
      <c r="AG278" s="457">
        <v>0</v>
      </c>
      <c r="AH278" s="457">
        <v>0</v>
      </c>
      <c r="AI278" s="457">
        <v>0</v>
      </c>
      <c r="AJ278" s="457">
        <v>0</v>
      </c>
      <c r="AK278" s="457">
        <v>0</v>
      </c>
      <c r="AL278" s="457">
        <v>0</v>
      </c>
      <c r="AM278" s="457">
        <v>0</v>
      </c>
      <c r="AN278" s="457">
        <v>0</v>
      </c>
      <c r="AO278" s="457">
        <v>0</v>
      </c>
      <c r="AP278" s="457">
        <v>0</v>
      </c>
      <c r="AQ278" s="457">
        <v>0</v>
      </c>
      <c r="AR278" s="457">
        <v>0</v>
      </c>
      <c r="AS278" s="457">
        <v>0</v>
      </c>
      <c r="AT278" s="457">
        <v>0</v>
      </c>
      <c r="AU278" s="457">
        <v>0</v>
      </c>
      <c r="AV278" s="457">
        <v>0</v>
      </c>
      <c r="AW278" s="457">
        <v>0</v>
      </c>
      <c r="AX278" s="457">
        <v>0</v>
      </c>
      <c r="AY278" s="457">
        <v>0</v>
      </c>
      <c r="AZ278" s="457">
        <v>0</v>
      </c>
      <c r="BA278" s="457">
        <v>1332067</v>
      </c>
      <c r="BB278" s="457">
        <v>1135467</v>
      </c>
      <c r="BC278" s="457">
        <v>196600</v>
      </c>
      <c r="BD278" s="457">
        <v>0</v>
      </c>
      <c r="BE278" s="457">
        <v>0</v>
      </c>
      <c r="BF278" s="457">
        <v>0</v>
      </c>
      <c r="BG278" s="457">
        <v>27185</v>
      </c>
      <c r="BH278" s="457">
        <v>23173</v>
      </c>
      <c r="BI278" s="457">
        <v>4012</v>
      </c>
    </row>
    <row r="279" spans="1:61" ht="12.75" x14ac:dyDescent="0.2">
      <c r="A279" s="446">
        <v>272</v>
      </c>
      <c r="B279" s="447" t="s">
        <v>427</v>
      </c>
      <c r="C279" s="448" t="s">
        <v>1093</v>
      </c>
      <c r="D279" s="449" t="s">
        <v>1103</v>
      </c>
      <c r="E279" s="450" t="s">
        <v>426</v>
      </c>
      <c r="F279" s="457">
        <v>32940698</v>
      </c>
      <c r="G279" s="457">
        <v>0</v>
      </c>
      <c r="H279" s="457">
        <v>0</v>
      </c>
      <c r="I279" s="457">
        <v>32940698</v>
      </c>
      <c r="J279" s="457">
        <v>33038943</v>
      </c>
      <c r="K279" s="457">
        <v>0</v>
      </c>
      <c r="L279" s="457">
        <v>0</v>
      </c>
      <c r="M279" s="457">
        <v>33038943</v>
      </c>
      <c r="N279" s="457">
        <v>-98245</v>
      </c>
      <c r="O279" s="457">
        <v>0</v>
      </c>
      <c r="P279" s="457">
        <v>0</v>
      </c>
      <c r="Q279" s="457">
        <v>-98245</v>
      </c>
      <c r="R279" s="457">
        <v>22994</v>
      </c>
      <c r="S279" s="457">
        <v>0</v>
      </c>
      <c r="T279" s="457">
        <v>0</v>
      </c>
      <c r="U279" s="457">
        <v>22994</v>
      </c>
      <c r="V279" s="457">
        <v>-121239</v>
      </c>
      <c r="W279" s="457">
        <v>0</v>
      </c>
      <c r="X279" s="457">
        <v>0</v>
      </c>
      <c r="Y279" s="457">
        <v>-121239</v>
      </c>
      <c r="Z279" s="457">
        <v>92458</v>
      </c>
      <c r="AA279" s="457">
        <v>92458</v>
      </c>
      <c r="AB279" s="457">
        <v>0</v>
      </c>
      <c r="AC279" s="457">
        <v>0</v>
      </c>
      <c r="AD279" s="457">
        <v>0</v>
      </c>
      <c r="AE279" s="457">
        <v>0</v>
      </c>
      <c r="AF279" s="457">
        <v>0</v>
      </c>
      <c r="AG279" s="457">
        <v>0</v>
      </c>
      <c r="AH279" s="457">
        <v>0</v>
      </c>
      <c r="AI279" s="457">
        <v>0</v>
      </c>
      <c r="AJ279" s="457">
        <v>0</v>
      </c>
      <c r="AK279" s="457">
        <v>0</v>
      </c>
      <c r="AL279" s="457">
        <v>0</v>
      </c>
      <c r="AM279" s="457">
        <v>0</v>
      </c>
      <c r="AN279" s="457">
        <v>0</v>
      </c>
      <c r="AO279" s="457">
        <v>0</v>
      </c>
      <c r="AP279" s="457">
        <v>0</v>
      </c>
      <c r="AQ279" s="457">
        <v>0</v>
      </c>
      <c r="AR279" s="457">
        <v>0</v>
      </c>
      <c r="AS279" s="457">
        <v>0</v>
      </c>
      <c r="AT279" s="457">
        <v>0</v>
      </c>
      <c r="AU279" s="457">
        <v>0</v>
      </c>
      <c r="AV279" s="457">
        <v>0</v>
      </c>
      <c r="AW279" s="457">
        <v>0</v>
      </c>
      <c r="AX279" s="457">
        <v>0</v>
      </c>
      <c r="AY279" s="457">
        <v>0</v>
      </c>
      <c r="AZ279" s="457">
        <v>0</v>
      </c>
      <c r="BA279" s="457">
        <v>217037</v>
      </c>
      <c r="BB279" s="457">
        <v>176609</v>
      </c>
      <c r="BC279" s="457">
        <v>40428</v>
      </c>
      <c r="BD279" s="457">
        <v>48833</v>
      </c>
      <c r="BE279" s="457">
        <v>39737</v>
      </c>
      <c r="BF279" s="457">
        <v>9096</v>
      </c>
      <c r="BG279" s="457">
        <v>5426</v>
      </c>
      <c r="BH279" s="457">
        <v>4415</v>
      </c>
      <c r="BI279" s="457">
        <v>1011</v>
      </c>
    </row>
    <row r="280" spans="1:61" ht="12.75" x14ac:dyDescent="0.2">
      <c r="A280" s="446">
        <v>273</v>
      </c>
      <c r="B280" s="447" t="s">
        <v>429</v>
      </c>
      <c r="C280" s="448" t="s">
        <v>1093</v>
      </c>
      <c r="D280" s="449" t="s">
        <v>1094</v>
      </c>
      <c r="E280" s="450" t="s">
        <v>428</v>
      </c>
      <c r="F280" s="457">
        <v>19214494</v>
      </c>
      <c r="G280" s="457">
        <v>0</v>
      </c>
      <c r="H280" s="457">
        <v>0</v>
      </c>
      <c r="I280" s="457">
        <v>19214494</v>
      </c>
      <c r="J280" s="457">
        <v>19162184</v>
      </c>
      <c r="K280" s="457">
        <v>0</v>
      </c>
      <c r="L280" s="457">
        <v>0</v>
      </c>
      <c r="M280" s="457">
        <v>19162184</v>
      </c>
      <c r="N280" s="457">
        <v>52310</v>
      </c>
      <c r="O280" s="457">
        <v>0</v>
      </c>
      <c r="P280" s="457">
        <v>0</v>
      </c>
      <c r="Q280" s="457">
        <v>52310</v>
      </c>
      <c r="R280" s="457">
        <v>127239</v>
      </c>
      <c r="S280" s="457">
        <v>0</v>
      </c>
      <c r="T280" s="457">
        <v>0</v>
      </c>
      <c r="U280" s="457">
        <v>127239</v>
      </c>
      <c r="V280" s="457">
        <v>-74929</v>
      </c>
      <c r="W280" s="457">
        <v>0</v>
      </c>
      <c r="X280" s="457">
        <v>0</v>
      </c>
      <c r="Y280" s="457">
        <v>-74929</v>
      </c>
      <c r="Z280" s="457">
        <v>129595</v>
      </c>
      <c r="AA280" s="457">
        <v>129595</v>
      </c>
      <c r="AB280" s="457">
        <v>0</v>
      </c>
      <c r="AC280" s="457">
        <v>0</v>
      </c>
      <c r="AD280" s="457">
        <v>0</v>
      </c>
      <c r="AE280" s="457">
        <v>0</v>
      </c>
      <c r="AF280" s="457">
        <v>0</v>
      </c>
      <c r="AG280" s="457">
        <v>0</v>
      </c>
      <c r="AH280" s="457">
        <v>0</v>
      </c>
      <c r="AI280" s="457">
        <v>0</v>
      </c>
      <c r="AJ280" s="457">
        <v>0</v>
      </c>
      <c r="AK280" s="457">
        <v>0</v>
      </c>
      <c r="AL280" s="457">
        <v>0</v>
      </c>
      <c r="AM280" s="457">
        <v>0</v>
      </c>
      <c r="AN280" s="457">
        <v>0</v>
      </c>
      <c r="AO280" s="457">
        <v>0</v>
      </c>
      <c r="AP280" s="457">
        <v>0</v>
      </c>
      <c r="AQ280" s="457">
        <v>0</v>
      </c>
      <c r="AR280" s="457">
        <v>0</v>
      </c>
      <c r="AS280" s="457">
        <v>0</v>
      </c>
      <c r="AT280" s="457">
        <v>0</v>
      </c>
      <c r="AU280" s="457">
        <v>0</v>
      </c>
      <c r="AV280" s="457">
        <v>0</v>
      </c>
      <c r="AW280" s="457">
        <v>0</v>
      </c>
      <c r="AX280" s="457">
        <v>0</v>
      </c>
      <c r="AY280" s="457">
        <v>0</v>
      </c>
      <c r="AZ280" s="457">
        <v>0</v>
      </c>
      <c r="BA280" s="457">
        <v>385292</v>
      </c>
      <c r="BB280" s="457">
        <v>326330</v>
      </c>
      <c r="BC280" s="457">
        <v>58962</v>
      </c>
      <c r="BD280" s="457">
        <v>96323</v>
      </c>
      <c r="BE280" s="457">
        <v>81582</v>
      </c>
      <c r="BF280" s="457">
        <v>14741</v>
      </c>
      <c r="BG280" s="457">
        <v>0</v>
      </c>
      <c r="BH280" s="457">
        <v>0</v>
      </c>
      <c r="BI280" s="457">
        <v>0</v>
      </c>
    </row>
    <row r="281" spans="1:61" ht="12.75" x14ac:dyDescent="0.2">
      <c r="A281" s="446">
        <v>274</v>
      </c>
      <c r="B281" s="447" t="s">
        <v>431</v>
      </c>
      <c r="C281" s="448" t="s">
        <v>1093</v>
      </c>
      <c r="D281" s="449" t="s">
        <v>1102</v>
      </c>
      <c r="E281" s="450" t="s">
        <v>430</v>
      </c>
      <c r="F281" s="457">
        <v>47639006</v>
      </c>
      <c r="G281" s="457">
        <v>0</v>
      </c>
      <c r="H281" s="457">
        <v>0</v>
      </c>
      <c r="I281" s="457">
        <v>47639006</v>
      </c>
      <c r="J281" s="457">
        <v>47711199</v>
      </c>
      <c r="K281" s="457">
        <v>0</v>
      </c>
      <c r="L281" s="457">
        <v>0</v>
      </c>
      <c r="M281" s="457">
        <v>47711199</v>
      </c>
      <c r="N281" s="457">
        <v>-72193</v>
      </c>
      <c r="O281" s="457">
        <v>0</v>
      </c>
      <c r="P281" s="457">
        <v>0</v>
      </c>
      <c r="Q281" s="457">
        <v>-72193</v>
      </c>
      <c r="R281" s="457">
        <v>-71647</v>
      </c>
      <c r="S281" s="457">
        <v>0</v>
      </c>
      <c r="T281" s="457">
        <v>0</v>
      </c>
      <c r="U281" s="457">
        <v>-71647</v>
      </c>
      <c r="V281" s="457">
        <v>-546</v>
      </c>
      <c r="W281" s="457">
        <v>0</v>
      </c>
      <c r="X281" s="457">
        <v>0</v>
      </c>
      <c r="Y281" s="457">
        <v>-546</v>
      </c>
      <c r="Z281" s="457">
        <v>163257</v>
      </c>
      <c r="AA281" s="457">
        <v>163257</v>
      </c>
      <c r="AB281" s="457">
        <v>0</v>
      </c>
      <c r="AC281" s="457">
        <v>0</v>
      </c>
      <c r="AD281" s="457">
        <v>0</v>
      </c>
      <c r="AE281" s="457">
        <v>0</v>
      </c>
      <c r="AF281" s="457">
        <v>0</v>
      </c>
      <c r="AG281" s="457">
        <v>0</v>
      </c>
      <c r="AH281" s="457">
        <v>0</v>
      </c>
      <c r="AI281" s="457">
        <v>29894</v>
      </c>
      <c r="AJ281" s="457">
        <v>0</v>
      </c>
      <c r="AK281" s="457">
        <v>29894</v>
      </c>
      <c r="AL281" s="457">
        <v>0</v>
      </c>
      <c r="AM281" s="457">
        <v>0</v>
      </c>
      <c r="AN281" s="457">
        <v>0</v>
      </c>
      <c r="AO281" s="457">
        <v>0</v>
      </c>
      <c r="AP281" s="457">
        <v>0</v>
      </c>
      <c r="AQ281" s="457">
        <v>0</v>
      </c>
      <c r="AR281" s="457">
        <v>0</v>
      </c>
      <c r="AS281" s="457">
        <v>0</v>
      </c>
      <c r="AT281" s="457">
        <v>0</v>
      </c>
      <c r="AU281" s="457">
        <v>0</v>
      </c>
      <c r="AV281" s="457">
        <v>0</v>
      </c>
      <c r="AW281" s="457">
        <v>0</v>
      </c>
      <c r="AX281" s="457">
        <v>0</v>
      </c>
      <c r="AY281" s="457">
        <v>0</v>
      </c>
      <c r="AZ281" s="457">
        <v>0</v>
      </c>
      <c r="BA281" s="457">
        <v>450758</v>
      </c>
      <c r="BB281" s="457">
        <v>460480</v>
      </c>
      <c r="BC281" s="457">
        <v>-9722</v>
      </c>
      <c r="BD281" s="457">
        <v>101421</v>
      </c>
      <c r="BE281" s="457">
        <v>103608</v>
      </c>
      <c r="BF281" s="457">
        <v>-2187</v>
      </c>
      <c r="BG281" s="457">
        <v>11269</v>
      </c>
      <c r="BH281" s="457">
        <v>11512</v>
      </c>
      <c r="BI281" s="457">
        <v>-243</v>
      </c>
    </row>
    <row r="282" spans="1:61" ht="12.75" x14ac:dyDescent="0.2">
      <c r="A282" s="446">
        <v>275</v>
      </c>
      <c r="B282" s="447" t="s">
        <v>433</v>
      </c>
      <c r="C282" s="448" t="s">
        <v>1093</v>
      </c>
      <c r="D282" s="449" t="s">
        <v>1102</v>
      </c>
      <c r="E282" s="450" t="s">
        <v>432</v>
      </c>
      <c r="F282" s="457">
        <v>37570892</v>
      </c>
      <c r="G282" s="457">
        <v>0</v>
      </c>
      <c r="H282" s="457">
        <v>0</v>
      </c>
      <c r="I282" s="457">
        <v>37570892</v>
      </c>
      <c r="J282" s="457">
        <v>37459723</v>
      </c>
      <c r="K282" s="457">
        <v>0</v>
      </c>
      <c r="L282" s="457">
        <v>0</v>
      </c>
      <c r="M282" s="457">
        <v>37459723</v>
      </c>
      <c r="N282" s="457">
        <v>111169</v>
      </c>
      <c r="O282" s="457">
        <v>0</v>
      </c>
      <c r="P282" s="457">
        <v>0</v>
      </c>
      <c r="Q282" s="457">
        <v>111169</v>
      </c>
      <c r="R282" s="457">
        <v>264250</v>
      </c>
      <c r="S282" s="457">
        <v>0</v>
      </c>
      <c r="T282" s="457">
        <v>0</v>
      </c>
      <c r="U282" s="457">
        <v>264250</v>
      </c>
      <c r="V282" s="457">
        <v>-153081</v>
      </c>
      <c r="W282" s="457">
        <v>0</v>
      </c>
      <c r="X282" s="457">
        <v>0</v>
      </c>
      <c r="Y282" s="457">
        <v>-153081</v>
      </c>
      <c r="Z282" s="457">
        <v>193085</v>
      </c>
      <c r="AA282" s="457">
        <v>193085</v>
      </c>
      <c r="AB282" s="457">
        <v>0</v>
      </c>
      <c r="AC282" s="457">
        <v>0</v>
      </c>
      <c r="AD282" s="457">
        <v>0</v>
      </c>
      <c r="AE282" s="457">
        <v>0</v>
      </c>
      <c r="AF282" s="457">
        <v>0</v>
      </c>
      <c r="AG282" s="457">
        <v>0</v>
      </c>
      <c r="AH282" s="457">
        <v>0</v>
      </c>
      <c r="AI282" s="457">
        <v>0</v>
      </c>
      <c r="AJ282" s="457">
        <v>0</v>
      </c>
      <c r="AK282" s="457">
        <v>0</v>
      </c>
      <c r="AL282" s="457">
        <v>0</v>
      </c>
      <c r="AM282" s="457">
        <v>0</v>
      </c>
      <c r="AN282" s="457">
        <v>0</v>
      </c>
      <c r="AO282" s="457">
        <v>0</v>
      </c>
      <c r="AP282" s="457">
        <v>0</v>
      </c>
      <c r="AQ282" s="457">
        <v>0</v>
      </c>
      <c r="AR282" s="457">
        <v>0</v>
      </c>
      <c r="AS282" s="457">
        <v>0</v>
      </c>
      <c r="AT282" s="457">
        <v>0</v>
      </c>
      <c r="AU282" s="457">
        <v>0</v>
      </c>
      <c r="AV282" s="457">
        <v>0</v>
      </c>
      <c r="AW282" s="457">
        <v>0</v>
      </c>
      <c r="AX282" s="457">
        <v>0</v>
      </c>
      <c r="AY282" s="457">
        <v>0</v>
      </c>
      <c r="AZ282" s="457">
        <v>0</v>
      </c>
      <c r="BA282" s="457">
        <v>672292</v>
      </c>
      <c r="BB282" s="457">
        <v>589086</v>
      </c>
      <c r="BC282" s="457">
        <v>83206</v>
      </c>
      <c r="BD282" s="457">
        <v>151266</v>
      </c>
      <c r="BE282" s="457">
        <v>132544</v>
      </c>
      <c r="BF282" s="457">
        <v>18722</v>
      </c>
      <c r="BG282" s="457">
        <v>16807</v>
      </c>
      <c r="BH282" s="457">
        <v>14727</v>
      </c>
      <c r="BI282" s="457">
        <v>2080</v>
      </c>
    </row>
    <row r="283" spans="1:61" ht="12.75" x14ac:dyDescent="0.2">
      <c r="A283" s="446">
        <v>276</v>
      </c>
      <c r="B283" s="447" t="s">
        <v>435</v>
      </c>
      <c r="C283" s="448" t="s">
        <v>794</v>
      </c>
      <c r="D283" s="449" t="s">
        <v>1103</v>
      </c>
      <c r="E283" s="450" t="s">
        <v>750</v>
      </c>
      <c r="F283" s="457">
        <v>68144048.299999997</v>
      </c>
      <c r="G283" s="457">
        <v>0</v>
      </c>
      <c r="H283" s="457">
        <v>0</v>
      </c>
      <c r="I283" s="457">
        <v>68144048.299999997</v>
      </c>
      <c r="J283" s="457">
        <v>68497240.700000003</v>
      </c>
      <c r="K283" s="457">
        <v>0</v>
      </c>
      <c r="L283" s="457">
        <v>0</v>
      </c>
      <c r="M283" s="457">
        <v>68497240.700000003</v>
      </c>
      <c r="N283" s="457">
        <v>-353192.46</v>
      </c>
      <c r="O283" s="457">
        <v>0</v>
      </c>
      <c r="P283" s="457">
        <v>0</v>
      </c>
      <c r="Q283" s="457">
        <v>-353192.46</v>
      </c>
      <c r="R283" s="457">
        <v>26820</v>
      </c>
      <c r="S283" s="457">
        <v>0</v>
      </c>
      <c r="T283" s="457">
        <v>0</v>
      </c>
      <c r="U283" s="457">
        <v>26820</v>
      </c>
      <c r="V283" s="457">
        <v>-380012</v>
      </c>
      <c r="W283" s="457">
        <v>0</v>
      </c>
      <c r="X283" s="457">
        <v>0</v>
      </c>
      <c r="Y283" s="457">
        <v>-380012</v>
      </c>
      <c r="Z283" s="457">
        <v>212679</v>
      </c>
      <c r="AA283" s="457">
        <v>212679</v>
      </c>
      <c r="AB283" s="457">
        <v>0</v>
      </c>
      <c r="AC283" s="457">
        <v>0</v>
      </c>
      <c r="AD283" s="457">
        <v>0</v>
      </c>
      <c r="AE283" s="457">
        <v>0</v>
      </c>
      <c r="AF283" s="457">
        <v>0</v>
      </c>
      <c r="AG283" s="457">
        <v>0</v>
      </c>
      <c r="AH283" s="457">
        <v>0</v>
      </c>
      <c r="AI283" s="457">
        <v>0</v>
      </c>
      <c r="AJ283" s="457">
        <v>0</v>
      </c>
      <c r="AK283" s="457">
        <v>0</v>
      </c>
      <c r="AL283" s="457">
        <v>0</v>
      </c>
      <c r="AM283" s="457">
        <v>0</v>
      </c>
      <c r="AN283" s="457">
        <v>0</v>
      </c>
      <c r="AO283" s="457">
        <v>0</v>
      </c>
      <c r="AP283" s="457">
        <v>0</v>
      </c>
      <c r="AQ283" s="457">
        <v>0</v>
      </c>
      <c r="AR283" s="457">
        <v>0</v>
      </c>
      <c r="AS283" s="457">
        <v>0</v>
      </c>
      <c r="AT283" s="457">
        <v>0</v>
      </c>
      <c r="AU283" s="457">
        <v>0</v>
      </c>
      <c r="AV283" s="457">
        <v>0</v>
      </c>
      <c r="AW283" s="457">
        <v>0</v>
      </c>
      <c r="AX283" s="457">
        <v>0</v>
      </c>
      <c r="AY283" s="457">
        <v>0</v>
      </c>
      <c r="AZ283" s="457">
        <v>0</v>
      </c>
      <c r="BA283" s="457">
        <v>597373</v>
      </c>
      <c r="BB283" s="457">
        <v>516398</v>
      </c>
      <c r="BC283" s="457">
        <v>80975</v>
      </c>
      <c r="BD283" s="457">
        <v>0</v>
      </c>
      <c r="BE283" s="457">
        <v>0</v>
      </c>
      <c r="BF283" s="457">
        <v>0</v>
      </c>
      <c r="BG283" s="457">
        <v>12191</v>
      </c>
      <c r="BH283" s="457">
        <v>10539</v>
      </c>
      <c r="BI283" s="457">
        <v>1652</v>
      </c>
    </row>
    <row r="284" spans="1:61" ht="12.75" x14ac:dyDescent="0.2">
      <c r="A284" s="446">
        <v>277</v>
      </c>
      <c r="B284" s="447" t="s">
        <v>437</v>
      </c>
      <c r="C284" s="448" t="s">
        <v>1093</v>
      </c>
      <c r="D284" s="449" t="s">
        <v>1097</v>
      </c>
      <c r="E284" s="450" t="s">
        <v>436</v>
      </c>
      <c r="F284" s="457">
        <v>32010687</v>
      </c>
      <c r="G284" s="457">
        <v>0</v>
      </c>
      <c r="H284" s="457">
        <v>0</v>
      </c>
      <c r="I284" s="457">
        <v>32010687</v>
      </c>
      <c r="J284" s="457">
        <v>32024431</v>
      </c>
      <c r="K284" s="457">
        <v>0</v>
      </c>
      <c r="L284" s="457">
        <v>0</v>
      </c>
      <c r="M284" s="457">
        <v>32024431</v>
      </c>
      <c r="N284" s="457">
        <v>-13744</v>
      </c>
      <c r="O284" s="457">
        <v>0</v>
      </c>
      <c r="P284" s="457">
        <v>0</v>
      </c>
      <c r="Q284" s="457">
        <v>-13744</v>
      </c>
      <c r="R284" s="457">
        <v>119039</v>
      </c>
      <c r="S284" s="457">
        <v>0</v>
      </c>
      <c r="T284" s="457">
        <v>0</v>
      </c>
      <c r="U284" s="457">
        <v>119039</v>
      </c>
      <c r="V284" s="457">
        <v>-132783</v>
      </c>
      <c r="W284" s="457">
        <v>0</v>
      </c>
      <c r="X284" s="457">
        <v>0</v>
      </c>
      <c r="Y284" s="457">
        <v>-132783</v>
      </c>
      <c r="Z284" s="457">
        <v>292364</v>
      </c>
      <c r="AA284" s="457">
        <v>292364</v>
      </c>
      <c r="AB284" s="457">
        <v>0</v>
      </c>
      <c r="AC284" s="457">
        <v>0</v>
      </c>
      <c r="AD284" s="457">
        <v>0</v>
      </c>
      <c r="AE284" s="457">
        <v>0</v>
      </c>
      <c r="AF284" s="457">
        <v>0</v>
      </c>
      <c r="AG284" s="457">
        <v>0</v>
      </c>
      <c r="AH284" s="457">
        <v>0</v>
      </c>
      <c r="AI284" s="457">
        <v>54662</v>
      </c>
      <c r="AJ284" s="457">
        <v>0</v>
      </c>
      <c r="AK284" s="457">
        <v>54662</v>
      </c>
      <c r="AL284" s="457">
        <v>0</v>
      </c>
      <c r="AM284" s="457">
        <v>0</v>
      </c>
      <c r="AN284" s="457">
        <v>0</v>
      </c>
      <c r="AO284" s="457">
        <v>0</v>
      </c>
      <c r="AP284" s="457">
        <v>0</v>
      </c>
      <c r="AQ284" s="457">
        <v>0</v>
      </c>
      <c r="AR284" s="457">
        <v>0</v>
      </c>
      <c r="AS284" s="457">
        <v>0</v>
      </c>
      <c r="AT284" s="457">
        <v>0</v>
      </c>
      <c r="AU284" s="457">
        <v>0</v>
      </c>
      <c r="AV284" s="457">
        <v>0</v>
      </c>
      <c r="AW284" s="457">
        <v>0</v>
      </c>
      <c r="AX284" s="457">
        <v>0</v>
      </c>
      <c r="AY284" s="457">
        <v>0</v>
      </c>
      <c r="AZ284" s="457">
        <v>0</v>
      </c>
      <c r="BA284" s="457">
        <v>811859</v>
      </c>
      <c r="BB284" s="457">
        <v>703119</v>
      </c>
      <c r="BC284" s="457">
        <v>108740</v>
      </c>
      <c r="BD284" s="457">
        <v>182668</v>
      </c>
      <c r="BE284" s="457">
        <v>158202</v>
      </c>
      <c r="BF284" s="457">
        <v>24466</v>
      </c>
      <c r="BG284" s="457">
        <v>20296</v>
      </c>
      <c r="BH284" s="457">
        <v>17578</v>
      </c>
      <c r="BI284" s="457">
        <v>2718</v>
      </c>
    </row>
    <row r="285" spans="1:61" ht="12.75" x14ac:dyDescent="0.2">
      <c r="A285" s="446">
        <v>278</v>
      </c>
      <c r="B285" s="447" t="s">
        <v>439</v>
      </c>
      <c r="C285" s="448" t="s">
        <v>1093</v>
      </c>
      <c r="D285" s="449" t="s">
        <v>1094</v>
      </c>
      <c r="E285" s="450" t="s">
        <v>438</v>
      </c>
      <c r="F285" s="457">
        <v>55054268</v>
      </c>
      <c r="G285" s="457">
        <v>0</v>
      </c>
      <c r="H285" s="457">
        <v>0</v>
      </c>
      <c r="I285" s="457">
        <v>55054268</v>
      </c>
      <c r="J285" s="457">
        <v>55220378</v>
      </c>
      <c r="K285" s="457">
        <v>0</v>
      </c>
      <c r="L285" s="457">
        <v>0</v>
      </c>
      <c r="M285" s="457">
        <v>55220378</v>
      </c>
      <c r="N285" s="457">
        <v>-166110</v>
      </c>
      <c r="O285" s="457">
        <v>0</v>
      </c>
      <c r="P285" s="457">
        <v>0</v>
      </c>
      <c r="Q285" s="457">
        <v>-166110</v>
      </c>
      <c r="R285" s="457">
        <v>44318</v>
      </c>
      <c r="S285" s="457">
        <v>0</v>
      </c>
      <c r="T285" s="457">
        <v>0</v>
      </c>
      <c r="U285" s="457">
        <v>44318</v>
      </c>
      <c r="V285" s="457">
        <v>-210428</v>
      </c>
      <c r="W285" s="457">
        <v>0</v>
      </c>
      <c r="X285" s="457">
        <v>0</v>
      </c>
      <c r="Y285" s="457">
        <v>-210428</v>
      </c>
      <c r="Z285" s="457">
        <v>183929</v>
      </c>
      <c r="AA285" s="457">
        <v>183929</v>
      </c>
      <c r="AB285" s="457">
        <v>0</v>
      </c>
      <c r="AC285" s="457">
        <v>0</v>
      </c>
      <c r="AD285" s="457">
        <v>0</v>
      </c>
      <c r="AE285" s="457">
        <v>0</v>
      </c>
      <c r="AF285" s="457">
        <v>0</v>
      </c>
      <c r="AG285" s="457">
        <v>0</v>
      </c>
      <c r="AH285" s="457">
        <v>0</v>
      </c>
      <c r="AI285" s="457">
        <v>0</v>
      </c>
      <c r="AJ285" s="457">
        <v>0</v>
      </c>
      <c r="AK285" s="457">
        <v>0</v>
      </c>
      <c r="AL285" s="457">
        <v>0</v>
      </c>
      <c r="AM285" s="457">
        <v>0</v>
      </c>
      <c r="AN285" s="457">
        <v>0</v>
      </c>
      <c r="AO285" s="457">
        <v>0</v>
      </c>
      <c r="AP285" s="457">
        <v>0</v>
      </c>
      <c r="AQ285" s="457">
        <v>0</v>
      </c>
      <c r="AR285" s="457">
        <v>0</v>
      </c>
      <c r="AS285" s="457">
        <v>0</v>
      </c>
      <c r="AT285" s="457">
        <v>0</v>
      </c>
      <c r="AU285" s="457">
        <v>0</v>
      </c>
      <c r="AV285" s="457">
        <v>0</v>
      </c>
      <c r="AW285" s="457">
        <v>0</v>
      </c>
      <c r="AX285" s="457">
        <v>0</v>
      </c>
      <c r="AY285" s="457">
        <v>0</v>
      </c>
      <c r="AZ285" s="457">
        <v>0</v>
      </c>
      <c r="BA285" s="457">
        <v>451552</v>
      </c>
      <c r="BB285" s="457">
        <v>358678</v>
      </c>
      <c r="BC285" s="457">
        <v>92874</v>
      </c>
      <c r="BD285" s="457">
        <v>101599</v>
      </c>
      <c r="BE285" s="457">
        <v>80703</v>
      </c>
      <c r="BF285" s="457">
        <v>20896</v>
      </c>
      <c r="BG285" s="457">
        <v>11289</v>
      </c>
      <c r="BH285" s="457">
        <v>8967</v>
      </c>
      <c r="BI285" s="457">
        <v>2322</v>
      </c>
    </row>
    <row r="286" spans="1:61" ht="12.75" x14ac:dyDescent="0.2">
      <c r="A286" s="446">
        <v>279</v>
      </c>
      <c r="B286" s="447" t="s">
        <v>441</v>
      </c>
      <c r="C286" s="448" t="s">
        <v>1093</v>
      </c>
      <c r="D286" s="449" t="s">
        <v>1102</v>
      </c>
      <c r="E286" s="450" t="s">
        <v>440</v>
      </c>
      <c r="F286" s="457">
        <v>35624088</v>
      </c>
      <c r="G286" s="457">
        <v>0</v>
      </c>
      <c r="H286" s="457">
        <v>0</v>
      </c>
      <c r="I286" s="457">
        <v>35624088</v>
      </c>
      <c r="J286" s="457">
        <v>35674687</v>
      </c>
      <c r="K286" s="457">
        <v>0</v>
      </c>
      <c r="L286" s="457">
        <v>0</v>
      </c>
      <c r="M286" s="457">
        <v>35674687</v>
      </c>
      <c r="N286" s="457">
        <v>-50599</v>
      </c>
      <c r="O286" s="457">
        <v>0</v>
      </c>
      <c r="P286" s="457">
        <v>0</v>
      </c>
      <c r="Q286" s="457">
        <v>-50599</v>
      </c>
      <c r="R286" s="457">
        <v>45840</v>
      </c>
      <c r="S286" s="457">
        <v>0</v>
      </c>
      <c r="T286" s="457">
        <v>0</v>
      </c>
      <c r="U286" s="457">
        <v>45840</v>
      </c>
      <c r="V286" s="457">
        <v>-96439</v>
      </c>
      <c r="W286" s="457">
        <v>0</v>
      </c>
      <c r="X286" s="457">
        <v>0</v>
      </c>
      <c r="Y286" s="457">
        <v>-96439</v>
      </c>
      <c r="Z286" s="457">
        <v>124701</v>
      </c>
      <c r="AA286" s="457">
        <v>124701</v>
      </c>
      <c r="AB286" s="457">
        <v>0</v>
      </c>
      <c r="AC286" s="457">
        <v>0</v>
      </c>
      <c r="AD286" s="457">
        <v>0</v>
      </c>
      <c r="AE286" s="457">
        <v>0</v>
      </c>
      <c r="AF286" s="457">
        <v>0</v>
      </c>
      <c r="AG286" s="457">
        <v>0</v>
      </c>
      <c r="AH286" s="457">
        <v>0</v>
      </c>
      <c r="AI286" s="457">
        <v>0</v>
      </c>
      <c r="AJ286" s="457">
        <v>0</v>
      </c>
      <c r="AK286" s="457">
        <v>0</v>
      </c>
      <c r="AL286" s="457">
        <v>0</v>
      </c>
      <c r="AM286" s="457">
        <v>0</v>
      </c>
      <c r="AN286" s="457">
        <v>0</v>
      </c>
      <c r="AO286" s="457">
        <v>0</v>
      </c>
      <c r="AP286" s="457">
        <v>0</v>
      </c>
      <c r="AQ286" s="457">
        <v>0</v>
      </c>
      <c r="AR286" s="457">
        <v>0</v>
      </c>
      <c r="AS286" s="457">
        <v>0</v>
      </c>
      <c r="AT286" s="457">
        <v>0</v>
      </c>
      <c r="AU286" s="457">
        <v>0</v>
      </c>
      <c r="AV286" s="457">
        <v>0</v>
      </c>
      <c r="AW286" s="457">
        <v>0</v>
      </c>
      <c r="AX286" s="457">
        <v>0</v>
      </c>
      <c r="AY286" s="457">
        <v>0</v>
      </c>
      <c r="AZ286" s="457">
        <v>0</v>
      </c>
      <c r="BA286" s="457">
        <v>321019</v>
      </c>
      <c r="BB286" s="457">
        <v>266473</v>
      </c>
      <c r="BC286" s="457">
        <v>54546</v>
      </c>
      <c r="BD286" s="457">
        <v>80255</v>
      </c>
      <c r="BE286" s="457">
        <v>66618</v>
      </c>
      <c r="BF286" s="457">
        <v>13637</v>
      </c>
      <c r="BG286" s="457">
        <v>0</v>
      </c>
      <c r="BH286" s="457">
        <v>0</v>
      </c>
      <c r="BI286" s="457">
        <v>0</v>
      </c>
    </row>
    <row r="287" spans="1:61" ht="12.75" x14ac:dyDescent="0.2">
      <c r="A287" s="446">
        <v>280</v>
      </c>
      <c r="B287" s="447" t="s">
        <v>443</v>
      </c>
      <c r="C287" s="448" t="s">
        <v>1093</v>
      </c>
      <c r="D287" s="449" t="s">
        <v>1094</v>
      </c>
      <c r="E287" s="450" t="s">
        <v>442</v>
      </c>
      <c r="F287" s="457">
        <v>31172443</v>
      </c>
      <c r="G287" s="457">
        <v>0</v>
      </c>
      <c r="H287" s="457">
        <v>0</v>
      </c>
      <c r="I287" s="457">
        <v>31172443</v>
      </c>
      <c r="J287" s="457">
        <v>31064552</v>
      </c>
      <c r="K287" s="457">
        <v>0</v>
      </c>
      <c r="L287" s="457">
        <v>0</v>
      </c>
      <c r="M287" s="457">
        <v>31064552</v>
      </c>
      <c r="N287" s="457">
        <v>107891</v>
      </c>
      <c r="O287" s="457">
        <v>0</v>
      </c>
      <c r="P287" s="457">
        <v>0</v>
      </c>
      <c r="Q287" s="457">
        <v>107891</v>
      </c>
      <c r="R287" s="457">
        <v>-157989</v>
      </c>
      <c r="S287" s="457">
        <v>0</v>
      </c>
      <c r="T287" s="457">
        <v>0</v>
      </c>
      <c r="U287" s="457">
        <v>-157989</v>
      </c>
      <c r="V287" s="457">
        <v>265880</v>
      </c>
      <c r="W287" s="457">
        <v>0</v>
      </c>
      <c r="X287" s="457">
        <v>0</v>
      </c>
      <c r="Y287" s="457">
        <v>265880</v>
      </c>
      <c r="Z287" s="457">
        <v>191907</v>
      </c>
      <c r="AA287" s="457">
        <v>191907</v>
      </c>
      <c r="AB287" s="457">
        <v>0</v>
      </c>
      <c r="AC287" s="457">
        <v>0</v>
      </c>
      <c r="AD287" s="457">
        <v>0</v>
      </c>
      <c r="AE287" s="457">
        <v>0</v>
      </c>
      <c r="AF287" s="457">
        <v>0</v>
      </c>
      <c r="AG287" s="457">
        <v>0</v>
      </c>
      <c r="AH287" s="457">
        <v>0</v>
      </c>
      <c r="AI287" s="457">
        <v>0</v>
      </c>
      <c r="AJ287" s="457">
        <v>0</v>
      </c>
      <c r="AK287" s="457">
        <v>0</v>
      </c>
      <c r="AL287" s="457">
        <v>0</v>
      </c>
      <c r="AM287" s="457">
        <v>0</v>
      </c>
      <c r="AN287" s="457">
        <v>0</v>
      </c>
      <c r="AO287" s="457">
        <v>0</v>
      </c>
      <c r="AP287" s="457">
        <v>0</v>
      </c>
      <c r="AQ287" s="457">
        <v>0</v>
      </c>
      <c r="AR287" s="457">
        <v>0</v>
      </c>
      <c r="AS287" s="457">
        <v>0</v>
      </c>
      <c r="AT287" s="457">
        <v>0</v>
      </c>
      <c r="AU287" s="457">
        <v>0</v>
      </c>
      <c r="AV287" s="457">
        <v>0</v>
      </c>
      <c r="AW287" s="457">
        <v>0</v>
      </c>
      <c r="AX287" s="457">
        <v>0</v>
      </c>
      <c r="AY287" s="457">
        <v>0</v>
      </c>
      <c r="AZ287" s="457">
        <v>0</v>
      </c>
      <c r="BA287" s="457">
        <v>667762</v>
      </c>
      <c r="BB287" s="457">
        <v>567095</v>
      </c>
      <c r="BC287" s="457">
        <v>100667</v>
      </c>
      <c r="BD287" s="457">
        <v>150247</v>
      </c>
      <c r="BE287" s="457">
        <v>127596</v>
      </c>
      <c r="BF287" s="457">
        <v>22651</v>
      </c>
      <c r="BG287" s="457">
        <v>16694</v>
      </c>
      <c r="BH287" s="457">
        <v>14177</v>
      </c>
      <c r="BI287" s="457">
        <v>2517</v>
      </c>
    </row>
    <row r="288" spans="1:61" ht="12.75" x14ac:dyDescent="0.2">
      <c r="A288" s="446">
        <v>281</v>
      </c>
      <c r="B288" s="447" t="s">
        <v>445</v>
      </c>
      <c r="C288" s="448" t="s">
        <v>1093</v>
      </c>
      <c r="D288" s="449" t="s">
        <v>1097</v>
      </c>
      <c r="E288" s="450" t="s">
        <v>444</v>
      </c>
      <c r="F288" s="457">
        <v>31258389</v>
      </c>
      <c r="G288" s="457">
        <v>0</v>
      </c>
      <c r="H288" s="457">
        <v>0</v>
      </c>
      <c r="I288" s="457">
        <v>31258389</v>
      </c>
      <c r="J288" s="457">
        <v>31143852</v>
      </c>
      <c r="K288" s="457">
        <v>0</v>
      </c>
      <c r="L288" s="457">
        <v>0</v>
      </c>
      <c r="M288" s="457">
        <v>31143852</v>
      </c>
      <c r="N288" s="457">
        <v>114537</v>
      </c>
      <c r="O288" s="457">
        <v>0</v>
      </c>
      <c r="P288" s="457">
        <v>0</v>
      </c>
      <c r="Q288" s="457">
        <v>114537</v>
      </c>
      <c r="R288" s="457">
        <v>229198</v>
      </c>
      <c r="S288" s="457">
        <v>0</v>
      </c>
      <c r="T288" s="457">
        <v>0</v>
      </c>
      <c r="U288" s="457">
        <v>229198</v>
      </c>
      <c r="V288" s="457">
        <v>-114661</v>
      </c>
      <c r="W288" s="457">
        <v>0</v>
      </c>
      <c r="X288" s="457">
        <v>0</v>
      </c>
      <c r="Y288" s="457">
        <v>-114661</v>
      </c>
      <c r="Z288" s="457">
        <v>101285</v>
      </c>
      <c r="AA288" s="457">
        <v>95137</v>
      </c>
      <c r="AB288" s="457">
        <v>6148</v>
      </c>
      <c r="AC288" s="457">
        <v>0</v>
      </c>
      <c r="AD288" s="457">
        <v>0</v>
      </c>
      <c r="AE288" s="457">
        <v>0</v>
      </c>
      <c r="AF288" s="457">
        <v>0</v>
      </c>
      <c r="AG288" s="457">
        <v>0</v>
      </c>
      <c r="AH288" s="457">
        <v>0</v>
      </c>
      <c r="AI288" s="457">
        <v>0</v>
      </c>
      <c r="AJ288" s="457">
        <v>0</v>
      </c>
      <c r="AK288" s="457">
        <v>0</v>
      </c>
      <c r="AL288" s="457">
        <v>0</v>
      </c>
      <c r="AM288" s="457">
        <v>0</v>
      </c>
      <c r="AN288" s="457">
        <v>0</v>
      </c>
      <c r="AO288" s="457">
        <v>0</v>
      </c>
      <c r="AP288" s="457">
        <v>0</v>
      </c>
      <c r="AQ288" s="457">
        <v>0</v>
      </c>
      <c r="AR288" s="457">
        <v>0</v>
      </c>
      <c r="AS288" s="457">
        <v>0</v>
      </c>
      <c r="AT288" s="457">
        <v>0</v>
      </c>
      <c r="AU288" s="457">
        <v>0</v>
      </c>
      <c r="AV288" s="457">
        <v>0</v>
      </c>
      <c r="AW288" s="457">
        <v>0</v>
      </c>
      <c r="AX288" s="457">
        <v>0</v>
      </c>
      <c r="AY288" s="457">
        <v>0</v>
      </c>
      <c r="AZ288" s="457">
        <v>0</v>
      </c>
      <c r="BA288" s="457">
        <v>174887</v>
      </c>
      <c r="BB288" s="457">
        <v>151809</v>
      </c>
      <c r="BC288" s="457">
        <v>23078</v>
      </c>
      <c r="BD288" s="457">
        <v>43722</v>
      </c>
      <c r="BE288" s="457">
        <v>37952</v>
      </c>
      <c r="BF288" s="457">
        <v>5770</v>
      </c>
      <c r="BG288" s="457">
        <v>0</v>
      </c>
      <c r="BH288" s="457">
        <v>0</v>
      </c>
      <c r="BI288" s="457">
        <v>0</v>
      </c>
    </row>
    <row r="289" spans="1:61" ht="12.75" x14ac:dyDescent="0.2">
      <c r="A289" s="446">
        <v>282</v>
      </c>
      <c r="B289" s="447" t="s">
        <v>447</v>
      </c>
      <c r="C289" s="448" t="s">
        <v>794</v>
      </c>
      <c r="D289" s="449" t="s">
        <v>1097</v>
      </c>
      <c r="E289" s="450" t="s">
        <v>751</v>
      </c>
      <c r="F289" s="457">
        <v>106161487</v>
      </c>
      <c r="G289" s="457">
        <v>0</v>
      </c>
      <c r="H289" s="457">
        <v>0</v>
      </c>
      <c r="I289" s="457">
        <v>106161487</v>
      </c>
      <c r="J289" s="457">
        <v>105098628</v>
      </c>
      <c r="K289" s="457">
        <v>0</v>
      </c>
      <c r="L289" s="457">
        <v>0</v>
      </c>
      <c r="M289" s="457">
        <v>105098628</v>
      </c>
      <c r="N289" s="457">
        <v>1062859</v>
      </c>
      <c r="O289" s="457">
        <v>0</v>
      </c>
      <c r="P289" s="457">
        <v>0</v>
      </c>
      <c r="Q289" s="457">
        <v>1062859</v>
      </c>
      <c r="R289" s="457">
        <v>1171092</v>
      </c>
      <c r="S289" s="457">
        <v>0</v>
      </c>
      <c r="T289" s="457">
        <v>0</v>
      </c>
      <c r="U289" s="457">
        <v>1171092</v>
      </c>
      <c r="V289" s="457">
        <v>-108233</v>
      </c>
      <c r="W289" s="457">
        <v>0</v>
      </c>
      <c r="X289" s="457">
        <v>0</v>
      </c>
      <c r="Y289" s="457">
        <v>-108233</v>
      </c>
      <c r="Z289" s="457">
        <v>222500</v>
      </c>
      <c r="AA289" s="457">
        <v>222500</v>
      </c>
      <c r="AB289" s="457">
        <v>0</v>
      </c>
      <c r="AC289" s="457">
        <v>0</v>
      </c>
      <c r="AD289" s="457">
        <v>0</v>
      </c>
      <c r="AE289" s="457">
        <v>0</v>
      </c>
      <c r="AF289" s="457">
        <v>0</v>
      </c>
      <c r="AG289" s="457">
        <v>0</v>
      </c>
      <c r="AH289" s="457">
        <v>0</v>
      </c>
      <c r="AI289" s="457">
        <v>0</v>
      </c>
      <c r="AJ289" s="457">
        <v>0</v>
      </c>
      <c r="AK289" s="457">
        <v>0</v>
      </c>
      <c r="AL289" s="457">
        <v>0</v>
      </c>
      <c r="AM289" s="457">
        <v>0</v>
      </c>
      <c r="AN289" s="457">
        <v>0</v>
      </c>
      <c r="AO289" s="457">
        <v>0</v>
      </c>
      <c r="AP289" s="457">
        <v>0</v>
      </c>
      <c r="AQ289" s="457">
        <v>0</v>
      </c>
      <c r="AR289" s="457">
        <v>0</v>
      </c>
      <c r="AS289" s="457">
        <v>0</v>
      </c>
      <c r="AT289" s="457">
        <v>0</v>
      </c>
      <c r="AU289" s="457">
        <v>0</v>
      </c>
      <c r="AV289" s="457">
        <v>0</v>
      </c>
      <c r="AW289" s="457">
        <v>0</v>
      </c>
      <c r="AX289" s="457">
        <v>0</v>
      </c>
      <c r="AY289" s="457">
        <v>0</v>
      </c>
      <c r="AZ289" s="457">
        <v>0</v>
      </c>
      <c r="BA289" s="457">
        <v>449629</v>
      </c>
      <c r="BB289" s="457">
        <v>379090</v>
      </c>
      <c r="BC289" s="457">
        <v>70539</v>
      </c>
      <c r="BD289" s="457">
        <v>0</v>
      </c>
      <c r="BE289" s="457">
        <v>0</v>
      </c>
      <c r="BF289" s="457">
        <v>0</v>
      </c>
      <c r="BG289" s="457">
        <v>9176</v>
      </c>
      <c r="BH289" s="457">
        <v>7737</v>
      </c>
      <c r="BI289" s="457">
        <v>1439</v>
      </c>
    </row>
    <row r="290" spans="1:61" ht="12.75" x14ac:dyDescent="0.2">
      <c r="A290" s="446">
        <v>283</v>
      </c>
      <c r="B290" s="447" t="s">
        <v>449</v>
      </c>
      <c r="C290" s="448" t="s">
        <v>1093</v>
      </c>
      <c r="D290" s="449" t="s">
        <v>1094</v>
      </c>
      <c r="E290" s="450" t="s">
        <v>752</v>
      </c>
      <c r="F290" s="457">
        <v>0</v>
      </c>
      <c r="G290" s="457">
        <v>0</v>
      </c>
      <c r="H290" s="457">
        <v>0</v>
      </c>
      <c r="I290" s="457">
        <v>0</v>
      </c>
      <c r="J290" s="457">
        <v>421255</v>
      </c>
      <c r="K290" s="457">
        <v>0</v>
      </c>
      <c r="L290" s="457">
        <v>0</v>
      </c>
      <c r="M290" s="457">
        <v>421255</v>
      </c>
      <c r="N290" s="457">
        <v>-421255</v>
      </c>
      <c r="O290" s="457">
        <v>0</v>
      </c>
      <c r="P290" s="457">
        <v>0</v>
      </c>
      <c r="Q290" s="457">
        <v>-421255</v>
      </c>
      <c r="R290" s="457">
        <v>224554</v>
      </c>
      <c r="S290" s="457">
        <v>0</v>
      </c>
      <c r="T290" s="457">
        <v>0</v>
      </c>
      <c r="U290" s="457">
        <v>224554</v>
      </c>
      <c r="V290" s="457">
        <v>-645809</v>
      </c>
      <c r="W290" s="457">
        <v>0</v>
      </c>
      <c r="X290" s="457">
        <v>0</v>
      </c>
      <c r="Y290" s="457">
        <v>-645809</v>
      </c>
      <c r="Z290" s="457">
        <v>168018</v>
      </c>
      <c r="AA290" s="457">
        <v>168018</v>
      </c>
      <c r="AB290" s="457">
        <v>0</v>
      </c>
      <c r="AC290" s="457">
        <v>0</v>
      </c>
      <c r="AD290" s="457">
        <v>0</v>
      </c>
      <c r="AE290" s="457">
        <v>0</v>
      </c>
      <c r="AF290" s="457">
        <v>0</v>
      </c>
      <c r="AG290" s="457">
        <v>0</v>
      </c>
      <c r="AH290" s="457">
        <v>0</v>
      </c>
      <c r="AI290" s="457">
        <v>0</v>
      </c>
      <c r="AJ290" s="457">
        <v>0</v>
      </c>
      <c r="AK290" s="457">
        <v>0</v>
      </c>
      <c r="AL290" s="457">
        <v>0</v>
      </c>
      <c r="AM290" s="457">
        <v>0</v>
      </c>
      <c r="AN290" s="457">
        <v>0</v>
      </c>
      <c r="AO290" s="457">
        <v>0</v>
      </c>
      <c r="AP290" s="457">
        <v>0</v>
      </c>
      <c r="AQ290" s="457">
        <v>0</v>
      </c>
      <c r="AR290" s="457">
        <v>0</v>
      </c>
      <c r="AS290" s="457">
        <v>0</v>
      </c>
      <c r="AT290" s="457">
        <v>0</v>
      </c>
      <c r="AU290" s="457">
        <v>0</v>
      </c>
      <c r="AV290" s="457">
        <v>0</v>
      </c>
      <c r="AW290" s="457">
        <v>0</v>
      </c>
      <c r="AX290" s="457">
        <v>0</v>
      </c>
      <c r="AY290" s="457">
        <v>0</v>
      </c>
      <c r="AZ290" s="457">
        <v>0</v>
      </c>
      <c r="BA290" s="457">
        <v>316145</v>
      </c>
      <c r="BB290" s="457">
        <v>257185</v>
      </c>
      <c r="BC290" s="457">
        <v>58960</v>
      </c>
      <c r="BD290" s="457">
        <v>71133</v>
      </c>
      <c r="BE290" s="457">
        <v>57867</v>
      </c>
      <c r="BF290" s="457">
        <v>13266</v>
      </c>
      <c r="BG290" s="457">
        <v>7904</v>
      </c>
      <c r="BH290" s="457">
        <v>6430</v>
      </c>
      <c r="BI290" s="457">
        <v>1474</v>
      </c>
    </row>
    <row r="291" spans="1:61" ht="12.75" x14ac:dyDescent="0.2">
      <c r="A291" s="446">
        <v>284</v>
      </c>
      <c r="B291" s="447" t="s">
        <v>451</v>
      </c>
      <c r="C291" s="448" t="s">
        <v>794</v>
      </c>
      <c r="D291" s="449" t="s">
        <v>1102</v>
      </c>
      <c r="E291" s="450" t="s">
        <v>753</v>
      </c>
      <c r="F291" s="457">
        <v>44584329</v>
      </c>
      <c r="G291" s="457">
        <v>0</v>
      </c>
      <c r="H291" s="457">
        <v>0</v>
      </c>
      <c r="I291" s="457">
        <v>44584329</v>
      </c>
      <c r="J291" s="457">
        <v>44608062</v>
      </c>
      <c r="K291" s="457">
        <v>0</v>
      </c>
      <c r="L291" s="457">
        <v>0</v>
      </c>
      <c r="M291" s="457">
        <v>44608062</v>
      </c>
      <c r="N291" s="457">
        <v>-23733</v>
      </c>
      <c r="O291" s="457">
        <v>0</v>
      </c>
      <c r="P291" s="457">
        <v>0</v>
      </c>
      <c r="Q291" s="457">
        <v>-23733</v>
      </c>
      <c r="R291" s="457">
        <v>184572</v>
      </c>
      <c r="S291" s="457">
        <v>0</v>
      </c>
      <c r="T291" s="457">
        <v>0</v>
      </c>
      <c r="U291" s="457">
        <v>184572</v>
      </c>
      <c r="V291" s="457">
        <v>-208305</v>
      </c>
      <c r="W291" s="457">
        <v>0</v>
      </c>
      <c r="X291" s="457">
        <v>0</v>
      </c>
      <c r="Y291" s="457">
        <v>-208305</v>
      </c>
      <c r="Z291" s="457">
        <v>206989</v>
      </c>
      <c r="AA291" s="457">
        <v>206989</v>
      </c>
      <c r="AB291" s="457">
        <v>0</v>
      </c>
      <c r="AC291" s="457">
        <v>0</v>
      </c>
      <c r="AD291" s="457">
        <v>0</v>
      </c>
      <c r="AE291" s="457">
        <v>0</v>
      </c>
      <c r="AF291" s="457">
        <v>0</v>
      </c>
      <c r="AG291" s="457">
        <v>0</v>
      </c>
      <c r="AH291" s="457">
        <v>0</v>
      </c>
      <c r="AI291" s="457">
        <v>0</v>
      </c>
      <c r="AJ291" s="457">
        <v>0</v>
      </c>
      <c r="AK291" s="457">
        <v>0</v>
      </c>
      <c r="AL291" s="457">
        <v>0</v>
      </c>
      <c r="AM291" s="457">
        <v>0</v>
      </c>
      <c r="AN291" s="457">
        <v>0</v>
      </c>
      <c r="AO291" s="457">
        <v>0</v>
      </c>
      <c r="AP291" s="457">
        <v>0</v>
      </c>
      <c r="AQ291" s="457">
        <v>0</v>
      </c>
      <c r="AR291" s="457">
        <v>0</v>
      </c>
      <c r="AS291" s="457">
        <v>0</v>
      </c>
      <c r="AT291" s="457">
        <v>0</v>
      </c>
      <c r="AU291" s="457">
        <v>0</v>
      </c>
      <c r="AV291" s="457">
        <v>0</v>
      </c>
      <c r="AW291" s="457">
        <v>0</v>
      </c>
      <c r="AX291" s="457">
        <v>0</v>
      </c>
      <c r="AY291" s="457">
        <v>0</v>
      </c>
      <c r="AZ291" s="457">
        <v>0</v>
      </c>
      <c r="BA291" s="457">
        <v>960740</v>
      </c>
      <c r="BB291" s="457">
        <v>841888</v>
      </c>
      <c r="BC291" s="457">
        <v>118852</v>
      </c>
      <c r="BD291" s="457">
        <v>0</v>
      </c>
      <c r="BE291" s="457">
        <v>0</v>
      </c>
      <c r="BF291" s="457">
        <v>0</v>
      </c>
      <c r="BG291" s="457">
        <v>19607</v>
      </c>
      <c r="BH291" s="457">
        <v>17181</v>
      </c>
      <c r="BI291" s="457">
        <v>2426</v>
      </c>
    </row>
    <row r="292" spans="1:61" ht="12.75" x14ac:dyDescent="0.2">
      <c r="A292" s="446">
        <v>285</v>
      </c>
      <c r="B292" s="447" t="s">
        <v>453</v>
      </c>
      <c r="C292" s="448" t="s">
        <v>1093</v>
      </c>
      <c r="D292" s="449" t="s">
        <v>1102</v>
      </c>
      <c r="E292" s="450" t="s">
        <v>452</v>
      </c>
      <c r="F292" s="457">
        <v>10438106</v>
      </c>
      <c r="G292" s="457">
        <v>0</v>
      </c>
      <c r="H292" s="457">
        <v>0</v>
      </c>
      <c r="I292" s="457">
        <v>10438106</v>
      </c>
      <c r="J292" s="457">
        <v>10235080</v>
      </c>
      <c r="K292" s="457">
        <v>0</v>
      </c>
      <c r="L292" s="457">
        <v>0</v>
      </c>
      <c r="M292" s="457">
        <v>10235080</v>
      </c>
      <c r="N292" s="457">
        <v>120743</v>
      </c>
      <c r="O292" s="457">
        <v>0</v>
      </c>
      <c r="P292" s="457">
        <v>0</v>
      </c>
      <c r="Q292" s="457">
        <v>120743</v>
      </c>
      <c r="R292" s="457">
        <v>239743</v>
      </c>
      <c r="S292" s="457">
        <v>0</v>
      </c>
      <c r="T292" s="457">
        <v>0</v>
      </c>
      <c r="U292" s="457">
        <v>239743</v>
      </c>
      <c r="V292" s="457">
        <v>-119000</v>
      </c>
      <c r="W292" s="457">
        <v>0</v>
      </c>
      <c r="X292" s="457">
        <v>0</v>
      </c>
      <c r="Y292" s="457">
        <v>-119000</v>
      </c>
      <c r="Z292" s="457">
        <v>121660</v>
      </c>
      <c r="AA292" s="457">
        <v>121660</v>
      </c>
      <c r="AB292" s="457">
        <v>0</v>
      </c>
      <c r="AC292" s="457">
        <v>0</v>
      </c>
      <c r="AD292" s="457">
        <v>0</v>
      </c>
      <c r="AE292" s="457">
        <v>0</v>
      </c>
      <c r="AF292" s="457">
        <v>0</v>
      </c>
      <c r="AG292" s="457">
        <v>0</v>
      </c>
      <c r="AH292" s="457">
        <v>0</v>
      </c>
      <c r="AI292" s="457">
        <v>51309</v>
      </c>
      <c r="AJ292" s="457">
        <v>40000</v>
      </c>
      <c r="AK292" s="457">
        <v>11309</v>
      </c>
      <c r="AL292" s="457">
        <v>0</v>
      </c>
      <c r="AM292" s="457">
        <v>0</v>
      </c>
      <c r="AN292" s="457">
        <v>0</v>
      </c>
      <c r="AO292" s="457">
        <v>0</v>
      </c>
      <c r="AP292" s="457">
        <v>0</v>
      </c>
      <c r="AQ292" s="457">
        <v>0</v>
      </c>
      <c r="AR292" s="457">
        <v>0</v>
      </c>
      <c r="AS292" s="457">
        <v>0</v>
      </c>
      <c r="AT292" s="457">
        <v>0</v>
      </c>
      <c r="AU292" s="457">
        <v>0</v>
      </c>
      <c r="AV292" s="457">
        <v>0</v>
      </c>
      <c r="AW292" s="457">
        <v>0</v>
      </c>
      <c r="AX292" s="457">
        <v>0</v>
      </c>
      <c r="AY292" s="457">
        <v>0</v>
      </c>
      <c r="AZ292" s="457">
        <v>0</v>
      </c>
      <c r="BA292" s="457">
        <v>510868</v>
      </c>
      <c r="BB292" s="457">
        <v>427513</v>
      </c>
      <c r="BC292" s="457">
        <v>83355</v>
      </c>
      <c r="BD292" s="457">
        <v>114945</v>
      </c>
      <c r="BE292" s="457">
        <v>96190</v>
      </c>
      <c r="BF292" s="457">
        <v>18755</v>
      </c>
      <c r="BG292" s="457">
        <v>12772</v>
      </c>
      <c r="BH292" s="457">
        <v>10688</v>
      </c>
      <c r="BI292" s="457">
        <v>2084</v>
      </c>
    </row>
    <row r="293" spans="1:61" ht="12.75" x14ac:dyDescent="0.2">
      <c r="A293" s="446">
        <v>286</v>
      </c>
      <c r="B293" s="447" t="s">
        <v>455</v>
      </c>
      <c r="C293" s="448" t="s">
        <v>1104</v>
      </c>
      <c r="D293" s="449" t="s">
        <v>1099</v>
      </c>
      <c r="E293" s="450" t="s">
        <v>454</v>
      </c>
      <c r="F293" s="457">
        <v>371679587</v>
      </c>
      <c r="G293" s="457">
        <v>0</v>
      </c>
      <c r="H293" s="457">
        <v>0</v>
      </c>
      <c r="I293" s="457">
        <v>371679587</v>
      </c>
      <c r="J293" s="457">
        <v>371230722</v>
      </c>
      <c r="K293" s="457">
        <v>0</v>
      </c>
      <c r="L293" s="457">
        <v>0</v>
      </c>
      <c r="M293" s="457">
        <v>371230722</v>
      </c>
      <c r="N293" s="457">
        <v>448865</v>
      </c>
      <c r="O293" s="457">
        <v>0</v>
      </c>
      <c r="P293" s="457">
        <v>0</v>
      </c>
      <c r="Q293" s="457">
        <v>448865</v>
      </c>
      <c r="R293" s="457">
        <v>968697</v>
      </c>
      <c r="S293" s="457">
        <v>0</v>
      </c>
      <c r="T293" s="457">
        <v>0</v>
      </c>
      <c r="U293" s="457">
        <v>968697</v>
      </c>
      <c r="V293" s="457">
        <v>-519832</v>
      </c>
      <c r="W293" s="457">
        <v>0</v>
      </c>
      <c r="X293" s="457">
        <v>0</v>
      </c>
      <c r="Y293" s="457">
        <v>-519832</v>
      </c>
      <c r="Z293" s="457">
        <v>944275</v>
      </c>
      <c r="AA293" s="457">
        <v>944275</v>
      </c>
      <c r="AB293" s="457">
        <v>0</v>
      </c>
      <c r="AC293" s="457">
        <v>0</v>
      </c>
      <c r="AD293" s="457">
        <v>0</v>
      </c>
      <c r="AE293" s="457">
        <v>0</v>
      </c>
      <c r="AF293" s="457">
        <v>0</v>
      </c>
      <c r="AG293" s="457">
        <v>0</v>
      </c>
      <c r="AH293" s="457">
        <v>0</v>
      </c>
      <c r="AI293" s="457">
        <v>0</v>
      </c>
      <c r="AJ293" s="457">
        <v>0</v>
      </c>
      <c r="AK293" s="457">
        <v>0</v>
      </c>
      <c r="AL293" s="457">
        <v>0</v>
      </c>
      <c r="AM293" s="457">
        <v>0</v>
      </c>
      <c r="AN293" s="457">
        <v>0</v>
      </c>
      <c r="AO293" s="457">
        <v>0</v>
      </c>
      <c r="AP293" s="457">
        <v>0</v>
      </c>
      <c r="AQ293" s="457">
        <v>0</v>
      </c>
      <c r="AR293" s="457">
        <v>0</v>
      </c>
      <c r="AS293" s="457">
        <v>0</v>
      </c>
      <c r="AT293" s="457">
        <v>0</v>
      </c>
      <c r="AU293" s="457">
        <v>0</v>
      </c>
      <c r="AV293" s="457">
        <v>0</v>
      </c>
      <c r="AW293" s="457">
        <v>0</v>
      </c>
      <c r="AX293" s="457">
        <v>0</v>
      </c>
      <c r="AY293" s="457">
        <v>0</v>
      </c>
      <c r="AZ293" s="457">
        <v>0</v>
      </c>
      <c r="BA293" s="457">
        <v>803480</v>
      </c>
      <c r="BB293" s="457">
        <v>678013</v>
      </c>
      <c r="BC293" s="457">
        <v>125467</v>
      </c>
      <c r="BD293" s="457">
        <v>535653</v>
      </c>
      <c r="BE293" s="457">
        <v>452009</v>
      </c>
      <c r="BF293" s="457">
        <v>83644</v>
      </c>
      <c r="BG293" s="457">
        <v>0</v>
      </c>
      <c r="BH293" s="457">
        <v>0</v>
      </c>
      <c r="BI293" s="457">
        <v>0</v>
      </c>
    </row>
    <row r="294" spans="1:61" ht="12.75" x14ac:dyDescent="0.2">
      <c r="A294" s="446">
        <v>287</v>
      </c>
      <c r="B294" s="447" t="s">
        <v>457</v>
      </c>
      <c r="C294" s="448" t="s">
        <v>1100</v>
      </c>
      <c r="D294" s="449" t="s">
        <v>1095</v>
      </c>
      <c r="E294" s="450" t="s">
        <v>456</v>
      </c>
      <c r="F294" s="457">
        <v>177431579</v>
      </c>
      <c r="G294" s="457">
        <v>0</v>
      </c>
      <c r="H294" s="457">
        <v>0</v>
      </c>
      <c r="I294" s="457">
        <v>177431579</v>
      </c>
      <c r="J294" s="457">
        <v>178060702</v>
      </c>
      <c r="K294" s="457">
        <v>0</v>
      </c>
      <c r="L294" s="457">
        <v>0</v>
      </c>
      <c r="M294" s="457">
        <v>178060702</v>
      </c>
      <c r="N294" s="457">
        <v>-629123</v>
      </c>
      <c r="O294" s="457">
        <v>0</v>
      </c>
      <c r="P294" s="457">
        <v>0</v>
      </c>
      <c r="Q294" s="457">
        <v>-629123</v>
      </c>
      <c r="R294" s="457">
        <v>25703</v>
      </c>
      <c r="S294" s="457">
        <v>0</v>
      </c>
      <c r="T294" s="457">
        <v>0</v>
      </c>
      <c r="U294" s="457">
        <v>25703</v>
      </c>
      <c r="V294" s="457">
        <v>-654826</v>
      </c>
      <c r="W294" s="457">
        <v>0</v>
      </c>
      <c r="X294" s="457">
        <v>0</v>
      </c>
      <c r="Y294" s="457">
        <v>-654826</v>
      </c>
      <c r="Z294" s="457">
        <v>452163</v>
      </c>
      <c r="AA294" s="457">
        <v>452163</v>
      </c>
      <c r="AB294" s="457">
        <v>0</v>
      </c>
      <c r="AC294" s="457">
        <v>0</v>
      </c>
      <c r="AD294" s="457">
        <v>0</v>
      </c>
      <c r="AE294" s="457">
        <v>0</v>
      </c>
      <c r="AF294" s="457">
        <v>0</v>
      </c>
      <c r="AG294" s="457">
        <v>0</v>
      </c>
      <c r="AH294" s="457">
        <v>0</v>
      </c>
      <c r="AI294" s="457">
        <v>73476</v>
      </c>
      <c r="AJ294" s="457">
        <v>0</v>
      </c>
      <c r="AK294" s="457">
        <v>73476</v>
      </c>
      <c r="AL294" s="457">
        <v>0</v>
      </c>
      <c r="AM294" s="457">
        <v>0</v>
      </c>
      <c r="AN294" s="457">
        <v>0</v>
      </c>
      <c r="AO294" s="457">
        <v>0</v>
      </c>
      <c r="AP294" s="457">
        <v>0</v>
      </c>
      <c r="AQ294" s="457">
        <v>0</v>
      </c>
      <c r="AR294" s="457">
        <v>0</v>
      </c>
      <c r="AS294" s="457">
        <v>0</v>
      </c>
      <c r="AT294" s="457">
        <v>0</v>
      </c>
      <c r="AU294" s="457">
        <v>0</v>
      </c>
      <c r="AV294" s="457">
        <v>0</v>
      </c>
      <c r="AW294" s="457">
        <v>0</v>
      </c>
      <c r="AX294" s="457">
        <v>0</v>
      </c>
      <c r="AY294" s="457">
        <v>0</v>
      </c>
      <c r="AZ294" s="457">
        <v>0</v>
      </c>
      <c r="BA294" s="457">
        <v>938813</v>
      </c>
      <c r="BB294" s="457">
        <v>780411</v>
      </c>
      <c r="BC294" s="457">
        <v>158402</v>
      </c>
      <c r="BD294" s="457">
        <v>0</v>
      </c>
      <c r="BE294" s="457">
        <v>0</v>
      </c>
      <c r="BF294" s="457">
        <v>0</v>
      </c>
      <c r="BG294" s="457">
        <v>19159</v>
      </c>
      <c r="BH294" s="457">
        <v>15927</v>
      </c>
      <c r="BI294" s="457">
        <v>3232</v>
      </c>
    </row>
    <row r="295" spans="1:61" ht="12.75" x14ac:dyDescent="0.2">
      <c r="A295" s="446">
        <v>288</v>
      </c>
      <c r="B295" s="447" t="s">
        <v>459</v>
      </c>
      <c r="C295" s="448" t="s">
        <v>1093</v>
      </c>
      <c r="D295" s="449" t="s">
        <v>1094</v>
      </c>
      <c r="E295" s="450" t="s">
        <v>458</v>
      </c>
      <c r="F295" s="457">
        <v>47838235</v>
      </c>
      <c r="G295" s="457">
        <v>0</v>
      </c>
      <c r="H295" s="457">
        <v>0</v>
      </c>
      <c r="I295" s="457">
        <v>47838235</v>
      </c>
      <c r="J295" s="457">
        <v>48178733</v>
      </c>
      <c r="K295" s="457">
        <v>0</v>
      </c>
      <c r="L295" s="457">
        <v>0</v>
      </c>
      <c r="M295" s="457">
        <v>48178733</v>
      </c>
      <c r="N295" s="457">
        <v>-340498</v>
      </c>
      <c r="O295" s="457">
        <v>0</v>
      </c>
      <c r="P295" s="457">
        <v>0</v>
      </c>
      <c r="Q295" s="457">
        <v>-340498</v>
      </c>
      <c r="R295" s="457">
        <v>136834</v>
      </c>
      <c r="S295" s="457">
        <v>0</v>
      </c>
      <c r="T295" s="457">
        <v>0</v>
      </c>
      <c r="U295" s="457">
        <v>136834</v>
      </c>
      <c r="V295" s="457">
        <v>-477332</v>
      </c>
      <c r="W295" s="457">
        <v>0</v>
      </c>
      <c r="X295" s="457">
        <v>0</v>
      </c>
      <c r="Y295" s="457">
        <v>-477332</v>
      </c>
      <c r="Z295" s="457">
        <v>181431</v>
      </c>
      <c r="AA295" s="457">
        <v>181431</v>
      </c>
      <c r="AB295" s="457">
        <v>0</v>
      </c>
      <c r="AC295" s="457">
        <v>0</v>
      </c>
      <c r="AD295" s="457">
        <v>0</v>
      </c>
      <c r="AE295" s="457">
        <v>0</v>
      </c>
      <c r="AF295" s="457">
        <v>0</v>
      </c>
      <c r="AG295" s="457">
        <v>0</v>
      </c>
      <c r="AH295" s="457">
        <v>0</v>
      </c>
      <c r="AI295" s="457">
        <v>0</v>
      </c>
      <c r="AJ295" s="457">
        <v>0</v>
      </c>
      <c r="AK295" s="457">
        <v>0</v>
      </c>
      <c r="AL295" s="457">
        <v>0</v>
      </c>
      <c r="AM295" s="457">
        <v>0</v>
      </c>
      <c r="AN295" s="457">
        <v>0</v>
      </c>
      <c r="AO295" s="457">
        <v>0</v>
      </c>
      <c r="AP295" s="457">
        <v>0</v>
      </c>
      <c r="AQ295" s="457">
        <v>0</v>
      </c>
      <c r="AR295" s="457">
        <v>0</v>
      </c>
      <c r="AS295" s="457">
        <v>0</v>
      </c>
      <c r="AT295" s="457">
        <v>0</v>
      </c>
      <c r="AU295" s="457">
        <v>0</v>
      </c>
      <c r="AV295" s="457">
        <v>0</v>
      </c>
      <c r="AW295" s="457">
        <v>0</v>
      </c>
      <c r="AX295" s="457">
        <v>0</v>
      </c>
      <c r="AY295" s="457">
        <v>0</v>
      </c>
      <c r="AZ295" s="457">
        <v>0</v>
      </c>
      <c r="BA295" s="457">
        <v>415888</v>
      </c>
      <c r="BB295" s="457">
        <v>342700</v>
      </c>
      <c r="BC295" s="457">
        <v>73188</v>
      </c>
      <c r="BD295" s="457">
        <v>93575</v>
      </c>
      <c r="BE295" s="457">
        <v>77108</v>
      </c>
      <c r="BF295" s="457">
        <v>16467</v>
      </c>
      <c r="BG295" s="457">
        <v>10397</v>
      </c>
      <c r="BH295" s="457">
        <v>8568</v>
      </c>
      <c r="BI295" s="457">
        <v>1829</v>
      </c>
    </row>
    <row r="296" spans="1:61" ht="12.75" x14ac:dyDescent="0.2">
      <c r="A296" s="446">
        <v>289</v>
      </c>
      <c r="B296" s="447" t="s">
        <v>461</v>
      </c>
      <c r="C296" s="448" t="s">
        <v>1093</v>
      </c>
      <c r="D296" s="449" t="s">
        <v>1097</v>
      </c>
      <c r="E296" s="450" t="s">
        <v>460</v>
      </c>
      <c r="F296" s="457">
        <v>40904182</v>
      </c>
      <c r="G296" s="457">
        <v>0</v>
      </c>
      <c r="H296" s="457">
        <v>0</v>
      </c>
      <c r="I296" s="457">
        <v>40904182</v>
      </c>
      <c r="J296" s="457">
        <v>41214130</v>
      </c>
      <c r="K296" s="457">
        <v>0</v>
      </c>
      <c r="L296" s="457">
        <v>0</v>
      </c>
      <c r="M296" s="457">
        <v>41214130</v>
      </c>
      <c r="N296" s="457">
        <v>-309948</v>
      </c>
      <c r="O296" s="457">
        <v>0</v>
      </c>
      <c r="P296" s="457">
        <v>0</v>
      </c>
      <c r="Q296" s="457">
        <v>-309948</v>
      </c>
      <c r="R296" s="457">
        <v>163450</v>
      </c>
      <c r="S296" s="457">
        <v>0</v>
      </c>
      <c r="T296" s="457">
        <v>0</v>
      </c>
      <c r="U296" s="457">
        <v>163450</v>
      </c>
      <c r="V296" s="457">
        <v>-473398</v>
      </c>
      <c r="W296" s="457">
        <v>0</v>
      </c>
      <c r="X296" s="457">
        <v>0</v>
      </c>
      <c r="Y296" s="457">
        <v>-473398</v>
      </c>
      <c r="Z296" s="457">
        <v>138241</v>
      </c>
      <c r="AA296" s="457">
        <v>138241</v>
      </c>
      <c r="AB296" s="457">
        <v>0</v>
      </c>
      <c r="AC296" s="457">
        <v>0</v>
      </c>
      <c r="AD296" s="457">
        <v>0</v>
      </c>
      <c r="AE296" s="457">
        <v>0</v>
      </c>
      <c r="AF296" s="457">
        <v>0</v>
      </c>
      <c r="AG296" s="457">
        <v>0</v>
      </c>
      <c r="AH296" s="457">
        <v>0</v>
      </c>
      <c r="AI296" s="457">
        <v>0</v>
      </c>
      <c r="AJ296" s="457">
        <v>0</v>
      </c>
      <c r="AK296" s="457">
        <v>0</v>
      </c>
      <c r="AL296" s="457">
        <v>0</v>
      </c>
      <c r="AM296" s="457">
        <v>0</v>
      </c>
      <c r="AN296" s="457">
        <v>0</v>
      </c>
      <c r="AO296" s="457">
        <v>0</v>
      </c>
      <c r="AP296" s="457">
        <v>0</v>
      </c>
      <c r="AQ296" s="457">
        <v>0</v>
      </c>
      <c r="AR296" s="457">
        <v>0</v>
      </c>
      <c r="AS296" s="457">
        <v>0</v>
      </c>
      <c r="AT296" s="457">
        <v>0</v>
      </c>
      <c r="AU296" s="457">
        <v>0</v>
      </c>
      <c r="AV296" s="457">
        <v>0</v>
      </c>
      <c r="AW296" s="457">
        <v>0</v>
      </c>
      <c r="AX296" s="457">
        <v>0</v>
      </c>
      <c r="AY296" s="457">
        <v>0</v>
      </c>
      <c r="AZ296" s="457">
        <v>0</v>
      </c>
      <c r="BA296" s="457">
        <v>324722</v>
      </c>
      <c r="BB296" s="457">
        <v>281267</v>
      </c>
      <c r="BC296" s="457">
        <v>43455</v>
      </c>
      <c r="BD296" s="457">
        <v>73062</v>
      </c>
      <c r="BE296" s="457">
        <v>63285</v>
      </c>
      <c r="BF296" s="457">
        <v>9777</v>
      </c>
      <c r="BG296" s="457">
        <v>8118</v>
      </c>
      <c r="BH296" s="457">
        <v>7032</v>
      </c>
      <c r="BI296" s="457">
        <v>1086</v>
      </c>
    </row>
    <row r="297" spans="1:61" ht="12.75" x14ac:dyDescent="0.2">
      <c r="A297" s="446">
        <v>290</v>
      </c>
      <c r="B297" s="447" t="s">
        <v>463</v>
      </c>
      <c r="C297" s="448" t="s">
        <v>1093</v>
      </c>
      <c r="D297" s="449" t="s">
        <v>1094</v>
      </c>
      <c r="E297" s="450" t="s">
        <v>462</v>
      </c>
      <c r="F297" s="457">
        <v>51538413</v>
      </c>
      <c r="G297" s="457">
        <v>0</v>
      </c>
      <c r="H297" s="457">
        <v>1022749</v>
      </c>
      <c r="I297" s="457">
        <v>52561162</v>
      </c>
      <c r="J297" s="457">
        <v>50110974</v>
      </c>
      <c r="K297" s="457">
        <v>0</v>
      </c>
      <c r="L297" s="457">
        <v>1026065</v>
      </c>
      <c r="M297" s="457">
        <v>51137039</v>
      </c>
      <c r="N297" s="457">
        <v>1427439</v>
      </c>
      <c r="O297" s="457">
        <v>0</v>
      </c>
      <c r="P297" s="457">
        <v>-3316</v>
      </c>
      <c r="Q297" s="457">
        <v>1424123</v>
      </c>
      <c r="R297" s="457">
        <v>1963614</v>
      </c>
      <c r="S297" s="457">
        <v>0</v>
      </c>
      <c r="T297" s="457">
        <v>-3316</v>
      </c>
      <c r="U297" s="457">
        <v>1960298</v>
      </c>
      <c r="V297" s="457">
        <v>-536175</v>
      </c>
      <c r="W297" s="457">
        <v>0</v>
      </c>
      <c r="X297" s="457">
        <v>0</v>
      </c>
      <c r="Y297" s="457">
        <v>-536175</v>
      </c>
      <c r="Z297" s="457">
        <v>189424</v>
      </c>
      <c r="AA297" s="457">
        <v>189424</v>
      </c>
      <c r="AB297" s="457">
        <v>0</v>
      </c>
      <c r="AC297" s="457">
        <v>0</v>
      </c>
      <c r="AD297" s="457">
        <v>431046</v>
      </c>
      <c r="AE297" s="457">
        <v>-431046</v>
      </c>
      <c r="AF297" s="457">
        <v>0</v>
      </c>
      <c r="AG297" s="457">
        <v>0</v>
      </c>
      <c r="AH297" s="457">
        <v>0</v>
      </c>
      <c r="AI297" s="457">
        <v>0</v>
      </c>
      <c r="AJ297" s="457">
        <v>0</v>
      </c>
      <c r="AK297" s="457">
        <v>0</v>
      </c>
      <c r="AL297" s="457">
        <v>0</v>
      </c>
      <c r="AM297" s="457">
        <v>0</v>
      </c>
      <c r="AN297" s="457">
        <v>0</v>
      </c>
      <c r="AO297" s="457">
        <v>268150</v>
      </c>
      <c r="AP297" s="457">
        <v>1189000</v>
      </c>
      <c r="AQ297" s="457">
        <v>-920850</v>
      </c>
      <c r="AR297" s="457">
        <v>268150</v>
      </c>
      <c r="AS297" s="457">
        <v>1189000</v>
      </c>
      <c r="AT297" s="457">
        <v>-920850</v>
      </c>
      <c r="AU297" s="457">
        <v>0</v>
      </c>
      <c r="AV297" s="457">
        <v>0</v>
      </c>
      <c r="AW297" s="457">
        <v>0</v>
      </c>
      <c r="AX297" s="457">
        <v>0</v>
      </c>
      <c r="AY297" s="457">
        <v>0</v>
      </c>
      <c r="AZ297" s="457">
        <v>0</v>
      </c>
      <c r="BA297" s="457">
        <v>324972</v>
      </c>
      <c r="BB297" s="457">
        <v>261717</v>
      </c>
      <c r="BC297" s="457">
        <v>63255</v>
      </c>
      <c r="BD297" s="457">
        <v>76962</v>
      </c>
      <c r="BE297" s="457">
        <v>65429</v>
      </c>
      <c r="BF297" s="457">
        <v>11533</v>
      </c>
      <c r="BG297" s="457">
        <v>0</v>
      </c>
      <c r="BH297" s="457">
        <v>0</v>
      </c>
      <c r="BI297" s="457">
        <v>0</v>
      </c>
    </row>
    <row r="298" spans="1:61" ht="12.75" x14ac:dyDescent="0.2">
      <c r="A298" s="446">
        <v>291</v>
      </c>
      <c r="B298" s="447" t="s">
        <v>465</v>
      </c>
      <c r="C298" s="448" t="s">
        <v>1100</v>
      </c>
      <c r="D298" s="449" t="s">
        <v>1101</v>
      </c>
      <c r="E298" s="450" t="s">
        <v>464</v>
      </c>
      <c r="F298" s="457">
        <v>113621212</v>
      </c>
      <c r="G298" s="457">
        <v>0</v>
      </c>
      <c r="H298" s="457">
        <v>0</v>
      </c>
      <c r="I298" s="457">
        <v>113621212</v>
      </c>
      <c r="J298" s="457">
        <v>113817771</v>
      </c>
      <c r="K298" s="457">
        <v>0</v>
      </c>
      <c r="L298" s="457">
        <v>0</v>
      </c>
      <c r="M298" s="457">
        <v>113817771</v>
      </c>
      <c r="N298" s="457">
        <v>-196559</v>
      </c>
      <c r="O298" s="457">
        <v>0</v>
      </c>
      <c r="P298" s="457">
        <v>0</v>
      </c>
      <c r="Q298" s="457">
        <v>-196559</v>
      </c>
      <c r="R298" s="457">
        <v>399405</v>
      </c>
      <c r="S298" s="457">
        <v>0</v>
      </c>
      <c r="T298" s="457">
        <v>0</v>
      </c>
      <c r="U298" s="457">
        <v>399405</v>
      </c>
      <c r="V298" s="457">
        <v>-595964</v>
      </c>
      <c r="W298" s="457">
        <v>0</v>
      </c>
      <c r="X298" s="457">
        <v>0</v>
      </c>
      <c r="Y298" s="457">
        <v>-595964</v>
      </c>
      <c r="Z298" s="457">
        <v>457961</v>
      </c>
      <c r="AA298" s="457">
        <v>457961</v>
      </c>
      <c r="AB298" s="457">
        <v>0</v>
      </c>
      <c r="AC298" s="457">
        <v>0</v>
      </c>
      <c r="AD298" s="457">
        <v>0</v>
      </c>
      <c r="AE298" s="457">
        <v>0</v>
      </c>
      <c r="AF298" s="457">
        <v>0</v>
      </c>
      <c r="AG298" s="457">
        <v>0</v>
      </c>
      <c r="AH298" s="457">
        <v>0</v>
      </c>
      <c r="AI298" s="457">
        <v>0</v>
      </c>
      <c r="AJ298" s="457">
        <v>0</v>
      </c>
      <c r="AK298" s="457">
        <v>0</v>
      </c>
      <c r="AL298" s="457">
        <v>0</v>
      </c>
      <c r="AM298" s="457">
        <v>0</v>
      </c>
      <c r="AN298" s="457">
        <v>0</v>
      </c>
      <c r="AO298" s="457">
        <v>0</v>
      </c>
      <c r="AP298" s="457">
        <v>0</v>
      </c>
      <c r="AQ298" s="457">
        <v>0</v>
      </c>
      <c r="AR298" s="457">
        <v>0</v>
      </c>
      <c r="AS298" s="457">
        <v>0</v>
      </c>
      <c r="AT298" s="457">
        <v>0</v>
      </c>
      <c r="AU298" s="457">
        <v>0</v>
      </c>
      <c r="AV298" s="457">
        <v>0</v>
      </c>
      <c r="AW298" s="457">
        <v>0</v>
      </c>
      <c r="AX298" s="457">
        <v>0</v>
      </c>
      <c r="AY298" s="457">
        <v>0</v>
      </c>
      <c r="AZ298" s="457">
        <v>0</v>
      </c>
      <c r="BA298" s="457">
        <v>1695375</v>
      </c>
      <c r="BB298" s="457">
        <v>1456331</v>
      </c>
      <c r="BC298" s="457">
        <v>239044</v>
      </c>
      <c r="BD298" s="457">
        <v>0</v>
      </c>
      <c r="BE298" s="457">
        <v>0</v>
      </c>
      <c r="BF298" s="457">
        <v>0</v>
      </c>
      <c r="BG298" s="457">
        <v>34599</v>
      </c>
      <c r="BH298" s="457">
        <v>29721</v>
      </c>
      <c r="BI298" s="457">
        <v>4878</v>
      </c>
    </row>
    <row r="299" spans="1:61" ht="12.75" x14ac:dyDescent="0.2">
      <c r="A299" s="446">
        <v>292</v>
      </c>
      <c r="B299" s="447" t="s">
        <v>467</v>
      </c>
      <c r="C299" s="448" t="s">
        <v>1100</v>
      </c>
      <c r="D299" s="449" t="s">
        <v>1103</v>
      </c>
      <c r="E299" s="450" t="s">
        <v>466</v>
      </c>
      <c r="F299" s="457">
        <v>69352594</v>
      </c>
      <c r="G299" s="457">
        <v>0</v>
      </c>
      <c r="H299" s="457">
        <v>199910</v>
      </c>
      <c r="I299" s="457">
        <v>69552504</v>
      </c>
      <c r="J299" s="457">
        <v>69521050</v>
      </c>
      <c r="K299" s="457">
        <v>0</v>
      </c>
      <c r="L299" s="457">
        <v>199910</v>
      </c>
      <c r="M299" s="457">
        <v>69720960</v>
      </c>
      <c r="N299" s="457">
        <v>-168456</v>
      </c>
      <c r="O299" s="457">
        <v>0</v>
      </c>
      <c r="P299" s="457">
        <v>0</v>
      </c>
      <c r="Q299" s="457">
        <v>-168456</v>
      </c>
      <c r="R299" s="457">
        <v>203507</v>
      </c>
      <c r="S299" s="457">
        <v>0</v>
      </c>
      <c r="T299" s="457">
        <v>0</v>
      </c>
      <c r="U299" s="457">
        <v>203507</v>
      </c>
      <c r="V299" s="457">
        <v>-371963</v>
      </c>
      <c r="W299" s="457">
        <v>0</v>
      </c>
      <c r="X299" s="457">
        <v>0</v>
      </c>
      <c r="Y299" s="457">
        <v>-371963</v>
      </c>
      <c r="Z299" s="457">
        <v>344295</v>
      </c>
      <c r="AA299" s="457">
        <v>344295</v>
      </c>
      <c r="AB299" s="457">
        <v>0</v>
      </c>
      <c r="AC299" s="457">
        <v>30666</v>
      </c>
      <c r="AD299" s="457">
        <v>0</v>
      </c>
      <c r="AE299" s="457">
        <v>30666</v>
      </c>
      <c r="AF299" s="457">
        <v>0</v>
      </c>
      <c r="AG299" s="457">
        <v>0</v>
      </c>
      <c r="AH299" s="457">
        <v>0</v>
      </c>
      <c r="AI299" s="457">
        <v>0</v>
      </c>
      <c r="AJ299" s="457">
        <v>0</v>
      </c>
      <c r="AK299" s="457">
        <v>0</v>
      </c>
      <c r="AL299" s="457">
        <v>0</v>
      </c>
      <c r="AM299" s="457">
        <v>0</v>
      </c>
      <c r="AN299" s="457">
        <v>0</v>
      </c>
      <c r="AO299" s="457">
        <v>0</v>
      </c>
      <c r="AP299" s="457">
        <v>128476</v>
      </c>
      <c r="AQ299" s="457">
        <v>-128476</v>
      </c>
      <c r="AR299" s="457">
        <v>0</v>
      </c>
      <c r="AS299" s="457">
        <v>0</v>
      </c>
      <c r="AT299" s="457">
        <v>0</v>
      </c>
      <c r="AU299" s="457">
        <v>0</v>
      </c>
      <c r="AV299" s="457">
        <v>0</v>
      </c>
      <c r="AW299" s="457">
        <v>0</v>
      </c>
      <c r="AX299" s="457">
        <v>0</v>
      </c>
      <c r="AY299" s="457">
        <v>0</v>
      </c>
      <c r="AZ299" s="457">
        <v>0</v>
      </c>
      <c r="BA299" s="457">
        <v>1267169</v>
      </c>
      <c r="BB299" s="457">
        <v>1058350</v>
      </c>
      <c r="BC299" s="457">
        <v>208819</v>
      </c>
      <c r="BD299" s="457">
        <v>0</v>
      </c>
      <c r="BE299" s="457">
        <v>0</v>
      </c>
      <c r="BF299" s="457">
        <v>0</v>
      </c>
      <c r="BG299" s="457">
        <v>25852</v>
      </c>
      <c r="BH299" s="457">
        <v>21599</v>
      </c>
      <c r="BI299" s="457">
        <v>4253</v>
      </c>
    </row>
    <row r="300" spans="1:61" ht="12.75" x14ac:dyDescent="0.2">
      <c r="A300" s="446">
        <v>293</v>
      </c>
      <c r="B300" s="447" t="s">
        <v>469</v>
      </c>
      <c r="C300" s="448" t="s">
        <v>1098</v>
      </c>
      <c r="D300" s="449" t="s">
        <v>1099</v>
      </c>
      <c r="E300" s="450" t="s">
        <v>468</v>
      </c>
      <c r="F300" s="457">
        <v>58125702</v>
      </c>
      <c r="G300" s="457">
        <v>0</v>
      </c>
      <c r="H300" s="457">
        <v>0</v>
      </c>
      <c r="I300" s="457">
        <v>58125702</v>
      </c>
      <c r="J300" s="457">
        <v>57786871</v>
      </c>
      <c r="K300" s="457">
        <v>0</v>
      </c>
      <c r="L300" s="457">
        <v>0</v>
      </c>
      <c r="M300" s="457">
        <v>57786871</v>
      </c>
      <c r="N300" s="457">
        <v>338831</v>
      </c>
      <c r="O300" s="457">
        <v>0</v>
      </c>
      <c r="P300" s="457">
        <v>0</v>
      </c>
      <c r="Q300" s="457">
        <v>338831</v>
      </c>
      <c r="R300" s="457">
        <v>442293</v>
      </c>
      <c r="S300" s="457">
        <v>0</v>
      </c>
      <c r="T300" s="457">
        <v>0</v>
      </c>
      <c r="U300" s="457">
        <v>442293</v>
      </c>
      <c r="V300" s="457">
        <v>-103462</v>
      </c>
      <c r="W300" s="457">
        <v>0</v>
      </c>
      <c r="X300" s="457">
        <v>0</v>
      </c>
      <c r="Y300" s="457">
        <v>-103462</v>
      </c>
      <c r="Z300" s="457">
        <v>292541</v>
      </c>
      <c r="AA300" s="457">
        <v>292541</v>
      </c>
      <c r="AB300" s="457">
        <v>0</v>
      </c>
      <c r="AC300" s="457">
        <v>0</v>
      </c>
      <c r="AD300" s="457">
        <v>0</v>
      </c>
      <c r="AE300" s="457">
        <v>0</v>
      </c>
      <c r="AF300" s="457">
        <v>0</v>
      </c>
      <c r="AG300" s="457">
        <v>0</v>
      </c>
      <c r="AH300" s="457">
        <v>0</v>
      </c>
      <c r="AI300" s="457">
        <v>0</v>
      </c>
      <c r="AJ300" s="457">
        <v>0</v>
      </c>
      <c r="AK300" s="457">
        <v>0</v>
      </c>
      <c r="AL300" s="457">
        <v>0</v>
      </c>
      <c r="AM300" s="457">
        <v>0</v>
      </c>
      <c r="AN300" s="457">
        <v>0</v>
      </c>
      <c r="AO300" s="457">
        <v>0</v>
      </c>
      <c r="AP300" s="457">
        <v>0</v>
      </c>
      <c r="AQ300" s="457">
        <v>0</v>
      </c>
      <c r="AR300" s="457">
        <v>0</v>
      </c>
      <c r="AS300" s="457">
        <v>0</v>
      </c>
      <c r="AT300" s="457">
        <v>0</v>
      </c>
      <c r="AU300" s="457">
        <v>0</v>
      </c>
      <c r="AV300" s="457">
        <v>0</v>
      </c>
      <c r="AW300" s="457">
        <v>0</v>
      </c>
      <c r="AX300" s="457">
        <v>0</v>
      </c>
      <c r="AY300" s="457">
        <v>0</v>
      </c>
      <c r="AZ300" s="457">
        <v>0</v>
      </c>
      <c r="BA300" s="457">
        <v>760636</v>
      </c>
      <c r="BB300" s="457">
        <v>662793</v>
      </c>
      <c r="BC300" s="457">
        <v>97843</v>
      </c>
      <c r="BD300" s="457">
        <v>507090</v>
      </c>
      <c r="BE300" s="457">
        <v>441862</v>
      </c>
      <c r="BF300" s="457">
        <v>65228</v>
      </c>
      <c r="BG300" s="457">
        <v>0</v>
      </c>
      <c r="BH300" s="457">
        <v>0</v>
      </c>
      <c r="BI300" s="457">
        <v>0</v>
      </c>
    </row>
    <row r="301" spans="1:61" ht="12.75" x14ac:dyDescent="0.2">
      <c r="A301" s="446">
        <v>294</v>
      </c>
      <c r="B301" s="447" t="s">
        <v>471</v>
      </c>
      <c r="C301" s="448" t="s">
        <v>1104</v>
      </c>
      <c r="D301" s="449" t="s">
        <v>1099</v>
      </c>
      <c r="E301" s="450" t="s">
        <v>470</v>
      </c>
      <c r="F301" s="457">
        <v>102862285</v>
      </c>
      <c r="G301" s="457">
        <v>0</v>
      </c>
      <c r="H301" s="457">
        <v>0</v>
      </c>
      <c r="I301" s="457">
        <v>102862285</v>
      </c>
      <c r="J301" s="457">
        <v>103055665</v>
      </c>
      <c r="K301" s="457">
        <v>0</v>
      </c>
      <c r="L301" s="457">
        <v>0</v>
      </c>
      <c r="M301" s="457">
        <v>103055665</v>
      </c>
      <c r="N301" s="457">
        <v>-193380</v>
      </c>
      <c r="O301" s="457">
        <v>0</v>
      </c>
      <c r="P301" s="457">
        <v>0</v>
      </c>
      <c r="Q301" s="457">
        <v>-193380</v>
      </c>
      <c r="R301" s="457">
        <v>455159</v>
      </c>
      <c r="S301" s="457">
        <v>0</v>
      </c>
      <c r="T301" s="457">
        <v>0</v>
      </c>
      <c r="U301" s="457">
        <v>455159</v>
      </c>
      <c r="V301" s="457">
        <v>-648539</v>
      </c>
      <c r="W301" s="457">
        <v>0</v>
      </c>
      <c r="X301" s="457">
        <v>0</v>
      </c>
      <c r="Y301" s="457">
        <v>-648539</v>
      </c>
      <c r="Z301" s="457">
        <v>484461</v>
      </c>
      <c r="AA301" s="457">
        <v>484461</v>
      </c>
      <c r="AB301" s="457">
        <v>0</v>
      </c>
      <c r="AC301" s="457">
        <v>0</v>
      </c>
      <c r="AD301" s="457">
        <v>0</v>
      </c>
      <c r="AE301" s="457">
        <v>0</v>
      </c>
      <c r="AF301" s="457">
        <v>0</v>
      </c>
      <c r="AG301" s="457">
        <v>0</v>
      </c>
      <c r="AH301" s="457">
        <v>0</v>
      </c>
      <c r="AI301" s="457">
        <v>0</v>
      </c>
      <c r="AJ301" s="457">
        <v>0</v>
      </c>
      <c r="AK301" s="457">
        <v>0</v>
      </c>
      <c r="AL301" s="457">
        <v>0</v>
      </c>
      <c r="AM301" s="457">
        <v>0</v>
      </c>
      <c r="AN301" s="457">
        <v>0</v>
      </c>
      <c r="AO301" s="457">
        <v>0</v>
      </c>
      <c r="AP301" s="457">
        <v>0</v>
      </c>
      <c r="AQ301" s="457">
        <v>0</v>
      </c>
      <c r="AR301" s="457">
        <v>0</v>
      </c>
      <c r="AS301" s="457">
        <v>0</v>
      </c>
      <c r="AT301" s="457">
        <v>0</v>
      </c>
      <c r="AU301" s="457">
        <v>0</v>
      </c>
      <c r="AV301" s="457">
        <v>0</v>
      </c>
      <c r="AW301" s="457">
        <v>0</v>
      </c>
      <c r="AX301" s="457">
        <v>0</v>
      </c>
      <c r="AY301" s="457">
        <v>0</v>
      </c>
      <c r="AZ301" s="457">
        <v>0</v>
      </c>
      <c r="BA301" s="457">
        <v>529747</v>
      </c>
      <c r="BB301" s="457">
        <v>449921</v>
      </c>
      <c r="BC301" s="457">
        <v>79826</v>
      </c>
      <c r="BD301" s="457">
        <v>353165</v>
      </c>
      <c r="BE301" s="457">
        <v>299948</v>
      </c>
      <c r="BF301" s="457">
        <v>53217</v>
      </c>
      <c r="BG301" s="457">
        <v>0</v>
      </c>
      <c r="BH301" s="457">
        <v>0</v>
      </c>
      <c r="BI301" s="457">
        <v>0</v>
      </c>
    </row>
    <row r="302" spans="1:61" ht="12.75" x14ac:dyDescent="0.2">
      <c r="A302" s="446">
        <v>295</v>
      </c>
      <c r="B302" s="447" t="s">
        <v>473</v>
      </c>
      <c r="C302" s="448" t="s">
        <v>794</v>
      </c>
      <c r="D302" s="449" t="s">
        <v>1095</v>
      </c>
      <c r="E302" s="450" t="s">
        <v>754</v>
      </c>
      <c r="F302" s="457">
        <v>104501170</v>
      </c>
      <c r="G302" s="457">
        <v>0</v>
      </c>
      <c r="H302" s="457">
        <v>0</v>
      </c>
      <c r="I302" s="457">
        <v>104501170</v>
      </c>
      <c r="J302" s="457">
        <v>105819326</v>
      </c>
      <c r="K302" s="457">
        <v>0</v>
      </c>
      <c r="L302" s="457">
        <v>0</v>
      </c>
      <c r="M302" s="457">
        <v>105819326</v>
      </c>
      <c r="N302" s="457">
        <v>-1318156</v>
      </c>
      <c r="O302" s="457">
        <v>0</v>
      </c>
      <c r="P302" s="457">
        <v>0</v>
      </c>
      <c r="Q302" s="457">
        <v>-1318156</v>
      </c>
      <c r="R302" s="457">
        <v>-895924</v>
      </c>
      <c r="S302" s="457">
        <v>0</v>
      </c>
      <c r="T302" s="457">
        <v>0</v>
      </c>
      <c r="U302" s="457">
        <v>-895924</v>
      </c>
      <c r="V302" s="457">
        <v>-422232</v>
      </c>
      <c r="W302" s="457">
        <v>0</v>
      </c>
      <c r="X302" s="457">
        <v>0</v>
      </c>
      <c r="Y302" s="457">
        <v>-422232</v>
      </c>
      <c r="Z302" s="457">
        <v>308145</v>
      </c>
      <c r="AA302" s="457">
        <v>308145</v>
      </c>
      <c r="AB302" s="457">
        <v>0</v>
      </c>
      <c r="AC302" s="457">
        <v>0</v>
      </c>
      <c r="AD302" s="457">
        <v>0</v>
      </c>
      <c r="AE302" s="457">
        <v>0</v>
      </c>
      <c r="AF302" s="457">
        <v>0</v>
      </c>
      <c r="AG302" s="457">
        <v>0</v>
      </c>
      <c r="AH302" s="457">
        <v>0</v>
      </c>
      <c r="AI302" s="457">
        <v>0</v>
      </c>
      <c r="AJ302" s="457">
        <v>0</v>
      </c>
      <c r="AK302" s="457">
        <v>0</v>
      </c>
      <c r="AL302" s="457">
        <v>0</v>
      </c>
      <c r="AM302" s="457">
        <v>0</v>
      </c>
      <c r="AN302" s="457">
        <v>0</v>
      </c>
      <c r="AO302" s="457">
        <v>0</v>
      </c>
      <c r="AP302" s="457">
        <v>0</v>
      </c>
      <c r="AQ302" s="457">
        <v>0</v>
      </c>
      <c r="AR302" s="457">
        <v>0</v>
      </c>
      <c r="AS302" s="457">
        <v>0</v>
      </c>
      <c r="AT302" s="457">
        <v>0</v>
      </c>
      <c r="AU302" s="457">
        <v>0</v>
      </c>
      <c r="AV302" s="457">
        <v>0</v>
      </c>
      <c r="AW302" s="457">
        <v>0</v>
      </c>
      <c r="AX302" s="457">
        <v>0</v>
      </c>
      <c r="AY302" s="457">
        <v>0</v>
      </c>
      <c r="AZ302" s="457">
        <v>0</v>
      </c>
      <c r="BA302" s="457">
        <v>667673</v>
      </c>
      <c r="BB302" s="457">
        <v>534532</v>
      </c>
      <c r="BC302" s="457">
        <v>133141</v>
      </c>
      <c r="BD302" s="457">
        <v>0</v>
      </c>
      <c r="BE302" s="457">
        <v>0</v>
      </c>
      <c r="BF302" s="457">
        <v>0</v>
      </c>
      <c r="BG302" s="457">
        <v>13626</v>
      </c>
      <c r="BH302" s="457">
        <v>10909</v>
      </c>
      <c r="BI302" s="457">
        <v>2717</v>
      </c>
    </row>
    <row r="303" spans="1:61" ht="12.75" x14ac:dyDescent="0.2">
      <c r="A303" s="446">
        <v>296</v>
      </c>
      <c r="B303" s="447" t="s">
        <v>475</v>
      </c>
      <c r="C303" s="448" t="s">
        <v>1093</v>
      </c>
      <c r="D303" s="449" t="s">
        <v>1103</v>
      </c>
      <c r="E303" s="450" t="s">
        <v>474</v>
      </c>
      <c r="F303" s="457">
        <v>10041</v>
      </c>
      <c r="G303" s="457">
        <v>0</v>
      </c>
      <c r="H303" s="457">
        <v>0</v>
      </c>
      <c r="I303" s="457">
        <v>10041</v>
      </c>
      <c r="J303" s="457">
        <v>187961</v>
      </c>
      <c r="K303" s="457">
        <v>0</v>
      </c>
      <c r="L303" s="457">
        <v>0</v>
      </c>
      <c r="M303" s="457">
        <v>187961</v>
      </c>
      <c r="N303" s="457">
        <v>-177920</v>
      </c>
      <c r="O303" s="457">
        <v>0</v>
      </c>
      <c r="P303" s="457">
        <v>0</v>
      </c>
      <c r="Q303" s="457">
        <v>-177920</v>
      </c>
      <c r="R303" s="457">
        <v>48425</v>
      </c>
      <c r="S303" s="457">
        <v>0</v>
      </c>
      <c r="T303" s="457">
        <v>0</v>
      </c>
      <c r="U303" s="457">
        <v>48425</v>
      </c>
      <c r="V303" s="457">
        <v>-226345</v>
      </c>
      <c r="W303" s="457">
        <v>0</v>
      </c>
      <c r="X303" s="457">
        <v>0</v>
      </c>
      <c r="Y303" s="457">
        <v>-226345</v>
      </c>
      <c r="Z303" s="457">
        <v>212678</v>
      </c>
      <c r="AA303" s="457">
        <v>212678</v>
      </c>
      <c r="AB303" s="457">
        <v>0</v>
      </c>
      <c r="AC303" s="457">
        <v>0</v>
      </c>
      <c r="AD303" s="457">
        <v>0</v>
      </c>
      <c r="AE303" s="457">
        <v>0</v>
      </c>
      <c r="AF303" s="457">
        <v>0</v>
      </c>
      <c r="AG303" s="457">
        <v>0</v>
      </c>
      <c r="AH303" s="457">
        <v>0</v>
      </c>
      <c r="AI303" s="457">
        <v>0</v>
      </c>
      <c r="AJ303" s="457">
        <v>0</v>
      </c>
      <c r="AK303" s="457">
        <v>0</v>
      </c>
      <c r="AL303" s="457">
        <v>0</v>
      </c>
      <c r="AM303" s="457">
        <v>0</v>
      </c>
      <c r="AN303" s="457">
        <v>0</v>
      </c>
      <c r="AO303" s="457">
        <v>0</v>
      </c>
      <c r="AP303" s="457">
        <v>0</v>
      </c>
      <c r="AQ303" s="457">
        <v>0</v>
      </c>
      <c r="AR303" s="457">
        <v>0</v>
      </c>
      <c r="AS303" s="457">
        <v>0</v>
      </c>
      <c r="AT303" s="457">
        <v>0</v>
      </c>
      <c r="AU303" s="457">
        <v>0</v>
      </c>
      <c r="AV303" s="457">
        <v>0</v>
      </c>
      <c r="AW303" s="457">
        <v>0</v>
      </c>
      <c r="AX303" s="457">
        <v>0</v>
      </c>
      <c r="AY303" s="457">
        <v>0</v>
      </c>
      <c r="AZ303" s="457">
        <v>0</v>
      </c>
      <c r="BA303" s="457">
        <v>524984</v>
      </c>
      <c r="BB303" s="457">
        <v>454018</v>
      </c>
      <c r="BC303" s="457">
        <v>70966</v>
      </c>
      <c r="BD303" s="457">
        <v>131246</v>
      </c>
      <c r="BE303" s="457">
        <v>113505</v>
      </c>
      <c r="BF303" s="457">
        <v>17741</v>
      </c>
      <c r="BG303" s="457">
        <v>0</v>
      </c>
      <c r="BH303" s="457">
        <v>0</v>
      </c>
      <c r="BI303" s="457">
        <v>0</v>
      </c>
    </row>
    <row r="304" spans="1:61" ht="12.75" x14ac:dyDescent="0.2">
      <c r="A304" s="446">
        <v>297</v>
      </c>
      <c r="B304" s="447" t="s">
        <v>477</v>
      </c>
      <c r="C304" s="448" t="s">
        <v>1093</v>
      </c>
      <c r="D304" s="449" t="s">
        <v>1097</v>
      </c>
      <c r="E304" s="450" t="s">
        <v>476</v>
      </c>
      <c r="F304" s="457">
        <v>68483913</v>
      </c>
      <c r="G304" s="457">
        <v>0</v>
      </c>
      <c r="H304" s="457">
        <v>0</v>
      </c>
      <c r="I304" s="457">
        <v>68483913</v>
      </c>
      <c r="J304" s="457">
        <v>71938873</v>
      </c>
      <c r="K304" s="457">
        <v>0</v>
      </c>
      <c r="L304" s="457">
        <v>0</v>
      </c>
      <c r="M304" s="457">
        <v>71938873</v>
      </c>
      <c r="N304" s="457">
        <v>-3454960</v>
      </c>
      <c r="O304" s="457">
        <v>0</v>
      </c>
      <c r="P304" s="457">
        <v>0</v>
      </c>
      <c r="Q304" s="457">
        <v>-3454960</v>
      </c>
      <c r="R304" s="457">
        <v>-383305</v>
      </c>
      <c r="S304" s="457">
        <v>0</v>
      </c>
      <c r="T304" s="457">
        <v>0</v>
      </c>
      <c r="U304" s="457">
        <v>-383305</v>
      </c>
      <c r="V304" s="457">
        <v>-3071655</v>
      </c>
      <c r="W304" s="457">
        <v>0</v>
      </c>
      <c r="X304" s="457">
        <v>0</v>
      </c>
      <c r="Y304" s="457">
        <v>-3071655</v>
      </c>
      <c r="Z304" s="457">
        <v>205695</v>
      </c>
      <c r="AA304" s="457">
        <v>176395</v>
      </c>
      <c r="AB304" s="457">
        <v>29300</v>
      </c>
      <c r="AC304" s="457">
        <v>0</v>
      </c>
      <c r="AD304" s="457">
        <v>0</v>
      </c>
      <c r="AE304" s="457">
        <v>0</v>
      </c>
      <c r="AF304" s="457">
        <v>0</v>
      </c>
      <c r="AG304" s="457">
        <v>0</v>
      </c>
      <c r="AH304" s="457">
        <v>0</v>
      </c>
      <c r="AI304" s="457">
        <v>0</v>
      </c>
      <c r="AJ304" s="457">
        <v>0</v>
      </c>
      <c r="AK304" s="457">
        <v>0</v>
      </c>
      <c r="AL304" s="457">
        <v>0</v>
      </c>
      <c r="AM304" s="457">
        <v>0</v>
      </c>
      <c r="AN304" s="457">
        <v>0</v>
      </c>
      <c r="AO304" s="457">
        <v>0</v>
      </c>
      <c r="AP304" s="457">
        <v>0</v>
      </c>
      <c r="AQ304" s="457">
        <v>0</v>
      </c>
      <c r="AR304" s="457">
        <v>0</v>
      </c>
      <c r="AS304" s="457">
        <v>0</v>
      </c>
      <c r="AT304" s="457">
        <v>0</v>
      </c>
      <c r="AU304" s="457">
        <v>0</v>
      </c>
      <c r="AV304" s="457">
        <v>0</v>
      </c>
      <c r="AW304" s="457">
        <v>0</v>
      </c>
      <c r="AX304" s="457">
        <v>0</v>
      </c>
      <c r="AY304" s="457">
        <v>0</v>
      </c>
      <c r="AZ304" s="457">
        <v>0</v>
      </c>
      <c r="BA304" s="457">
        <v>251330</v>
      </c>
      <c r="BB304" s="457">
        <v>201951</v>
      </c>
      <c r="BC304" s="457">
        <v>49379</v>
      </c>
      <c r="BD304" s="457">
        <v>62833</v>
      </c>
      <c r="BE304" s="457">
        <v>50488</v>
      </c>
      <c r="BF304" s="457">
        <v>12345</v>
      </c>
      <c r="BG304" s="457">
        <v>0</v>
      </c>
      <c r="BH304" s="457">
        <v>0</v>
      </c>
      <c r="BI304" s="457">
        <v>0</v>
      </c>
    </row>
    <row r="305" spans="1:61" ht="12.75" x14ac:dyDescent="0.2">
      <c r="A305" s="446">
        <v>298</v>
      </c>
      <c r="B305" s="447" t="s">
        <v>479</v>
      </c>
      <c r="C305" s="448" t="s">
        <v>1093</v>
      </c>
      <c r="D305" s="449" t="s">
        <v>1097</v>
      </c>
      <c r="E305" s="450" t="s">
        <v>478</v>
      </c>
      <c r="F305" s="457">
        <v>27368105</v>
      </c>
      <c r="G305" s="457">
        <v>0</v>
      </c>
      <c r="H305" s="457">
        <v>0</v>
      </c>
      <c r="I305" s="457">
        <v>27368105</v>
      </c>
      <c r="J305" s="457">
        <v>27543716</v>
      </c>
      <c r="K305" s="457">
        <v>0</v>
      </c>
      <c r="L305" s="457">
        <v>0</v>
      </c>
      <c r="M305" s="457">
        <v>27543716</v>
      </c>
      <c r="N305" s="457">
        <v>-175611</v>
      </c>
      <c r="O305" s="457">
        <v>0</v>
      </c>
      <c r="P305" s="457">
        <v>0</v>
      </c>
      <c r="Q305" s="457">
        <v>-175611</v>
      </c>
      <c r="R305" s="457">
        <v>-93714</v>
      </c>
      <c r="S305" s="457">
        <v>0</v>
      </c>
      <c r="T305" s="457">
        <v>0</v>
      </c>
      <c r="U305" s="457">
        <v>-93714</v>
      </c>
      <c r="V305" s="457">
        <v>-81897</v>
      </c>
      <c r="W305" s="457">
        <v>0</v>
      </c>
      <c r="X305" s="457">
        <v>0</v>
      </c>
      <c r="Y305" s="457">
        <v>-81897</v>
      </c>
      <c r="Z305" s="457">
        <v>204116</v>
      </c>
      <c r="AA305" s="457">
        <v>204116</v>
      </c>
      <c r="AB305" s="457">
        <v>0</v>
      </c>
      <c r="AC305" s="457">
        <v>0</v>
      </c>
      <c r="AD305" s="457">
        <v>0</v>
      </c>
      <c r="AE305" s="457">
        <v>0</v>
      </c>
      <c r="AF305" s="457">
        <v>0</v>
      </c>
      <c r="AG305" s="457">
        <v>0</v>
      </c>
      <c r="AH305" s="457">
        <v>0</v>
      </c>
      <c r="AI305" s="457">
        <v>0</v>
      </c>
      <c r="AJ305" s="457">
        <v>0</v>
      </c>
      <c r="AK305" s="457">
        <v>0</v>
      </c>
      <c r="AL305" s="457">
        <v>0</v>
      </c>
      <c r="AM305" s="457">
        <v>0</v>
      </c>
      <c r="AN305" s="457">
        <v>0</v>
      </c>
      <c r="AO305" s="457">
        <v>0</v>
      </c>
      <c r="AP305" s="457">
        <v>0</v>
      </c>
      <c r="AQ305" s="457">
        <v>0</v>
      </c>
      <c r="AR305" s="457">
        <v>0</v>
      </c>
      <c r="AS305" s="457">
        <v>0</v>
      </c>
      <c r="AT305" s="457">
        <v>0</v>
      </c>
      <c r="AU305" s="457">
        <v>0</v>
      </c>
      <c r="AV305" s="457">
        <v>0</v>
      </c>
      <c r="AW305" s="457">
        <v>0</v>
      </c>
      <c r="AX305" s="457">
        <v>0</v>
      </c>
      <c r="AY305" s="457">
        <v>0</v>
      </c>
      <c r="AZ305" s="457">
        <v>0</v>
      </c>
      <c r="BA305" s="457">
        <v>596994</v>
      </c>
      <c r="BB305" s="457">
        <v>447294</v>
      </c>
      <c r="BC305" s="457">
        <v>149700</v>
      </c>
      <c r="BD305" s="457">
        <v>149248</v>
      </c>
      <c r="BE305" s="457">
        <v>111823</v>
      </c>
      <c r="BF305" s="457">
        <v>37425</v>
      </c>
      <c r="BG305" s="457">
        <v>0</v>
      </c>
      <c r="BH305" s="457">
        <v>0</v>
      </c>
      <c r="BI305" s="457">
        <v>0</v>
      </c>
    </row>
    <row r="306" spans="1:61" ht="12.75" x14ac:dyDescent="0.2">
      <c r="A306" s="446">
        <v>299</v>
      </c>
      <c r="B306" s="447" t="s">
        <v>481</v>
      </c>
      <c r="C306" s="448" t="s">
        <v>1093</v>
      </c>
      <c r="D306" s="449" t="s">
        <v>1094</v>
      </c>
      <c r="E306" s="450" t="s">
        <v>480</v>
      </c>
      <c r="F306" s="457">
        <v>36100094</v>
      </c>
      <c r="G306" s="457">
        <v>0</v>
      </c>
      <c r="H306" s="457">
        <v>0</v>
      </c>
      <c r="I306" s="457">
        <v>36100094</v>
      </c>
      <c r="J306" s="457">
        <v>36130774</v>
      </c>
      <c r="K306" s="457">
        <v>0</v>
      </c>
      <c r="L306" s="457">
        <v>0</v>
      </c>
      <c r="M306" s="457">
        <v>36130774</v>
      </c>
      <c r="N306" s="457">
        <v>-30680</v>
      </c>
      <c r="O306" s="457">
        <v>0</v>
      </c>
      <c r="P306" s="457">
        <v>0</v>
      </c>
      <c r="Q306" s="457">
        <v>-30680</v>
      </c>
      <c r="R306" s="457">
        <v>64015</v>
      </c>
      <c r="S306" s="457">
        <v>0</v>
      </c>
      <c r="T306" s="457">
        <v>0</v>
      </c>
      <c r="U306" s="457">
        <v>64015</v>
      </c>
      <c r="V306" s="457">
        <v>-94695</v>
      </c>
      <c r="W306" s="457">
        <v>0</v>
      </c>
      <c r="X306" s="457">
        <v>0</v>
      </c>
      <c r="Y306" s="457">
        <v>-94695</v>
      </c>
      <c r="Z306" s="457">
        <v>181490</v>
      </c>
      <c r="AA306" s="457">
        <v>181490</v>
      </c>
      <c r="AB306" s="457">
        <v>0</v>
      </c>
      <c r="AC306" s="457">
        <v>0</v>
      </c>
      <c r="AD306" s="457">
        <v>0</v>
      </c>
      <c r="AE306" s="457">
        <v>0</v>
      </c>
      <c r="AF306" s="457">
        <v>0</v>
      </c>
      <c r="AG306" s="457">
        <v>0</v>
      </c>
      <c r="AH306" s="457">
        <v>0</v>
      </c>
      <c r="AI306" s="457">
        <v>0</v>
      </c>
      <c r="AJ306" s="457">
        <v>0</v>
      </c>
      <c r="AK306" s="457">
        <v>0</v>
      </c>
      <c r="AL306" s="457">
        <v>0</v>
      </c>
      <c r="AM306" s="457">
        <v>0</v>
      </c>
      <c r="AN306" s="457">
        <v>0</v>
      </c>
      <c r="AO306" s="457">
        <v>0</v>
      </c>
      <c r="AP306" s="457">
        <v>0</v>
      </c>
      <c r="AQ306" s="457">
        <v>0</v>
      </c>
      <c r="AR306" s="457">
        <v>0</v>
      </c>
      <c r="AS306" s="457">
        <v>0</v>
      </c>
      <c r="AT306" s="457">
        <v>0</v>
      </c>
      <c r="AU306" s="457">
        <v>0</v>
      </c>
      <c r="AV306" s="457">
        <v>0</v>
      </c>
      <c r="AW306" s="457">
        <v>0</v>
      </c>
      <c r="AX306" s="457">
        <v>0</v>
      </c>
      <c r="AY306" s="457">
        <v>0</v>
      </c>
      <c r="AZ306" s="457">
        <v>0</v>
      </c>
      <c r="BA306" s="457">
        <v>396146</v>
      </c>
      <c r="BB306" s="457">
        <v>329936</v>
      </c>
      <c r="BC306" s="457">
        <v>66210</v>
      </c>
      <c r="BD306" s="457">
        <v>99036</v>
      </c>
      <c r="BE306" s="457">
        <v>82484</v>
      </c>
      <c r="BF306" s="457">
        <v>16552</v>
      </c>
      <c r="BG306" s="457">
        <v>0</v>
      </c>
      <c r="BH306" s="457">
        <v>0</v>
      </c>
      <c r="BI306" s="457">
        <v>0</v>
      </c>
    </row>
    <row r="307" spans="1:61" ht="12.75" x14ac:dyDescent="0.2">
      <c r="A307" s="446">
        <v>300</v>
      </c>
      <c r="B307" s="447" t="s">
        <v>483</v>
      </c>
      <c r="C307" s="448" t="s">
        <v>1093</v>
      </c>
      <c r="D307" s="449" t="s">
        <v>1094</v>
      </c>
      <c r="E307" s="450" t="s">
        <v>482</v>
      </c>
      <c r="F307" s="457">
        <v>28740277</v>
      </c>
      <c r="G307" s="457">
        <v>0</v>
      </c>
      <c r="H307" s="457">
        <v>0</v>
      </c>
      <c r="I307" s="457">
        <v>28740277</v>
      </c>
      <c r="J307" s="457">
        <v>28758679</v>
      </c>
      <c r="K307" s="457">
        <v>0</v>
      </c>
      <c r="L307" s="457">
        <v>0</v>
      </c>
      <c r="M307" s="457">
        <v>28758679</v>
      </c>
      <c r="N307" s="457">
        <v>-18402</v>
      </c>
      <c r="O307" s="457">
        <v>0</v>
      </c>
      <c r="P307" s="457">
        <v>0</v>
      </c>
      <c r="Q307" s="457">
        <v>-18402</v>
      </c>
      <c r="R307" s="457">
        <v>169986</v>
      </c>
      <c r="S307" s="457">
        <v>0</v>
      </c>
      <c r="T307" s="457">
        <v>0</v>
      </c>
      <c r="U307" s="457">
        <v>169986</v>
      </c>
      <c r="V307" s="457">
        <v>-188388</v>
      </c>
      <c r="W307" s="457">
        <v>0</v>
      </c>
      <c r="X307" s="457">
        <v>0</v>
      </c>
      <c r="Y307" s="457">
        <v>-188388</v>
      </c>
      <c r="Z307" s="457">
        <v>207210</v>
      </c>
      <c r="AA307" s="457">
        <v>207210</v>
      </c>
      <c r="AB307" s="457">
        <v>0</v>
      </c>
      <c r="AC307" s="457">
        <v>0</v>
      </c>
      <c r="AD307" s="457">
        <v>0</v>
      </c>
      <c r="AE307" s="457">
        <v>0</v>
      </c>
      <c r="AF307" s="457">
        <v>0</v>
      </c>
      <c r="AG307" s="457">
        <v>0</v>
      </c>
      <c r="AH307" s="457">
        <v>0</v>
      </c>
      <c r="AI307" s="457">
        <v>0</v>
      </c>
      <c r="AJ307" s="457">
        <v>0</v>
      </c>
      <c r="AK307" s="457">
        <v>0</v>
      </c>
      <c r="AL307" s="457">
        <v>0</v>
      </c>
      <c r="AM307" s="457">
        <v>0</v>
      </c>
      <c r="AN307" s="457">
        <v>0</v>
      </c>
      <c r="AO307" s="457">
        <v>0</v>
      </c>
      <c r="AP307" s="457">
        <v>0</v>
      </c>
      <c r="AQ307" s="457">
        <v>0</v>
      </c>
      <c r="AR307" s="457">
        <v>0</v>
      </c>
      <c r="AS307" s="457">
        <v>0</v>
      </c>
      <c r="AT307" s="457">
        <v>0</v>
      </c>
      <c r="AU307" s="457">
        <v>0</v>
      </c>
      <c r="AV307" s="457">
        <v>0</v>
      </c>
      <c r="AW307" s="457">
        <v>0</v>
      </c>
      <c r="AX307" s="457">
        <v>0</v>
      </c>
      <c r="AY307" s="457">
        <v>0</v>
      </c>
      <c r="AZ307" s="457">
        <v>0</v>
      </c>
      <c r="BA307" s="457">
        <v>846178</v>
      </c>
      <c r="BB307" s="457">
        <v>703256</v>
      </c>
      <c r="BC307" s="457">
        <v>142922</v>
      </c>
      <c r="BD307" s="457">
        <v>190390</v>
      </c>
      <c r="BE307" s="457">
        <v>158233</v>
      </c>
      <c r="BF307" s="457">
        <v>32157</v>
      </c>
      <c r="BG307" s="457">
        <v>21154</v>
      </c>
      <c r="BH307" s="457">
        <v>17581</v>
      </c>
      <c r="BI307" s="457">
        <v>3573</v>
      </c>
    </row>
    <row r="308" spans="1:61" ht="12.75" x14ac:dyDescent="0.2">
      <c r="A308" s="446">
        <v>301</v>
      </c>
      <c r="B308" s="447" t="s">
        <v>485</v>
      </c>
      <c r="C308" s="448" t="s">
        <v>1093</v>
      </c>
      <c r="D308" s="449" t="s">
        <v>1096</v>
      </c>
      <c r="E308" s="450" t="s">
        <v>484</v>
      </c>
      <c r="F308" s="457">
        <v>28078417.100000001</v>
      </c>
      <c r="G308" s="457">
        <v>0</v>
      </c>
      <c r="H308" s="457">
        <v>0</v>
      </c>
      <c r="I308" s="457">
        <v>28078417.100000001</v>
      </c>
      <c r="J308" s="457">
        <v>28175666.800000001</v>
      </c>
      <c r="K308" s="457">
        <v>0</v>
      </c>
      <c r="L308" s="457">
        <v>0</v>
      </c>
      <c r="M308" s="457">
        <v>28175666.800000001</v>
      </c>
      <c r="N308" s="457">
        <v>-97249.72</v>
      </c>
      <c r="O308" s="457">
        <v>0</v>
      </c>
      <c r="P308" s="457">
        <v>0</v>
      </c>
      <c r="Q308" s="457">
        <v>-97249.72</v>
      </c>
      <c r="R308" s="457">
        <v>-285306</v>
      </c>
      <c r="S308" s="457">
        <v>0</v>
      </c>
      <c r="T308" s="457">
        <v>0</v>
      </c>
      <c r="U308" s="457">
        <v>-285306</v>
      </c>
      <c r="V308" s="457">
        <v>188056</v>
      </c>
      <c r="W308" s="457">
        <v>0</v>
      </c>
      <c r="X308" s="457">
        <v>0</v>
      </c>
      <c r="Y308" s="457">
        <v>188056</v>
      </c>
      <c r="Z308" s="457">
        <v>113391</v>
      </c>
      <c r="AA308" s="457">
        <v>113391</v>
      </c>
      <c r="AB308" s="457">
        <v>0</v>
      </c>
      <c r="AC308" s="457">
        <v>0</v>
      </c>
      <c r="AD308" s="457">
        <v>0</v>
      </c>
      <c r="AE308" s="457">
        <v>0</v>
      </c>
      <c r="AF308" s="457">
        <v>0</v>
      </c>
      <c r="AG308" s="457">
        <v>0</v>
      </c>
      <c r="AH308" s="457">
        <v>0</v>
      </c>
      <c r="AI308" s="457">
        <v>0</v>
      </c>
      <c r="AJ308" s="457">
        <v>0</v>
      </c>
      <c r="AK308" s="457">
        <v>0</v>
      </c>
      <c r="AL308" s="457">
        <v>0</v>
      </c>
      <c r="AM308" s="457">
        <v>0</v>
      </c>
      <c r="AN308" s="457">
        <v>0</v>
      </c>
      <c r="AO308" s="457">
        <v>0</v>
      </c>
      <c r="AP308" s="457">
        <v>0</v>
      </c>
      <c r="AQ308" s="457">
        <v>0</v>
      </c>
      <c r="AR308" s="457">
        <v>0</v>
      </c>
      <c r="AS308" s="457">
        <v>0</v>
      </c>
      <c r="AT308" s="457">
        <v>0</v>
      </c>
      <c r="AU308" s="457">
        <v>0</v>
      </c>
      <c r="AV308" s="457">
        <v>0</v>
      </c>
      <c r="AW308" s="457">
        <v>0</v>
      </c>
      <c r="AX308" s="457">
        <v>0</v>
      </c>
      <c r="AY308" s="457">
        <v>0</v>
      </c>
      <c r="AZ308" s="457">
        <v>0</v>
      </c>
      <c r="BA308" s="457">
        <v>366531</v>
      </c>
      <c r="BB308" s="457">
        <v>314014</v>
      </c>
      <c r="BC308" s="457">
        <v>52517</v>
      </c>
      <c r="BD308" s="457">
        <v>91633</v>
      </c>
      <c r="BE308" s="457">
        <v>78503</v>
      </c>
      <c r="BF308" s="457">
        <v>13130</v>
      </c>
      <c r="BG308" s="457">
        <v>0</v>
      </c>
      <c r="BH308" s="457">
        <v>0</v>
      </c>
      <c r="BI308" s="457">
        <v>0</v>
      </c>
    </row>
    <row r="309" spans="1:61" ht="12.75" x14ac:dyDescent="0.2">
      <c r="A309" s="446">
        <v>302</v>
      </c>
      <c r="B309" s="447" t="s">
        <v>487</v>
      </c>
      <c r="C309" s="448" t="s">
        <v>1093</v>
      </c>
      <c r="D309" s="449" t="s">
        <v>1097</v>
      </c>
      <c r="E309" s="450" t="s">
        <v>486</v>
      </c>
      <c r="F309" s="457">
        <v>57111301</v>
      </c>
      <c r="G309" s="457">
        <v>0</v>
      </c>
      <c r="H309" s="457">
        <v>0</v>
      </c>
      <c r="I309" s="457">
        <v>57111301</v>
      </c>
      <c r="J309" s="457">
        <v>57353901</v>
      </c>
      <c r="K309" s="457">
        <v>0</v>
      </c>
      <c r="L309" s="457">
        <v>0</v>
      </c>
      <c r="M309" s="457">
        <v>57353901</v>
      </c>
      <c r="N309" s="457">
        <v>-242600</v>
      </c>
      <c r="O309" s="457">
        <v>0</v>
      </c>
      <c r="P309" s="457">
        <v>0</v>
      </c>
      <c r="Q309" s="457">
        <v>-242600</v>
      </c>
      <c r="R309" s="457">
        <v>29811</v>
      </c>
      <c r="S309" s="457">
        <v>0</v>
      </c>
      <c r="T309" s="457">
        <v>0</v>
      </c>
      <c r="U309" s="457">
        <v>29811</v>
      </c>
      <c r="V309" s="457">
        <v>-272411</v>
      </c>
      <c r="W309" s="457">
        <v>0</v>
      </c>
      <c r="X309" s="457">
        <v>0</v>
      </c>
      <c r="Y309" s="457">
        <v>-272411</v>
      </c>
      <c r="Z309" s="457">
        <v>151424</v>
      </c>
      <c r="AA309" s="457">
        <v>151424</v>
      </c>
      <c r="AB309" s="457">
        <v>0</v>
      </c>
      <c r="AC309" s="457">
        <v>0</v>
      </c>
      <c r="AD309" s="457">
        <v>0</v>
      </c>
      <c r="AE309" s="457">
        <v>0</v>
      </c>
      <c r="AF309" s="457">
        <v>0</v>
      </c>
      <c r="AG309" s="457">
        <v>0</v>
      </c>
      <c r="AH309" s="457">
        <v>0</v>
      </c>
      <c r="AI309" s="457">
        <v>0</v>
      </c>
      <c r="AJ309" s="457">
        <v>0</v>
      </c>
      <c r="AK309" s="457">
        <v>0</v>
      </c>
      <c r="AL309" s="457">
        <v>0</v>
      </c>
      <c r="AM309" s="457">
        <v>0</v>
      </c>
      <c r="AN309" s="457">
        <v>0</v>
      </c>
      <c r="AO309" s="457">
        <v>0</v>
      </c>
      <c r="AP309" s="457">
        <v>0</v>
      </c>
      <c r="AQ309" s="457">
        <v>0</v>
      </c>
      <c r="AR309" s="457">
        <v>0</v>
      </c>
      <c r="AS309" s="457">
        <v>0</v>
      </c>
      <c r="AT309" s="457">
        <v>0</v>
      </c>
      <c r="AU309" s="457">
        <v>0</v>
      </c>
      <c r="AV309" s="457">
        <v>0</v>
      </c>
      <c r="AW309" s="457">
        <v>0</v>
      </c>
      <c r="AX309" s="457">
        <v>0</v>
      </c>
      <c r="AY309" s="457">
        <v>0</v>
      </c>
      <c r="AZ309" s="457">
        <v>0</v>
      </c>
      <c r="BA309" s="457">
        <v>233794</v>
      </c>
      <c r="BB309" s="457">
        <v>223130</v>
      </c>
      <c r="BC309" s="457">
        <v>10664</v>
      </c>
      <c r="BD309" s="457">
        <v>58448</v>
      </c>
      <c r="BE309" s="457">
        <v>55782</v>
      </c>
      <c r="BF309" s="457">
        <v>2666</v>
      </c>
      <c r="BG309" s="457">
        <v>0</v>
      </c>
      <c r="BH309" s="457">
        <v>0</v>
      </c>
      <c r="BI309" s="457">
        <v>0</v>
      </c>
    </row>
    <row r="310" spans="1:61" ht="12.75" x14ac:dyDescent="0.2">
      <c r="A310" s="446">
        <v>303</v>
      </c>
      <c r="B310" s="447" t="s">
        <v>489</v>
      </c>
      <c r="C310" s="448" t="s">
        <v>794</v>
      </c>
      <c r="D310" s="449" t="s">
        <v>1094</v>
      </c>
      <c r="E310" s="450" t="s">
        <v>755</v>
      </c>
      <c r="F310" s="457">
        <v>79364045</v>
      </c>
      <c r="G310" s="457">
        <v>0</v>
      </c>
      <c r="H310" s="457">
        <v>0</v>
      </c>
      <c r="I310" s="457">
        <v>79364045</v>
      </c>
      <c r="J310" s="457">
        <v>79825012</v>
      </c>
      <c r="K310" s="457">
        <v>0</v>
      </c>
      <c r="L310" s="457">
        <v>0</v>
      </c>
      <c r="M310" s="457">
        <v>79825012</v>
      </c>
      <c r="N310" s="457">
        <v>-460966</v>
      </c>
      <c r="O310" s="457">
        <v>0</v>
      </c>
      <c r="P310" s="457">
        <v>0</v>
      </c>
      <c r="Q310" s="457">
        <v>-460966</v>
      </c>
      <c r="R310" s="457">
        <v>122126</v>
      </c>
      <c r="S310" s="457">
        <v>0</v>
      </c>
      <c r="T310" s="457">
        <v>0</v>
      </c>
      <c r="U310" s="457">
        <v>122126</v>
      </c>
      <c r="V310" s="457">
        <v>-583092</v>
      </c>
      <c r="W310" s="457">
        <v>0</v>
      </c>
      <c r="X310" s="457">
        <v>0</v>
      </c>
      <c r="Y310" s="457">
        <v>-583092</v>
      </c>
      <c r="Z310" s="457">
        <v>257520</v>
      </c>
      <c r="AA310" s="457">
        <v>257520</v>
      </c>
      <c r="AB310" s="457">
        <v>0</v>
      </c>
      <c r="AC310" s="457">
        <v>0</v>
      </c>
      <c r="AD310" s="457">
        <v>0</v>
      </c>
      <c r="AE310" s="457">
        <v>0</v>
      </c>
      <c r="AF310" s="457">
        <v>0</v>
      </c>
      <c r="AG310" s="457">
        <v>0</v>
      </c>
      <c r="AH310" s="457">
        <v>0</v>
      </c>
      <c r="AI310" s="457">
        <v>0</v>
      </c>
      <c r="AJ310" s="457">
        <v>0</v>
      </c>
      <c r="AK310" s="457">
        <v>0</v>
      </c>
      <c r="AL310" s="457">
        <v>0</v>
      </c>
      <c r="AM310" s="457">
        <v>0</v>
      </c>
      <c r="AN310" s="457">
        <v>0</v>
      </c>
      <c r="AO310" s="457">
        <v>0</v>
      </c>
      <c r="AP310" s="457">
        <v>0</v>
      </c>
      <c r="AQ310" s="457">
        <v>0</v>
      </c>
      <c r="AR310" s="457">
        <v>0</v>
      </c>
      <c r="AS310" s="457">
        <v>0</v>
      </c>
      <c r="AT310" s="457">
        <v>0</v>
      </c>
      <c r="AU310" s="457">
        <v>0</v>
      </c>
      <c r="AV310" s="457">
        <v>0</v>
      </c>
      <c r="AW310" s="457">
        <v>0</v>
      </c>
      <c r="AX310" s="457">
        <v>0</v>
      </c>
      <c r="AY310" s="457">
        <v>0</v>
      </c>
      <c r="AZ310" s="457">
        <v>0</v>
      </c>
      <c r="BA310" s="457">
        <v>496781</v>
      </c>
      <c r="BB310" s="457">
        <v>404530</v>
      </c>
      <c r="BC310" s="457">
        <v>92251</v>
      </c>
      <c r="BD310" s="457">
        <v>0</v>
      </c>
      <c r="BE310" s="457">
        <v>0</v>
      </c>
      <c r="BF310" s="457">
        <v>0</v>
      </c>
      <c r="BG310" s="457">
        <v>10138</v>
      </c>
      <c r="BH310" s="457">
        <v>8256</v>
      </c>
      <c r="BI310" s="457">
        <v>1882</v>
      </c>
    </row>
    <row r="311" spans="1:61" ht="12.75" x14ac:dyDescent="0.2">
      <c r="A311" s="446">
        <v>304</v>
      </c>
      <c r="B311" s="447" t="s">
        <v>491</v>
      </c>
      <c r="C311" s="448" t="s">
        <v>1093</v>
      </c>
      <c r="D311" s="449" t="s">
        <v>1102</v>
      </c>
      <c r="E311" s="450" t="s">
        <v>490</v>
      </c>
      <c r="F311" s="457">
        <v>10349156</v>
      </c>
      <c r="G311" s="457">
        <v>0</v>
      </c>
      <c r="H311" s="457">
        <v>0</v>
      </c>
      <c r="I311" s="457">
        <v>10349156</v>
      </c>
      <c r="J311" s="457">
        <v>10421378</v>
      </c>
      <c r="K311" s="457">
        <v>0</v>
      </c>
      <c r="L311" s="457">
        <v>0</v>
      </c>
      <c r="M311" s="457">
        <v>10421378</v>
      </c>
      <c r="N311" s="457">
        <v>-72222</v>
      </c>
      <c r="O311" s="457">
        <v>0</v>
      </c>
      <c r="P311" s="457">
        <v>0</v>
      </c>
      <c r="Q311" s="457">
        <v>-72222</v>
      </c>
      <c r="R311" s="457">
        <v>226687</v>
      </c>
      <c r="S311" s="457">
        <v>0</v>
      </c>
      <c r="T311" s="457">
        <v>0</v>
      </c>
      <c r="U311" s="457">
        <v>226687</v>
      </c>
      <c r="V311" s="457">
        <v>-298909</v>
      </c>
      <c r="W311" s="457">
        <v>0</v>
      </c>
      <c r="X311" s="457">
        <v>0</v>
      </c>
      <c r="Y311" s="457">
        <v>-298909</v>
      </c>
      <c r="Z311" s="457">
        <v>84591</v>
      </c>
      <c r="AA311" s="457">
        <v>84591</v>
      </c>
      <c r="AB311" s="457">
        <v>0</v>
      </c>
      <c r="AC311" s="457">
        <v>0</v>
      </c>
      <c r="AD311" s="457">
        <v>0</v>
      </c>
      <c r="AE311" s="457">
        <v>0</v>
      </c>
      <c r="AF311" s="457">
        <v>0</v>
      </c>
      <c r="AG311" s="457">
        <v>0</v>
      </c>
      <c r="AH311" s="457">
        <v>0</v>
      </c>
      <c r="AI311" s="457">
        <v>0</v>
      </c>
      <c r="AJ311" s="457">
        <v>0</v>
      </c>
      <c r="AK311" s="457">
        <v>0</v>
      </c>
      <c r="AL311" s="457">
        <v>0</v>
      </c>
      <c r="AM311" s="457">
        <v>0</v>
      </c>
      <c r="AN311" s="457">
        <v>0</v>
      </c>
      <c r="AO311" s="457">
        <v>0</v>
      </c>
      <c r="AP311" s="457">
        <v>0</v>
      </c>
      <c r="AQ311" s="457">
        <v>0</v>
      </c>
      <c r="AR311" s="457">
        <v>0</v>
      </c>
      <c r="AS311" s="457">
        <v>0</v>
      </c>
      <c r="AT311" s="457">
        <v>0</v>
      </c>
      <c r="AU311" s="457">
        <v>0</v>
      </c>
      <c r="AV311" s="457">
        <v>0</v>
      </c>
      <c r="AW311" s="457">
        <v>0</v>
      </c>
      <c r="AX311" s="457">
        <v>0</v>
      </c>
      <c r="AY311" s="457">
        <v>0</v>
      </c>
      <c r="AZ311" s="457">
        <v>0</v>
      </c>
      <c r="BA311" s="457">
        <v>259068</v>
      </c>
      <c r="BB311" s="457">
        <v>209382</v>
      </c>
      <c r="BC311" s="457">
        <v>49686</v>
      </c>
      <c r="BD311" s="457">
        <v>58290</v>
      </c>
      <c r="BE311" s="457">
        <v>47111</v>
      </c>
      <c r="BF311" s="457">
        <v>11179</v>
      </c>
      <c r="BG311" s="457">
        <v>6477</v>
      </c>
      <c r="BH311" s="457">
        <v>5235</v>
      </c>
      <c r="BI311" s="457">
        <v>1242</v>
      </c>
    </row>
    <row r="312" spans="1:61" ht="12.75" x14ac:dyDescent="0.2">
      <c r="A312" s="446">
        <v>305</v>
      </c>
      <c r="B312" s="447" t="s">
        <v>493</v>
      </c>
      <c r="C312" s="448" t="s">
        <v>1093</v>
      </c>
      <c r="D312" s="449" t="s">
        <v>1102</v>
      </c>
      <c r="E312" s="450" t="s">
        <v>492</v>
      </c>
      <c r="F312" s="457">
        <v>29382898.600000001</v>
      </c>
      <c r="G312" s="457">
        <v>0</v>
      </c>
      <c r="H312" s="457">
        <v>0</v>
      </c>
      <c r="I312" s="457">
        <v>29382898.600000001</v>
      </c>
      <c r="J312" s="457">
        <v>29416451</v>
      </c>
      <c r="K312" s="457">
        <v>0</v>
      </c>
      <c r="L312" s="457">
        <v>0</v>
      </c>
      <c r="M312" s="457">
        <v>29416451</v>
      </c>
      <c r="N312" s="457">
        <v>-33552.370000000003</v>
      </c>
      <c r="O312" s="457">
        <v>0</v>
      </c>
      <c r="P312" s="457">
        <v>0</v>
      </c>
      <c r="Q312" s="457">
        <v>-33552.370000000003</v>
      </c>
      <c r="R312" s="457">
        <v>-84177</v>
      </c>
      <c r="S312" s="457">
        <v>0</v>
      </c>
      <c r="T312" s="457">
        <v>0</v>
      </c>
      <c r="U312" s="457">
        <v>-84177</v>
      </c>
      <c r="V312" s="457">
        <v>50625</v>
      </c>
      <c r="W312" s="457">
        <v>0</v>
      </c>
      <c r="X312" s="457">
        <v>0</v>
      </c>
      <c r="Y312" s="457">
        <v>50625</v>
      </c>
      <c r="Z312" s="457">
        <v>204819</v>
      </c>
      <c r="AA312" s="457">
        <v>204819</v>
      </c>
      <c r="AB312" s="457">
        <v>0</v>
      </c>
      <c r="AC312" s="457">
        <v>0</v>
      </c>
      <c r="AD312" s="457">
        <v>0</v>
      </c>
      <c r="AE312" s="457">
        <v>0</v>
      </c>
      <c r="AF312" s="457">
        <v>0</v>
      </c>
      <c r="AG312" s="457">
        <v>0</v>
      </c>
      <c r="AH312" s="457">
        <v>0</v>
      </c>
      <c r="AI312" s="457">
        <v>0</v>
      </c>
      <c r="AJ312" s="457">
        <v>0</v>
      </c>
      <c r="AK312" s="457">
        <v>0</v>
      </c>
      <c r="AL312" s="457">
        <v>0</v>
      </c>
      <c r="AM312" s="457">
        <v>0</v>
      </c>
      <c r="AN312" s="457">
        <v>0</v>
      </c>
      <c r="AO312" s="457">
        <v>0</v>
      </c>
      <c r="AP312" s="457">
        <v>0</v>
      </c>
      <c r="AQ312" s="457">
        <v>0</v>
      </c>
      <c r="AR312" s="457">
        <v>0</v>
      </c>
      <c r="AS312" s="457">
        <v>0</v>
      </c>
      <c r="AT312" s="457">
        <v>0</v>
      </c>
      <c r="AU312" s="457">
        <v>0</v>
      </c>
      <c r="AV312" s="457">
        <v>0</v>
      </c>
      <c r="AW312" s="457">
        <v>0</v>
      </c>
      <c r="AX312" s="457">
        <v>0</v>
      </c>
      <c r="AY312" s="457">
        <v>0</v>
      </c>
      <c r="AZ312" s="457">
        <v>0</v>
      </c>
      <c r="BA312" s="457">
        <v>714905</v>
      </c>
      <c r="BB312" s="457">
        <v>599942</v>
      </c>
      <c r="BC312" s="457">
        <v>114963</v>
      </c>
      <c r="BD312" s="457">
        <v>160854</v>
      </c>
      <c r="BE312" s="457">
        <v>134987</v>
      </c>
      <c r="BF312" s="457">
        <v>25867</v>
      </c>
      <c r="BG312" s="457">
        <v>17873</v>
      </c>
      <c r="BH312" s="457">
        <v>14999</v>
      </c>
      <c r="BI312" s="457">
        <v>2874</v>
      </c>
    </row>
    <row r="313" spans="1:61" ht="12.75" x14ac:dyDescent="0.2">
      <c r="A313" s="446">
        <v>306</v>
      </c>
      <c r="B313" s="447" t="s">
        <v>495</v>
      </c>
      <c r="C313" s="448" t="s">
        <v>1093</v>
      </c>
      <c r="D313" s="449" t="s">
        <v>1095</v>
      </c>
      <c r="E313" s="450" t="s">
        <v>494</v>
      </c>
      <c r="F313" s="457">
        <v>31384381</v>
      </c>
      <c r="G313" s="457">
        <v>0</v>
      </c>
      <c r="H313" s="457">
        <v>0</v>
      </c>
      <c r="I313" s="457">
        <v>31384381</v>
      </c>
      <c r="J313" s="457">
        <v>31522196</v>
      </c>
      <c r="K313" s="457">
        <v>0</v>
      </c>
      <c r="L313" s="457">
        <v>0</v>
      </c>
      <c r="M313" s="457">
        <v>31522196</v>
      </c>
      <c r="N313" s="457">
        <v>-137815</v>
      </c>
      <c r="O313" s="457">
        <v>0</v>
      </c>
      <c r="P313" s="457">
        <v>0</v>
      </c>
      <c r="Q313" s="457">
        <v>-137815</v>
      </c>
      <c r="R313" s="457">
        <v>-118505</v>
      </c>
      <c r="S313" s="457">
        <v>0</v>
      </c>
      <c r="T313" s="457">
        <v>0</v>
      </c>
      <c r="U313" s="457">
        <v>-118505</v>
      </c>
      <c r="V313" s="457">
        <v>-19310</v>
      </c>
      <c r="W313" s="457">
        <v>0</v>
      </c>
      <c r="X313" s="457">
        <v>0</v>
      </c>
      <c r="Y313" s="457">
        <v>-19310</v>
      </c>
      <c r="Z313" s="457">
        <v>134046</v>
      </c>
      <c r="AA313" s="457">
        <v>134046</v>
      </c>
      <c r="AB313" s="457">
        <v>0</v>
      </c>
      <c r="AC313" s="457">
        <v>0</v>
      </c>
      <c r="AD313" s="457">
        <v>0</v>
      </c>
      <c r="AE313" s="457">
        <v>0</v>
      </c>
      <c r="AF313" s="457">
        <v>0</v>
      </c>
      <c r="AG313" s="457">
        <v>0</v>
      </c>
      <c r="AH313" s="457">
        <v>0</v>
      </c>
      <c r="AI313" s="457">
        <v>0</v>
      </c>
      <c r="AJ313" s="457">
        <v>0</v>
      </c>
      <c r="AK313" s="457">
        <v>0</v>
      </c>
      <c r="AL313" s="457">
        <v>0</v>
      </c>
      <c r="AM313" s="457">
        <v>0</v>
      </c>
      <c r="AN313" s="457">
        <v>0</v>
      </c>
      <c r="AO313" s="457">
        <v>0</v>
      </c>
      <c r="AP313" s="457">
        <v>0</v>
      </c>
      <c r="AQ313" s="457">
        <v>0</v>
      </c>
      <c r="AR313" s="457">
        <v>0</v>
      </c>
      <c r="AS313" s="457">
        <v>0</v>
      </c>
      <c r="AT313" s="457">
        <v>0</v>
      </c>
      <c r="AU313" s="457">
        <v>0</v>
      </c>
      <c r="AV313" s="457">
        <v>0</v>
      </c>
      <c r="AW313" s="457">
        <v>0</v>
      </c>
      <c r="AX313" s="457">
        <v>0</v>
      </c>
      <c r="AY313" s="457">
        <v>0</v>
      </c>
      <c r="AZ313" s="457">
        <v>0</v>
      </c>
      <c r="BA313" s="457">
        <v>373189</v>
      </c>
      <c r="BB313" s="457">
        <v>322797</v>
      </c>
      <c r="BC313" s="457">
        <v>50392</v>
      </c>
      <c r="BD313" s="457">
        <v>83968</v>
      </c>
      <c r="BE313" s="457">
        <v>72629</v>
      </c>
      <c r="BF313" s="457">
        <v>11339</v>
      </c>
      <c r="BG313" s="457">
        <v>9330</v>
      </c>
      <c r="BH313" s="457">
        <v>8070</v>
      </c>
      <c r="BI313" s="457">
        <v>1260</v>
      </c>
    </row>
    <row r="314" spans="1:61" ht="12.75" x14ac:dyDescent="0.2">
      <c r="A314" s="446">
        <v>307</v>
      </c>
      <c r="B314" s="447" t="s">
        <v>497</v>
      </c>
      <c r="C314" s="448" t="s">
        <v>1093</v>
      </c>
      <c r="D314" s="449" t="s">
        <v>1096</v>
      </c>
      <c r="E314" s="450" t="s">
        <v>496</v>
      </c>
      <c r="F314" s="457">
        <v>14636903</v>
      </c>
      <c r="G314" s="457">
        <v>0</v>
      </c>
      <c r="H314" s="457">
        <v>0</v>
      </c>
      <c r="I314" s="457">
        <v>14636903</v>
      </c>
      <c r="J314" s="457">
        <v>14662065</v>
      </c>
      <c r="K314" s="457">
        <v>0</v>
      </c>
      <c r="L314" s="457">
        <v>0</v>
      </c>
      <c r="M314" s="457">
        <v>14662065</v>
      </c>
      <c r="N314" s="457">
        <v>-25162</v>
      </c>
      <c r="O314" s="457">
        <v>0</v>
      </c>
      <c r="P314" s="457">
        <v>0</v>
      </c>
      <c r="Q314" s="457">
        <v>-25162</v>
      </c>
      <c r="R314" s="457">
        <v>61665</v>
      </c>
      <c r="S314" s="457">
        <v>0</v>
      </c>
      <c r="T314" s="457">
        <v>0</v>
      </c>
      <c r="U314" s="457">
        <v>61665</v>
      </c>
      <c r="V314" s="457">
        <v>-86827</v>
      </c>
      <c r="W314" s="457">
        <v>0</v>
      </c>
      <c r="X314" s="457">
        <v>0</v>
      </c>
      <c r="Y314" s="457">
        <v>-86827</v>
      </c>
      <c r="Z314" s="457">
        <v>105838</v>
      </c>
      <c r="AA314" s="457">
        <v>105838</v>
      </c>
      <c r="AB314" s="457">
        <v>0</v>
      </c>
      <c r="AC314" s="457">
        <v>0</v>
      </c>
      <c r="AD314" s="457">
        <v>0</v>
      </c>
      <c r="AE314" s="457">
        <v>0</v>
      </c>
      <c r="AF314" s="457">
        <v>0</v>
      </c>
      <c r="AG314" s="457">
        <v>0</v>
      </c>
      <c r="AH314" s="457">
        <v>0</v>
      </c>
      <c r="AI314" s="457">
        <v>0</v>
      </c>
      <c r="AJ314" s="457">
        <v>0</v>
      </c>
      <c r="AK314" s="457">
        <v>0</v>
      </c>
      <c r="AL314" s="457">
        <v>0</v>
      </c>
      <c r="AM314" s="457">
        <v>0</v>
      </c>
      <c r="AN314" s="457">
        <v>0</v>
      </c>
      <c r="AO314" s="457">
        <v>0</v>
      </c>
      <c r="AP314" s="457">
        <v>0</v>
      </c>
      <c r="AQ314" s="457">
        <v>0</v>
      </c>
      <c r="AR314" s="457">
        <v>0</v>
      </c>
      <c r="AS314" s="457">
        <v>0</v>
      </c>
      <c r="AT314" s="457">
        <v>0</v>
      </c>
      <c r="AU314" s="457">
        <v>0</v>
      </c>
      <c r="AV314" s="457">
        <v>0</v>
      </c>
      <c r="AW314" s="457">
        <v>0</v>
      </c>
      <c r="AX314" s="457">
        <v>0</v>
      </c>
      <c r="AY314" s="457">
        <v>0</v>
      </c>
      <c r="AZ314" s="457">
        <v>0</v>
      </c>
      <c r="BA314" s="457">
        <v>316494</v>
      </c>
      <c r="BB314" s="457">
        <v>274794</v>
      </c>
      <c r="BC314" s="457">
        <v>41700</v>
      </c>
      <c r="BD314" s="457">
        <v>79124</v>
      </c>
      <c r="BE314" s="457">
        <v>68698</v>
      </c>
      <c r="BF314" s="457">
        <v>10426</v>
      </c>
      <c r="BG314" s="457">
        <v>0</v>
      </c>
      <c r="BH314" s="457">
        <v>0</v>
      </c>
      <c r="BI314" s="457">
        <v>0</v>
      </c>
    </row>
    <row r="315" spans="1:61" ht="12.75" x14ac:dyDescent="0.2">
      <c r="A315" s="446">
        <v>308</v>
      </c>
      <c r="B315" s="447" t="s">
        <v>499</v>
      </c>
      <c r="C315" s="448" t="s">
        <v>1093</v>
      </c>
      <c r="D315" s="449" t="s">
        <v>1094</v>
      </c>
      <c r="E315" s="450" t="s">
        <v>498</v>
      </c>
      <c r="F315" s="457">
        <v>32959375</v>
      </c>
      <c r="G315" s="457">
        <v>0</v>
      </c>
      <c r="H315" s="457">
        <v>0</v>
      </c>
      <c r="I315" s="457">
        <v>32959375</v>
      </c>
      <c r="J315" s="457">
        <v>32956934</v>
      </c>
      <c r="K315" s="457">
        <v>0</v>
      </c>
      <c r="L315" s="457">
        <v>0</v>
      </c>
      <c r="M315" s="457">
        <v>32956934</v>
      </c>
      <c r="N315" s="457">
        <v>2441</v>
      </c>
      <c r="O315" s="457">
        <v>0</v>
      </c>
      <c r="P315" s="457">
        <v>0</v>
      </c>
      <c r="Q315" s="457">
        <v>2441</v>
      </c>
      <c r="R315" s="457">
        <v>97881</v>
      </c>
      <c r="S315" s="457">
        <v>0</v>
      </c>
      <c r="T315" s="457">
        <v>0</v>
      </c>
      <c r="U315" s="457">
        <v>97881</v>
      </c>
      <c r="V315" s="457">
        <v>-95440</v>
      </c>
      <c r="W315" s="457">
        <v>0</v>
      </c>
      <c r="X315" s="457">
        <v>0</v>
      </c>
      <c r="Y315" s="457">
        <v>-95440</v>
      </c>
      <c r="Z315" s="457">
        <v>163678</v>
      </c>
      <c r="AA315" s="457">
        <v>163678</v>
      </c>
      <c r="AB315" s="457">
        <v>0</v>
      </c>
      <c r="AC315" s="457">
        <v>0</v>
      </c>
      <c r="AD315" s="457">
        <v>0</v>
      </c>
      <c r="AE315" s="457">
        <v>0</v>
      </c>
      <c r="AF315" s="457">
        <v>0</v>
      </c>
      <c r="AG315" s="457">
        <v>0</v>
      </c>
      <c r="AH315" s="457">
        <v>0</v>
      </c>
      <c r="AI315" s="457">
        <v>0</v>
      </c>
      <c r="AJ315" s="457">
        <v>0</v>
      </c>
      <c r="AK315" s="457">
        <v>0</v>
      </c>
      <c r="AL315" s="457">
        <v>0</v>
      </c>
      <c r="AM315" s="457">
        <v>0</v>
      </c>
      <c r="AN315" s="457">
        <v>0</v>
      </c>
      <c r="AO315" s="457">
        <v>0</v>
      </c>
      <c r="AP315" s="457">
        <v>0</v>
      </c>
      <c r="AQ315" s="457">
        <v>0</v>
      </c>
      <c r="AR315" s="457">
        <v>0</v>
      </c>
      <c r="AS315" s="457">
        <v>0</v>
      </c>
      <c r="AT315" s="457">
        <v>0</v>
      </c>
      <c r="AU315" s="457">
        <v>0</v>
      </c>
      <c r="AV315" s="457">
        <v>0</v>
      </c>
      <c r="AW315" s="457">
        <v>0</v>
      </c>
      <c r="AX315" s="457">
        <v>0</v>
      </c>
      <c r="AY315" s="457">
        <v>0</v>
      </c>
      <c r="AZ315" s="457">
        <v>0</v>
      </c>
      <c r="BA315" s="457">
        <v>440397</v>
      </c>
      <c r="BB315" s="457">
        <v>375626</v>
      </c>
      <c r="BC315" s="457">
        <v>64771</v>
      </c>
      <c r="BD315" s="457">
        <v>110099</v>
      </c>
      <c r="BE315" s="457">
        <v>93906</v>
      </c>
      <c r="BF315" s="457">
        <v>16193</v>
      </c>
      <c r="BG315" s="457">
        <v>0</v>
      </c>
      <c r="BH315" s="457">
        <v>0</v>
      </c>
      <c r="BI315" s="457">
        <v>0</v>
      </c>
    </row>
    <row r="316" spans="1:61" ht="12.75" x14ac:dyDescent="0.2">
      <c r="A316" s="446">
        <v>309</v>
      </c>
      <c r="B316" s="447" t="s">
        <v>501</v>
      </c>
      <c r="C316" s="448" t="s">
        <v>1093</v>
      </c>
      <c r="D316" s="449" t="s">
        <v>1102</v>
      </c>
      <c r="E316" s="450" t="s">
        <v>500</v>
      </c>
      <c r="F316" s="457">
        <v>14496567</v>
      </c>
      <c r="G316" s="457">
        <v>0</v>
      </c>
      <c r="H316" s="457">
        <v>0</v>
      </c>
      <c r="I316" s="457">
        <v>14496567</v>
      </c>
      <c r="J316" s="457">
        <v>13676736</v>
      </c>
      <c r="K316" s="457">
        <v>0</v>
      </c>
      <c r="L316" s="457">
        <v>0</v>
      </c>
      <c r="M316" s="457">
        <v>13676736</v>
      </c>
      <c r="N316" s="457">
        <v>819831</v>
      </c>
      <c r="O316" s="457">
        <v>0</v>
      </c>
      <c r="P316" s="457">
        <v>0</v>
      </c>
      <c r="Q316" s="457">
        <v>819831</v>
      </c>
      <c r="R316" s="457">
        <v>901994</v>
      </c>
      <c r="S316" s="457">
        <v>0</v>
      </c>
      <c r="T316" s="457">
        <v>0</v>
      </c>
      <c r="U316" s="457">
        <v>901994</v>
      </c>
      <c r="V316" s="457">
        <v>-82163</v>
      </c>
      <c r="W316" s="457">
        <v>0</v>
      </c>
      <c r="X316" s="457">
        <v>0</v>
      </c>
      <c r="Y316" s="457">
        <v>-82163</v>
      </c>
      <c r="Z316" s="457">
        <v>74427</v>
      </c>
      <c r="AA316" s="457">
        <v>74427</v>
      </c>
      <c r="AB316" s="457">
        <v>0</v>
      </c>
      <c r="AC316" s="457">
        <v>0</v>
      </c>
      <c r="AD316" s="457">
        <v>0</v>
      </c>
      <c r="AE316" s="457">
        <v>0</v>
      </c>
      <c r="AF316" s="457">
        <v>0</v>
      </c>
      <c r="AG316" s="457">
        <v>0</v>
      </c>
      <c r="AH316" s="457">
        <v>0</v>
      </c>
      <c r="AI316" s="457">
        <v>0</v>
      </c>
      <c r="AJ316" s="457">
        <v>0</v>
      </c>
      <c r="AK316" s="457">
        <v>0</v>
      </c>
      <c r="AL316" s="457">
        <v>0</v>
      </c>
      <c r="AM316" s="457">
        <v>0</v>
      </c>
      <c r="AN316" s="457">
        <v>0</v>
      </c>
      <c r="AO316" s="457">
        <v>0</v>
      </c>
      <c r="AP316" s="457">
        <v>0</v>
      </c>
      <c r="AQ316" s="457">
        <v>0</v>
      </c>
      <c r="AR316" s="457">
        <v>0</v>
      </c>
      <c r="AS316" s="457">
        <v>0</v>
      </c>
      <c r="AT316" s="457">
        <v>0</v>
      </c>
      <c r="AU316" s="457">
        <v>0</v>
      </c>
      <c r="AV316" s="457">
        <v>0</v>
      </c>
      <c r="AW316" s="457">
        <v>0</v>
      </c>
      <c r="AX316" s="457">
        <v>0</v>
      </c>
      <c r="AY316" s="457">
        <v>0</v>
      </c>
      <c r="AZ316" s="457">
        <v>0</v>
      </c>
      <c r="BA316" s="457">
        <v>249204</v>
      </c>
      <c r="BB316" s="457">
        <v>212526</v>
      </c>
      <c r="BC316" s="457">
        <v>36678</v>
      </c>
      <c r="BD316" s="457">
        <v>56071</v>
      </c>
      <c r="BE316" s="457">
        <v>47818</v>
      </c>
      <c r="BF316" s="457">
        <v>8253</v>
      </c>
      <c r="BG316" s="457">
        <v>6230</v>
      </c>
      <c r="BH316" s="457">
        <v>5313</v>
      </c>
      <c r="BI316" s="457">
        <v>917</v>
      </c>
    </row>
    <row r="317" spans="1:61" ht="12.75" x14ac:dyDescent="0.2">
      <c r="A317" s="446">
        <v>310</v>
      </c>
      <c r="B317" s="447" t="s">
        <v>503</v>
      </c>
      <c r="C317" s="448" t="s">
        <v>1104</v>
      </c>
      <c r="D317" s="449" t="s">
        <v>1099</v>
      </c>
      <c r="E317" s="450" t="s">
        <v>502</v>
      </c>
      <c r="F317" s="457">
        <v>1712807476</v>
      </c>
      <c r="G317" s="457">
        <v>0</v>
      </c>
      <c r="H317" s="457">
        <v>0</v>
      </c>
      <c r="I317" s="457">
        <v>1712807476</v>
      </c>
      <c r="J317" s="457">
        <v>1735790087</v>
      </c>
      <c r="K317" s="457">
        <v>0</v>
      </c>
      <c r="L317" s="457">
        <v>0</v>
      </c>
      <c r="M317" s="457">
        <v>1735790087</v>
      </c>
      <c r="N317" s="457">
        <v>-22982611</v>
      </c>
      <c r="O317" s="457">
        <v>0</v>
      </c>
      <c r="P317" s="457">
        <v>0</v>
      </c>
      <c r="Q317" s="457">
        <v>-22982611</v>
      </c>
      <c r="R317" s="457">
        <v>14484228</v>
      </c>
      <c r="S317" s="457">
        <v>0</v>
      </c>
      <c r="T317" s="457">
        <v>0</v>
      </c>
      <c r="U317" s="457">
        <v>14484228</v>
      </c>
      <c r="V317" s="457">
        <v>-37466839</v>
      </c>
      <c r="W317" s="457">
        <v>0</v>
      </c>
      <c r="X317" s="457">
        <v>0</v>
      </c>
      <c r="Y317" s="457">
        <v>-37466839</v>
      </c>
      <c r="Z317" s="457">
        <v>3180114</v>
      </c>
      <c r="AA317" s="457">
        <v>3180114</v>
      </c>
      <c r="AB317" s="457">
        <v>0</v>
      </c>
      <c r="AC317" s="457">
        <v>0</v>
      </c>
      <c r="AD317" s="457">
        <v>0</v>
      </c>
      <c r="AE317" s="457">
        <v>0</v>
      </c>
      <c r="AF317" s="457">
        <v>0</v>
      </c>
      <c r="AG317" s="457">
        <v>0</v>
      </c>
      <c r="AH317" s="457">
        <v>0</v>
      </c>
      <c r="AI317" s="457">
        <v>0</v>
      </c>
      <c r="AJ317" s="457">
        <v>0</v>
      </c>
      <c r="AK317" s="457">
        <v>0</v>
      </c>
      <c r="AL317" s="457">
        <v>0</v>
      </c>
      <c r="AM317" s="457">
        <v>0</v>
      </c>
      <c r="AN317" s="457">
        <v>0</v>
      </c>
      <c r="AO317" s="457">
        <v>0</v>
      </c>
      <c r="AP317" s="457">
        <v>0</v>
      </c>
      <c r="AQ317" s="457">
        <v>0</v>
      </c>
      <c r="AR317" s="457">
        <v>0</v>
      </c>
      <c r="AS317" s="457">
        <v>0</v>
      </c>
      <c r="AT317" s="457">
        <v>0</v>
      </c>
      <c r="AU317" s="457">
        <v>0</v>
      </c>
      <c r="AV317" s="457">
        <v>0</v>
      </c>
      <c r="AW317" s="457">
        <v>0</v>
      </c>
      <c r="AX317" s="457">
        <v>0</v>
      </c>
      <c r="AY317" s="457">
        <v>0</v>
      </c>
      <c r="AZ317" s="457">
        <v>0</v>
      </c>
      <c r="BA317" s="457">
        <v>278110</v>
      </c>
      <c r="BB317" s="457">
        <v>252095</v>
      </c>
      <c r="BC317" s="457">
        <v>26015</v>
      </c>
      <c r="BD317" s="457">
        <v>185407</v>
      </c>
      <c r="BE317" s="457">
        <v>168064</v>
      </c>
      <c r="BF317" s="457">
        <v>17343</v>
      </c>
      <c r="BG317" s="457">
        <v>0</v>
      </c>
      <c r="BH317" s="457">
        <v>0</v>
      </c>
      <c r="BI317" s="457">
        <v>0</v>
      </c>
    </row>
    <row r="318" spans="1:61" ht="12.75" x14ac:dyDescent="0.2">
      <c r="A318" s="446">
        <v>311</v>
      </c>
      <c r="B318" s="447" t="s">
        <v>505</v>
      </c>
      <c r="C318" s="448" t="s">
        <v>1093</v>
      </c>
      <c r="D318" s="449" t="s">
        <v>1102</v>
      </c>
      <c r="E318" s="450" t="s">
        <v>756</v>
      </c>
      <c r="F318" s="457">
        <v>15256431.5</v>
      </c>
      <c r="G318" s="457">
        <v>0</v>
      </c>
      <c r="H318" s="457">
        <v>0</v>
      </c>
      <c r="I318" s="457">
        <v>15256431.5</v>
      </c>
      <c r="J318" s="457">
        <v>15318416</v>
      </c>
      <c r="K318" s="457">
        <v>0</v>
      </c>
      <c r="L318" s="457">
        <v>0</v>
      </c>
      <c r="M318" s="457">
        <v>15318416</v>
      </c>
      <c r="N318" s="457">
        <v>-61984.44</v>
      </c>
      <c r="O318" s="457">
        <v>0</v>
      </c>
      <c r="P318" s="457">
        <v>0</v>
      </c>
      <c r="Q318" s="457">
        <v>-61984.44</v>
      </c>
      <c r="R318" s="457">
        <v>-27779</v>
      </c>
      <c r="S318" s="457">
        <v>0</v>
      </c>
      <c r="T318" s="457">
        <v>0</v>
      </c>
      <c r="U318" s="457">
        <v>-27779</v>
      </c>
      <c r="V318" s="457">
        <v>-34205</v>
      </c>
      <c r="W318" s="457">
        <v>0</v>
      </c>
      <c r="X318" s="457">
        <v>0</v>
      </c>
      <c r="Y318" s="457">
        <v>-34205</v>
      </c>
      <c r="Z318" s="457">
        <v>107439</v>
      </c>
      <c r="AA318" s="457">
        <v>107439</v>
      </c>
      <c r="AB318" s="457">
        <v>0</v>
      </c>
      <c r="AC318" s="457">
        <v>0</v>
      </c>
      <c r="AD318" s="457">
        <v>0</v>
      </c>
      <c r="AE318" s="457">
        <v>0</v>
      </c>
      <c r="AF318" s="457">
        <v>0</v>
      </c>
      <c r="AG318" s="457">
        <v>0</v>
      </c>
      <c r="AH318" s="457">
        <v>0</v>
      </c>
      <c r="AI318" s="457">
        <v>0</v>
      </c>
      <c r="AJ318" s="457">
        <v>0</v>
      </c>
      <c r="AK318" s="457">
        <v>0</v>
      </c>
      <c r="AL318" s="457">
        <v>0</v>
      </c>
      <c r="AM318" s="457">
        <v>0</v>
      </c>
      <c r="AN318" s="457">
        <v>0</v>
      </c>
      <c r="AO318" s="457">
        <v>0</v>
      </c>
      <c r="AP318" s="457">
        <v>0</v>
      </c>
      <c r="AQ318" s="457">
        <v>0</v>
      </c>
      <c r="AR318" s="457">
        <v>0</v>
      </c>
      <c r="AS318" s="457">
        <v>0</v>
      </c>
      <c r="AT318" s="457">
        <v>0</v>
      </c>
      <c r="AU318" s="457">
        <v>0</v>
      </c>
      <c r="AV318" s="457">
        <v>0</v>
      </c>
      <c r="AW318" s="457">
        <v>0</v>
      </c>
      <c r="AX318" s="457">
        <v>0</v>
      </c>
      <c r="AY318" s="457">
        <v>0</v>
      </c>
      <c r="AZ318" s="457">
        <v>0</v>
      </c>
      <c r="BA318" s="457">
        <v>300124</v>
      </c>
      <c r="BB318" s="457">
        <v>258033</v>
      </c>
      <c r="BC318" s="457">
        <v>42091</v>
      </c>
      <c r="BD318" s="457">
        <v>67528</v>
      </c>
      <c r="BE318" s="457">
        <v>58057</v>
      </c>
      <c r="BF318" s="457">
        <v>9471</v>
      </c>
      <c r="BG318" s="457">
        <v>7503</v>
      </c>
      <c r="BH318" s="457">
        <v>6451</v>
      </c>
      <c r="BI318" s="457">
        <v>1052</v>
      </c>
    </row>
    <row r="319" spans="1:61" ht="12.75" x14ac:dyDescent="0.2">
      <c r="A319" s="446">
        <v>312</v>
      </c>
      <c r="B319" s="447" t="s">
        <v>507</v>
      </c>
      <c r="C319" s="448" t="s">
        <v>1100</v>
      </c>
      <c r="D319" s="449" t="s">
        <v>1095</v>
      </c>
      <c r="E319" s="450" t="s">
        <v>506</v>
      </c>
      <c r="F319" s="457">
        <v>80725310</v>
      </c>
      <c r="G319" s="457">
        <v>0</v>
      </c>
      <c r="H319" s="457">
        <v>0</v>
      </c>
      <c r="I319" s="457">
        <v>80725310</v>
      </c>
      <c r="J319" s="457">
        <v>80605453</v>
      </c>
      <c r="K319" s="457">
        <v>0</v>
      </c>
      <c r="L319" s="457">
        <v>0</v>
      </c>
      <c r="M319" s="457">
        <v>80605453</v>
      </c>
      <c r="N319" s="457">
        <v>119857</v>
      </c>
      <c r="O319" s="457">
        <v>0</v>
      </c>
      <c r="P319" s="457">
        <v>0</v>
      </c>
      <c r="Q319" s="457">
        <v>119857</v>
      </c>
      <c r="R319" s="457">
        <v>-545863</v>
      </c>
      <c r="S319" s="457">
        <v>0</v>
      </c>
      <c r="T319" s="457">
        <v>0</v>
      </c>
      <c r="U319" s="457">
        <v>-545863</v>
      </c>
      <c r="V319" s="457">
        <v>665720</v>
      </c>
      <c r="W319" s="457">
        <v>0</v>
      </c>
      <c r="X319" s="457">
        <v>0</v>
      </c>
      <c r="Y319" s="457">
        <v>665720</v>
      </c>
      <c r="Z319" s="457">
        <v>387575</v>
      </c>
      <c r="AA319" s="457">
        <v>387575</v>
      </c>
      <c r="AB319" s="457">
        <v>0</v>
      </c>
      <c r="AC319" s="457">
        <v>0</v>
      </c>
      <c r="AD319" s="457">
        <v>0</v>
      </c>
      <c r="AE319" s="457">
        <v>0</v>
      </c>
      <c r="AF319" s="457">
        <v>0</v>
      </c>
      <c r="AG319" s="457">
        <v>0</v>
      </c>
      <c r="AH319" s="457">
        <v>0</v>
      </c>
      <c r="AI319" s="457">
        <v>0</v>
      </c>
      <c r="AJ319" s="457">
        <v>0</v>
      </c>
      <c r="AK319" s="457">
        <v>0</v>
      </c>
      <c r="AL319" s="457">
        <v>0</v>
      </c>
      <c r="AM319" s="457">
        <v>0</v>
      </c>
      <c r="AN319" s="457">
        <v>0</v>
      </c>
      <c r="AO319" s="457">
        <v>0</v>
      </c>
      <c r="AP319" s="457">
        <v>0</v>
      </c>
      <c r="AQ319" s="457">
        <v>0</v>
      </c>
      <c r="AR319" s="457">
        <v>0</v>
      </c>
      <c r="AS319" s="457">
        <v>0</v>
      </c>
      <c r="AT319" s="457">
        <v>0</v>
      </c>
      <c r="AU319" s="457">
        <v>0</v>
      </c>
      <c r="AV319" s="457">
        <v>0</v>
      </c>
      <c r="AW319" s="457">
        <v>0</v>
      </c>
      <c r="AX319" s="457">
        <v>0</v>
      </c>
      <c r="AY319" s="457">
        <v>0</v>
      </c>
      <c r="AZ319" s="457">
        <v>0</v>
      </c>
      <c r="BA319" s="457">
        <v>1548129</v>
      </c>
      <c r="BB319" s="457">
        <v>1010344</v>
      </c>
      <c r="BC319" s="457">
        <v>537785</v>
      </c>
      <c r="BD319" s="457">
        <v>0</v>
      </c>
      <c r="BE319" s="457">
        <v>0</v>
      </c>
      <c r="BF319" s="457">
        <v>0</v>
      </c>
      <c r="BG319" s="457">
        <v>31594</v>
      </c>
      <c r="BH319" s="457">
        <v>20619</v>
      </c>
      <c r="BI319" s="457">
        <v>10975</v>
      </c>
    </row>
    <row r="320" spans="1:61" ht="12.75" x14ac:dyDescent="0.2">
      <c r="A320" s="446">
        <v>313</v>
      </c>
      <c r="B320" s="447" t="s">
        <v>509</v>
      </c>
      <c r="C320" s="448" t="s">
        <v>794</v>
      </c>
      <c r="D320" s="449" t="s">
        <v>1102</v>
      </c>
      <c r="E320" s="450" t="s">
        <v>508</v>
      </c>
      <c r="F320" s="457">
        <v>204947</v>
      </c>
      <c r="G320" s="457">
        <v>0</v>
      </c>
      <c r="H320" s="457">
        <v>0</v>
      </c>
      <c r="I320" s="457">
        <v>204947</v>
      </c>
      <c r="J320" s="457">
        <v>724792</v>
      </c>
      <c r="K320" s="457">
        <v>0</v>
      </c>
      <c r="L320" s="457">
        <v>0</v>
      </c>
      <c r="M320" s="457">
        <v>724792</v>
      </c>
      <c r="N320" s="457">
        <v>-519845</v>
      </c>
      <c r="O320" s="457">
        <v>0</v>
      </c>
      <c r="P320" s="457">
        <v>0</v>
      </c>
      <c r="Q320" s="457">
        <v>-519845</v>
      </c>
      <c r="R320" s="457">
        <v>453346</v>
      </c>
      <c r="S320" s="457">
        <v>0</v>
      </c>
      <c r="T320" s="457">
        <v>0</v>
      </c>
      <c r="U320" s="457">
        <v>453346</v>
      </c>
      <c r="V320" s="457">
        <v>-973191</v>
      </c>
      <c r="W320" s="457">
        <v>0</v>
      </c>
      <c r="X320" s="457">
        <v>0</v>
      </c>
      <c r="Y320" s="457">
        <v>-973191</v>
      </c>
      <c r="Z320" s="457">
        <v>617775</v>
      </c>
      <c r="AA320" s="457">
        <v>617775</v>
      </c>
      <c r="AB320" s="457">
        <v>0</v>
      </c>
      <c r="AC320" s="457">
        <v>0</v>
      </c>
      <c r="AD320" s="457">
        <v>0</v>
      </c>
      <c r="AE320" s="457">
        <v>0</v>
      </c>
      <c r="AF320" s="457">
        <v>0</v>
      </c>
      <c r="AG320" s="457">
        <v>0</v>
      </c>
      <c r="AH320" s="457">
        <v>0</v>
      </c>
      <c r="AI320" s="457">
        <v>87473</v>
      </c>
      <c r="AJ320" s="457">
        <v>0</v>
      </c>
      <c r="AK320" s="457">
        <v>87473</v>
      </c>
      <c r="AL320" s="457">
        <v>0</v>
      </c>
      <c r="AM320" s="457">
        <v>0</v>
      </c>
      <c r="AN320" s="457">
        <v>0</v>
      </c>
      <c r="AO320" s="457">
        <v>0</v>
      </c>
      <c r="AP320" s="457">
        <v>0</v>
      </c>
      <c r="AQ320" s="457">
        <v>0</v>
      </c>
      <c r="AR320" s="457">
        <v>0</v>
      </c>
      <c r="AS320" s="457">
        <v>0</v>
      </c>
      <c r="AT320" s="457">
        <v>0</v>
      </c>
      <c r="AU320" s="457">
        <v>0</v>
      </c>
      <c r="AV320" s="457">
        <v>0</v>
      </c>
      <c r="AW320" s="457">
        <v>0</v>
      </c>
      <c r="AX320" s="457">
        <v>0</v>
      </c>
      <c r="AY320" s="457">
        <v>0</v>
      </c>
      <c r="AZ320" s="457">
        <v>0</v>
      </c>
      <c r="BA320" s="457">
        <v>2137332</v>
      </c>
      <c r="BB320" s="457">
        <v>872719</v>
      </c>
      <c r="BC320" s="457">
        <v>1264613</v>
      </c>
      <c r="BD320" s="457">
        <v>0</v>
      </c>
      <c r="BE320" s="457">
        <v>0</v>
      </c>
      <c r="BF320" s="457">
        <v>0</v>
      </c>
      <c r="BG320" s="457">
        <v>43619</v>
      </c>
      <c r="BH320" s="457">
        <v>17811</v>
      </c>
      <c r="BI320" s="457">
        <v>25808</v>
      </c>
    </row>
    <row r="321" spans="1:143" ht="12.75" x14ac:dyDescent="0.2">
      <c r="A321" s="446">
        <v>314</v>
      </c>
      <c r="B321" s="447" t="s">
        <v>511</v>
      </c>
      <c r="C321" s="448" t="s">
        <v>1093</v>
      </c>
      <c r="D321" s="449" t="s">
        <v>1094</v>
      </c>
      <c r="E321" s="450" t="s">
        <v>510</v>
      </c>
      <c r="F321" s="457">
        <v>61522009</v>
      </c>
      <c r="G321" s="457">
        <v>0</v>
      </c>
      <c r="H321" s="457">
        <v>0</v>
      </c>
      <c r="I321" s="457">
        <v>61522009</v>
      </c>
      <c r="J321" s="457">
        <v>61612883</v>
      </c>
      <c r="K321" s="457">
        <v>0</v>
      </c>
      <c r="L321" s="457">
        <v>0</v>
      </c>
      <c r="M321" s="457">
        <v>61612883</v>
      </c>
      <c r="N321" s="457">
        <v>-90874</v>
      </c>
      <c r="O321" s="457">
        <v>0</v>
      </c>
      <c r="P321" s="457">
        <v>0</v>
      </c>
      <c r="Q321" s="457">
        <v>-90874</v>
      </c>
      <c r="R321" s="457">
        <v>167579</v>
      </c>
      <c r="S321" s="457">
        <v>0</v>
      </c>
      <c r="T321" s="457">
        <v>0</v>
      </c>
      <c r="U321" s="457">
        <v>167579</v>
      </c>
      <c r="V321" s="457">
        <v>-258453</v>
      </c>
      <c r="W321" s="457">
        <v>0</v>
      </c>
      <c r="X321" s="457">
        <v>0</v>
      </c>
      <c r="Y321" s="457">
        <v>-258453</v>
      </c>
      <c r="Z321" s="457">
        <v>190784</v>
      </c>
      <c r="AA321" s="457">
        <v>190784</v>
      </c>
      <c r="AB321" s="457">
        <v>0</v>
      </c>
      <c r="AC321" s="457">
        <v>0</v>
      </c>
      <c r="AD321" s="457">
        <v>0</v>
      </c>
      <c r="AE321" s="457">
        <v>0</v>
      </c>
      <c r="AF321" s="457">
        <v>0</v>
      </c>
      <c r="AG321" s="457">
        <v>0</v>
      </c>
      <c r="AH321" s="457">
        <v>0</v>
      </c>
      <c r="AI321" s="457">
        <v>0</v>
      </c>
      <c r="AJ321" s="457">
        <v>0</v>
      </c>
      <c r="AK321" s="457">
        <v>0</v>
      </c>
      <c r="AL321" s="457">
        <v>0</v>
      </c>
      <c r="AM321" s="457">
        <v>0</v>
      </c>
      <c r="AN321" s="457">
        <v>0</v>
      </c>
      <c r="AO321" s="457">
        <v>0</v>
      </c>
      <c r="AP321" s="457">
        <v>0</v>
      </c>
      <c r="AQ321" s="457">
        <v>0</v>
      </c>
      <c r="AR321" s="457">
        <v>0</v>
      </c>
      <c r="AS321" s="457">
        <v>0</v>
      </c>
      <c r="AT321" s="457">
        <v>0</v>
      </c>
      <c r="AU321" s="457">
        <v>0</v>
      </c>
      <c r="AV321" s="457">
        <v>0</v>
      </c>
      <c r="AW321" s="457">
        <v>0</v>
      </c>
      <c r="AX321" s="457">
        <v>0</v>
      </c>
      <c r="AY321" s="457">
        <v>0</v>
      </c>
      <c r="AZ321" s="457">
        <v>0</v>
      </c>
      <c r="BA321" s="457">
        <v>448949</v>
      </c>
      <c r="BB321" s="457">
        <v>355721</v>
      </c>
      <c r="BC321" s="457">
        <v>93228</v>
      </c>
      <c r="BD321" s="457">
        <v>101014</v>
      </c>
      <c r="BE321" s="457">
        <v>80037</v>
      </c>
      <c r="BF321" s="457">
        <v>20977</v>
      </c>
      <c r="BG321" s="457">
        <v>11224</v>
      </c>
      <c r="BH321" s="457">
        <v>8893</v>
      </c>
      <c r="BI321" s="457">
        <v>2331</v>
      </c>
    </row>
    <row r="322" spans="1:143" ht="12.75" x14ac:dyDescent="0.2">
      <c r="A322" s="446">
        <v>315</v>
      </c>
      <c r="B322" s="447" t="s">
        <v>513</v>
      </c>
      <c r="C322" s="448" t="s">
        <v>794</v>
      </c>
      <c r="D322" s="449" t="s">
        <v>1094</v>
      </c>
      <c r="E322" s="450" t="s">
        <v>757</v>
      </c>
      <c r="F322" s="457">
        <v>71338632.200000003</v>
      </c>
      <c r="G322" s="457">
        <v>0</v>
      </c>
      <c r="H322" s="457">
        <v>0</v>
      </c>
      <c r="I322" s="457">
        <v>71338632.200000003</v>
      </c>
      <c r="J322" s="457">
        <v>71786629.799999997</v>
      </c>
      <c r="K322" s="457">
        <v>0</v>
      </c>
      <c r="L322" s="457">
        <v>0</v>
      </c>
      <c r="M322" s="457">
        <v>71786629.799999997</v>
      </c>
      <c r="N322" s="457">
        <v>-447997.57</v>
      </c>
      <c r="O322" s="457">
        <v>0</v>
      </c>
      <c r="P322" s="457">
        <v>0</v>
      </c>
      <c r="Q322" s="457">
        <v>-447997.57</v>
      </c>
      <c r="R322" s="457">
        <v>29940</v>
      </c>
      <c r="S322" s="457">
        <v>0</v>
      </c>
      <c r="T322" s="457">
        <v>0</v>
      </c>
      <c r="U322" s="457">
        <v>29940</v>
      </c>
      <c r="V322" s="457">
        <v>-477938</v>
      </c>
      <c r="W322" s="457">
        <v>0</v>
      </c>
      <c r="X322" s="457">
        <v>0</v>
      </c>
      <c r="Y322" s="457">
        <v>-477938</v>
      </c>
      <c r="Z322" s="457">
        <v>251201</v>
      </c>
      <c r="AA322" s="457">
        <v>251201</v>
      </c>
      <c r="AB322" s="457">
        <v>0</v>
      </c>
      <c r="AC322" s="457">
        <v>0</v>
      </c>
      <c r="AD322" s="457">
        <v>0</v>
      </c>
      <c r="AE322" s="457">
        <v>0</v>
      </c>
      <c r="AF322" s="457">
        <v>0</v>
      </c>
      <c r="AG322" s="457">
        <v>0</v>
      </c>
      <c r="AH322" s="457">
        <v>0</v>
      </c>
      <c r="AI322" s="457">
        <v>0</v>
      </c>
      <c r="AJ322" s="457">
        <v>0</v>
      </c>
      <c r="AK322" s="457">
        <v>0</v>
      </c>
      <c r="AL322" s="457">
        <v>0</v>
      </c>
      <c r="AM322" s="457">
        <v>0</v>
      </c>
      <c r="AN322" s="457">
        <v>0</v>
      </c>
      <c r="AO322" s="457">
        <v>0</v>
      </c>
      <c r="AP322" s="457">
        <v>0</v>
      </c>
      <c r="AQ322" s="457">
        <v>0</v>
      </c>
      <c r="AR322" s="457">
        <v>0</v>
      </c>
      <c r="AS322" s="457">
        <v>0</v>
      </c>
      <c r="AT322" s="457">
        <v>0</v>
      </c>
      <c r="AU322" s="457">
        <v>0</v>
      </c>
      <c r="AV322" s="457">
        <v>0</v>
      </c>
      <c r="AW322" s="457">
        <v>0</v>
      </c>
      <c r="AX322" s="457">
        <v>0</v>
      </c>
      <c r="AY322" s="457">
        <v>0</v>
      </c>
      <c r="AZ322" s="457">
        <v>0</v>
      </c>
      <c r="BA322" s="457">
        <v>404634</v>
      </c>
      <c r="BB322" s="457">
        <v>337863</v>
      </c>
      <c r="BC322" s="457">
        <v>66771</v>
      </c>
      <c r="BD322" s="457">
        <v>0</v>
      </c>
      <c r="BE322" s="457">
        <v>0</v>
      </c>
      <c r="BF322" s="457">
        <v>0</v>
      </c>
      <c r="BG322" s="457">
        <v>8258</v>
      </c>
      <c r="BH322" s="457">
        <v>6895</v>
      </c>
      <c r="BI322" s="457">
        <v>1363</v>
      </c>
    </row>
    <row r="323" spans="1:143" ht="12.75" x14ac:dyDescent="0.2">
      <c r="A323" s="446">
        <v>316</v>
      </c>
      <c r="B323" s="447" t="s">
        <v>515</v>
      </c>
      <c r="C323" s="448" t="s">
        <v>1100</v>
      </c>
      <c r="D323" s="449" t="s">
        <v>1095</v>
      </c>
      <c r="E323" s="450" t="s">
        <v>514</v>
      </c>
      <c r="F323" s="457">
        <v>83490255</v>
      </c>
      <c r="G323" s="457">
        <v>0</v>
      </c>
      <c r="H323" s="457">
        <v>0</v>
      </c>
      <c r="I323" s="457">
        <v>83490255</v>
      </c>
      <c r="J323" s="457">
        <v>83753253</v>
      </c>
      <c r="K323" s="457">
        <v>0</v>
      </c>
      <c r="L323" s="457">
        <v>0</v>
      </c>
      <c r="M323" s="457">
        <v>83753253</v>
      </c>
      <c r="N323" s="457">
        <v>-262998</v>
      </c>
      <c r="O323" s="457">
        <v>0</v>
      </c>
      <c r="P323" s="457">
        <v>0</v>
      </c>
      <c r="Q323" s="457">
        <v>-262998</v>
      </c>
      <c r="R323" s="457">
        <v>97227</v>
      </c>
      <c r="S323" s="457">
        <v>0</v>
      </c>
      <c r="T323" s="457">
        <v>0</v>
      </c>
      <c r="U323" s="457">
        <v>97227</v>
      </c>
      <c r="V323" s="457">
        <v>-360225</v>
      </c>
      <c r="W323" s="457">
        <v>0</v>
      </c>
      <c r="X323" s="457">
        <v>0</v>
      </c>
      <c r="Y323" s="457">
        <v>-360225</v>
      </c>
      <c r="Z323" s="457">
        <v>339810</v>
      </c>
      <c r="AA323" s="457">
        <v>339810</v>
      </c>
      <c r="AB323" s="457">
        <v>0</v>
      </c>
      <c r="AC323" s="457">
        <v>0</v>
      </c>
      <c r="AD323" s="457">
        <v>67368</v>
      </c>
      <c r="AE323" s="457">
        <v>-67368</v>
      </c>
      <c r="AF323" s="457">
        <v>0</v>
      </c>
      <c r="AG323" s="457">
        <v>0</v>
      </c>
      <c r="AH323" s="457">
        <v>0</v>
      </c>
      <c r="AI323" s="457">
        <v>0</v>
      </c>
      <c r="AJ323" s="457">
        <v>0</v>
      </c>
      <c r="AK323" s="457">
        <v>0</v>
      </c>
      <c r="AL323" s="457">
        <v>0</v>
      </c>
      <c r="AM323" s="457">
        <v>0</v>
      </c>
      <c r="AN323" s="457">
        <v>0</v>
      </c>
      <c r="AO323" s="457">
        <v>0</v>
      </c>
      <c r="AP323" s="457">
        <v>0</v>
      </c>
      <c r="AQ323" s="457">
        <v>0</v>
      </c>
      <c r="AR323" s="457">
        <v>0</v>
      </c>
      <c r="AS323" s="457">
        <v>0</v>
      </c>
      <c r="AT323" s="457">
        <v>0</v>
      </c>
      <c r="AU323" s="457">
        <v>0</v>
      </c>
      <c r="AV323" s="457">
        <v>0</v>
      </c>
      <c r="AW323" s="457">
        <v>0</v>
      </c>
      <c r="AX323" s="457">
        <v>0</v>
      </c>
      <c r="AY323" s="457">
        <v>0</v>
      </c>
      <c r="AZ323" s="457">
        <v>0</v>
      </c>
      <c r="BA323" s="457">
        <v>1424779</v>
      </c>
      <c r="BB323" s="457">
        <v>1205673</v>
      </c>
      <c r="BC323" s="457">
        <v>219106</v>
      </c>
      <c r="BD323" s="457">
        <v>0</v>
      </c>
      <c r="BE323" s="457">
        <v>0</v>
      </c>
      <c r="BF323" s="457">
        <v>0</v>
      </c>
      <c r="BG323" s="457">
        <v>29077</v>
      </c>
      <c r="BH323" s="457">
        <v>24606</v>
      </c>
      <c r="BI323" s="457">
        <v>4471</v>
      </c>
    </row>
    <row r="324" spans="1:143" ht="12.75" x14ac:dyDescent="0.2">
      <c r="A324" s="446">
        <v>317</v>
      </c>
      <c r="B324" s="447" t="s">
        <v>517</v>
      </c>
      <c r="C324" s="448" t="s">
        <v>1093</v>
      </c>
      <c r="D324" s="449" t="s">
        <v>1094</v>
      </c>
      <c r="E324" s="450" t="s">
        <v>516</v>
      </c>
      <c r="F324" s="457">
        <v>44360345</v>
      </c>
      <c r="G324" s="457">
        <v>0</v>
      </c>
      <c r="H324" s="457">
        <v>0</v>
      </c>
      <c r="I324" s="457">
        <v>44360345</v>
      </c>
      <c r="J324" s="457">
        <v>44783483</v>
      </c>
      <c r="K324" s="457">
        <v>0</v>
      </c>
      <c r="L324" s="457">
        <v>0</v>
      </c>
      <c r="M324" s="457">
        <v>44783483</v>
      </c>
      <c r="N324" s="457">
        <v>-423138</v>
      </c>
      <c r="O324" s="457">
        <v>0</v>
      </c>
      <c r="P324" s="457">
        <v>0</v>
      </c>
      <c r="Q324" s="457">
        <v>-423138</v>
      </c>
      <c r="R324" s="457">
        <v>-77865</v>
      </c>
      <c r="S324" s="457">
        <v>0</v>
      </c>
      <c r="T324" s="457">
        <v>0</v>
      </c>
      <c r="U324" s="457">
        <v>-77865</v>
      </c>
      <c r="V324" s="457">
        <v>-345273</v>
      </c>
      <c r="W324" s="457">
        <v>0</v>
      </c>
      <c r="X324" s="457">
        <v>0</v>
      </c>
      <c r="Y324" s="457">
        <v>-345273</v>
      </c>
      <c r="Z324" s="457">
        <v>135670</v>
      </c>
      <c r="AA324" s="457">
        <v>135670</v>
      </c>
      <c r="AB324" s="457">
        <v>0</v>
      </c>
      <c r="AC324" s="457">
        <v>0</v>
      </c>
      <c r="AD324" s="457">
        <v>0</v>
      </c>
      <c r="AE324" s="457">
        <v>0</v>
      </c>
      <c r="AF324" s="457">
        <v>0</v>
      </c>
      <c r="AG324" s="457">
        <v>0</v>
      </c>
      <c r="AH324" s="457">
        <v>0</v>
      </c>
      <c r="AI324" s="457">
        <v>0</v>
      </c>
      <c r="AJ324" s="457">
        <v>0</v>
      </c>
      <c r="AK324" s="457">
        <v>0</v>
      </c>
      <c r="AL324" s="457">
        <v>0</v>
      </c>
      <c r="AM324" s="457">
        <v>0</v>
      </c>
      <c r="AN324" s="457">
        <v>0</v>
      </c>
      <c r="AO324" s="457">
        <v>0</v>
      </c>
      <c r="AP324" s="457">
        <v>0</v>
      </c>
      <c r="AQ324" s="457">
        <v>0</v>
      </c>
      <c r="AR324" s="457">
        <v>0</v>
      </c>
      <c r="AS324" s="457">
        <v>0</v>
      </c>
      <c r="AT324" s="457">
        <v>0</v>
      </c>
      <c r="AU324" s="457">
        <v>0</v>
      </c>
      <c r="AV324" s="457">
        <v>0</v>
      </c>
      <c r="AW324" s="457">
        <v>0</v>
      </c>
      <c r="AX324" s="457">
        <v>0</v>
      </c>
      <c r="AY324" s="457">
        <v>0</v>
      </c>
      <c r="AZ324" s="457">
        <v>0</v>
      </c>
      <c r="BA324" s="457">
        <v>193226</v>
      </c>
      <c r="BB324" s="457">
        <v>166579</v>
      </c>
      <c r="BC324" s="457">
        <v>26647</v>
      </c>
      <c r="BD324" s="457">
        <v>48306</v>
      </c>
      <c r="BE324" s="457">
        <v>41645</v>
      </c>
      <c r="BF324" s="457">
        <v>6661</v>
      </c>
      <c r="BG324" s="457">
        <v>0</v>
      </c>
      <c r="BH324" s="457">
        <v>0</v>
      </c>
      <c r="BI324" s="457">
        <v>0</v>
      </c>
    </row>
    <row r="325" spans="1:143" ht="12.75" x14ac:dyDescent="0.2">
      <c r="A325" s="446">
        <v>318</v>
      </c>
      <c r="B325" s="447" t="s">
        <v>519</v>
      </c>
      <c r="C325" s="448" t="s">
        <v>794</v>
      </c>
      <c r="D325" s="449" t="s">
        <v>1094</v>
      </c>
      <c r="E325" s="450" t="s">
        <v>758</v>
      </c>
      <c r="F325" s="457">
        <v>56865307</v>
      </c>
      <c r="G325" s="457">
        <v>0</v>
      </c>
      <c r="H325" s="457">
        <v>0</v>
      </c>
      <c r="I325" s="457">
        <v>56865307</v>
      </c>
      <c r="J325" s="457">
        <v>57091223</v>
      </c>
      <c r="K325" s="457">
        <v>0</v>
      </c>
      <c r="L325" s="457">
        <v>0</v>
      </c>
      <c r="M325" s="457">
        <v>57091223</v>
      </c>
      <c r="N325" s="457">
        <v>-225916</v>
      </c>
      <c r="O325" s="457">
        <v>0</v>
      </c>
      <c r="P325" s="457">
        <v>0</v>
      </c>
      <c r="Q325" s="457">
        <v>-225916</v>
      </c>
      <c r="R325" s="457">
        <v>-20794</v>
      </c>
      <c r="S325" s="457">
        <v>0</v>
      </c>
      <c r="T325" s="457">
        <v>0</v>
      </c>
      <c r="U325" s="457">
        <v>-20794</v>
      </c>
      <c r="V325" s="457">
        <v>-205122</v>
      </c>
      <c r="W325" s="457">
        <v>0</v>
      </c>
      <c r="X325" s="457">
        <v>0</v>
      </c>
      <c r="Y325" s="457">
        <v>-205122</v>
      </c>
      <c r="Z325" s="457">
        <v>181184</v>
      </c>
      <c r="AA325" s="457">
        <v>181184</v>
      </c>
      <c r="AB325" s="457">
        <v>0</v>
      </c>
      <c r="AC325" s="457">
        <v>0</v>
      </c>
      <c r="AD325" s="457">
        <v>0</v>
      </c>
      <c r="AE325" s="457">
        <v>0</v>
      </c>
      <c r="AF325" s="457">
        <v>0</v>
      </c>
      <c r="AG325" s="457">
        <v>0</v>
      </c>
      <c r="AH325" s="457">
        <v>0</v>
      </c>
      <c r="AI325" s="457">
        <v>0</v>
      </c>
      <c r="AJ325" s="457">
        <v>0</v>
      </c>
      <c r="AK325" s="457">
        <v>0</v>
      </c>
      <c r="AL325" s="457">
        <v>0</v>
      </c>
      <c r="AM325" s="457">
        <v>0</v>
      </c>
      <c r="AN325" s="457">
        <v>0</v>
      </c>
      <c r="AO325" s="457">
        <v>0</v>
      </c>
      <c r="AP325" s="457">
        <v>0</v>
      </c>
      <c r="AQ325" s="457">
        <v>0</v>
      </c>
      <c r="AR325" s="457">
        <v>0</v>
      </c>
      <c r="AS325" s="457">
        <v>0</v>
      </c>
      <c r="AT325" s="457">
        <v>0</v>
      </c>
      <c r="AU325" s="457">
        <v>0</v>
      </c>
      <c r="AV325" s="457">
        <v>0</v>
      </c>
      <c r="AW325" s="457">
        <v>0</v>
      </c>
      <c r="AX325" s="457">
        <v>0</v>
      </c>
      <c r="AY325" s="457">
        <v>0</v>
      </c>
      <c r="AZ325" s="457">
        <v>0</v>
      </c>
      <c r="BA325" s="457">
        <v>389625</v>
      </c>
      <c r="BB325" s="457">
        <v>180626</v>
      </c>
      <c r="BC325" s="457">
        <v>208999</v>
      </c>
      <c r="BD325" s="457">
        <v>0</v>
      </c>
      <c r="BE325" s="457">
        <v>0</v>
      </c>
      <c r="BF325" s="457">
        <v>0</v>
      </c>
      <c r="BG325" s="457">
        <v>7952</v>
      </c>
      <c r="BH325" s="457">
        <v>3686</v>
      </c>
      <c r="BI325" s="457">
        <v>4266</v>
      </c>
    </row>
    <row r="326" spans="1:143" ht="12.75" x14ac:dyDescent="0.2">
      <c r="A326" s="446">
        <v>319</v>
      </c>
      <c r="B326" s="447" t="s">
        <v>521</v>
      </c>
      <c r="C326" s="448" t="s">
        <v>1100</v>
      </c>
      <c r="D326" s="449" t="s">
        <v>1103</v>
      </c>
      <c r="E326" s="450" t="s">
        <v>520</v>
      </c>
      <c r="F326" s="457">
        <v>74322783</v>
      </c>
      <c r="G326" s="457">
        <v>0</v>
      </c>
      <c r="H326" s="457">
        <v>85369</v>
      </c>
      <c r="I326" s="457">
        <v>74408152</v>
      </c>
      <c r="J326" s="457">
        <v>74389332</v>
      </c>
      <c r="K326" s="457">
        <v>0</v>
      </c>
      <c r="L326" s="457">
        <v>85369</v>
      </c>
      <c r="M326" s="457">
        <v>74474701</v>
      </c>
      <c r="N326" s="457">
        <v>-66549</v>
      </c>
      <c r="O326" s="457">
        <v>0</v>
      </c>
      <c r="P326" s="457">
        <v>0</v>
      </c>
      <c r="Q326" s="457">
        <v>-66549</v>
      </c>
      <c r="R326" s="457">
        <v>429321</v>
      </c>
      <c r="S326" s="457">
        <v>0</v>
      </c>
      <c r="T326" s="457">
        <v>0</v>
      </c>
      <c r="U326" s="457">
        <v>429321</v>
      </c>
      <c r="V326" s="457">
        <v>-495870</v>
      </c>
      <c r="W326" s="457">
        <v>0</v>
      </c>
      <c r="X326" s="457">
        <v>0</v>
      </c>
      <c r="Y326" s="457">
        <v>-495870</v>
      </c>
      <c r="Z326" s="457">
        <v>348621</v>
      </c>
      <c r="AA326" s="457">
        <v>348621</v>
      </c>
      <c r="AB326" s="457">
        <v>0</v>
      </c>
      <c r="AC326" s="457">
        <v>140</v>
      </c>
      <c r="AD326" s="457">
        <v>2356</v>
      </c>
      <c r="AE326" s="457">
        <v>-2216</v>
      </c>
      <c r="AF326" s="457">
        <v>0</v>
      </c>
      <c r="AG326" s="457">
        <v>0</v>
      </c>
      <c r="AH326" s="457">
        <v>0</v>
      </c>
      <c r="AI326" s="457">
        <v>0</v>
      </c>
      <c r="AJ326" s="457">
        <v>0</v>
      </c>
      <c r="AK326" s="457">
        <v>0</v>
      </c>
      <c r="AL326" s="457">
        <v>0</v>
      </c>
      <c r="AM326" s="457">
        <v>0</v>
      </c>
      <c r="AN326" s="457">
        <v>0</v>
      </c>
      <c r="AO326" s="457">
        <v>0</v>
      </c>
      <c r="AP326" s="457">
        <v>55000</v>
      </c>
      <c r="AQ326" s="457">
        <v>-55000</v>
      </c>
      <c r="AR326" s="457">
        <v>0</v>
      </c>
      <c r="AS326" s="457">
        <v>0</v>
      </c>
      <c r="AT326" s="457">
        <v>0</v>
      </c>
      <c r="AU326" s="457">
        <v>0</v>
      </c>
      <c r="AV326" s="457">
        <v>0</v>
      </c>
      <c r="AW326" s="457">
        <v>0</v>
      </c>
      <c r="AX326" s="457">
        <v>0</v>
      </c>
      <c r="AY326" s="457">
        <v>0</v>
      </c>
      <c r="AZ326" s="457">
        <v>0</v>
      </c>
      <c r="BA326" s="457">
        <v>1182247</v>
      </c>
      <c r="BB326" s="457">
        <v>970926</v>
      </c>
      <c r="BC326" s="457">
        <v>211321</v>
      </c>
      <c r="BD326" s="457">
        <v>0</v>
      </c>
      <c r="BE326" s="457">
        <v>0</v>
      </c>
      <c r="BF326" s="457">
        <v>0</v>
      </c>
      <c r="BG326" s="457">
        <v>24127</v>
      </c>
      <c r="BH326" s="457">
        <v>19815</v>
      </c>
      <c r="BI326" s="457">
        <v>4312</v>
      </c>
    </row>
    <row r="327" spans="1:143" ht="12.75" x14ac:dyDescent="0.2">
      <c r="A327" s="446">
        <v>320</v>
      </c>
      <c r="B327" s="447" t="s">
        <v>523</v>
      </c>
      <c r="C327" s="448" t="s">
        <v>1093</v>
      </c>
      <c r="D327" s="449" t="s">
        <v>1103</v>
      </c>
      <c r="E327" s="450" t="s">
        <v>522</v>
      </c>
      <c r="F327" s="457">
        <v>39874317</v>
      </c>
      <c r="G327" s="457">
        <v>0</v>
      </c>
      <c r="H327" s="457">
        <v>0</v>
      </c>
      <c r="I327" s="457">
        <v>39874317</v>
      </c>
      <c r="J327" s="457">
        <v>40126153</v>
      </c>
      <c r="K327" s="457">
        <v>0</v>
      </c>
      <c r="L327" s="457">
        <v>0</v>
      </c>
      <c r="M327" s="457">
        <v>40126153</v>
      </c>
      <c r="N327" s="457">
        <v>-251836</v>
      </c>
      <c r="O327" s="457">
        <v>0</v>
      </c>
      <c r="P327" s="457">
        <v>0</v>
      </c>
      <c r="Q327" s="457">
        <v>-251836</v>
      </c>
      <c r="R327" s="457">
        <v>50823</v>
      </c>
      <c r="S327" s="457">
        <v>0</v>
      </c>
      <c r="T327" s="457">
        <v>0</v>
      </c>
      <c r="U327" s="457">
        <v>50823</v>
      </c>
      <c r="V327" s="457">
        <v>-302659</v>
      </c>
      <c r="W327" s="457">
        <v>0</v>
      </c>
      <c r="X327" s="457">
        <v>0</v>
      </c>
      <c r="Y327" s="457">
        <v>-302659</v>
      </c>
      <c r="Z327" s="457">
        <v>140483</v>
      </c>
      <c r="AA327" s="457">
        <v>140483</v>
      </c>
      <c r="AB327" s="457">
        <v>0</v>
      </c>
      <c r="AC327" s="457">
        <v>0</v>
      </c>
      <c r="AD327" s="457">
        <v>0</v>
      </c>
      <c r="AE327" s="457">
        <v>0</v>
      </c>
      <c r="AF327" s="457">
        <v>0</v>
      </c>
      <c r="AG327" s="457">
        <v>0</v>
      </c>
      <c r="AH327" s="457">
        <v>0</v>
      </c>
      <c r="AI327" s="457">
        <v>0</v>
      </c>
      <c r="AJ327" s="457">
        <v>0</v>
      </c>
      <c r="AK327" s="457">
        <v>0</v>
      </c>
      <c r="AL327" s="457">
        <v>0</v>
      </c>
      <c r="AM327" s="457">
        <v>0</v>
      </c>
      <c r="AN327" s="457">
        <v>0</v>
      </c>
      <c r="AO327" s="457">
        <v>0</v>
      </c>
      <c r="AP327" s="457">
        <v>0</v>
      </c>
      <c r="AQ327" s="457">
        <v>0</v>
      </c>
      <c r="AR327" s="457">
        <v>0</v>
      </c>
      <c r="AS327" s="457">
        <v>0</v>
      </c>
      <c r="AT327" s="457">
        <v>0</v>
      </c>
      <c r="AU327" s="457">
        <v>0</v>
      </c>
      <c r="AV327" s="457">
        <v>0</v>
      </c>
      <c r="AW327" s="457">
        <v>0</v>
      </c>
      <c r="AX327" s="457">
        <v>0</v>
      </c>
      <c r="AY327" s="457">
        <v>0</v>
      </c>
      <c r="AZ327" s="457">
        <v>0</v>
      </c>
      <c r="BA327" s="457">
        <v>333653</v>
      </c>
      <c r="BB327" s="457">
        <v>283598</v>
      </c>
      <c r="BC327" s="457">
        <v>50055</v>
      </c>
      <c r="BD327" s="457">
        <v>75072</v>
      </c>
      <c r="BE327" s="457">
        <v>63810</v>
      </c>
      <c r="BF327" s="457">
        <v>11262</v>
      </c>
      <c r="BG327" s="457">
        <v>8341</v>
      </c>
      <c r="BH327" s="457">
        <v>7090</v>
      </c>
      <c r="BI327" s="457">
        <v>1251</v>
      </c>
    </row>
    <row r="328" spans="1:143" ht="12.75" x14ac:dyDescent="0.2">
      <c r="A328" s="446">
        <v>321</v>
      </c>
      <c r="B328" s="447" t="s">
        <v>525</v>
      </c>
      <c r="C328" s="448" t="s">
        <v>1093</v>
      </c>
      <c r="D328" s="449" t="s">
        <v>1094</v>
      </c>
      <c r="E328" s="450" t="s">
        <v>524</v>
      </c>
      <c r="F328" s="457">
        <v>31849904</v>
      </c>
      <c r="G328" s="457">
        <v>0</v>
      </c>
      <c r="H328" s="457">
        <v>0</v>
      </c>
      <c r="I328" s="457">
        <v>31849904</v>
      </c>
      <c r="J328" s="457">
        <v>31898676</v>
      </c>
      <c r="K328" s="457">
        <v>0</v>
      </c>
      <c r="L328" s="457">
        <v>0</v>
      </c>
      <c r="M328" s="457">
        <v>31898676</v>
      </c>
      <c r="N328" s="457">
        <v>-48772</v>
      </c>
      <c r="O328" s="457">
        <v>0</v>
      </c>
      <c r="P328" s="457">
        <v>0</v>
      </c>
      <c r="Q328" s="457">
        <v>-48772</v>
      </c>
      <c r="R328" s="457">
        <v>-5734</v>
      </c>
      <c r="S328" s="457">
        <v>0</v>
      </c>
      <c r="T328" s="457">
        <v>0</v>
      </c>
      <c r="U328" s="457">
        <v>-5734</v>
      </c>
      <c r="V328" s="457">
        <v>-43038</v>
      </c>
      <c r="W328" s="457">
        <v>0</v>
      </c>
      <c r="X328" s="457">
        <v>0</v>
      </c>
      <c r="Y328" s="457">
        <v>-43038</v>
      </c>
      <c r="Z328" s="457">
        <v>133297</v>
      </c>
      <c r="AA328" s="457">
        <v>133297</v>
      </c>
      <c r="AB328" s="457">
        <v>0</v>
      </c>
      <c r="AC328" s="457">
        <v>0</v>
      </c>
      <c r="AD328" s="457">
        <v>0</v>
      </c>
      <c r="AE328" s="457">
        <v>0</v>
      </c>
      <c r="AF328" s="457">
        <v>0</v>
      </c>
      <c r="AG328" s="457">
        <v>0</v>
      </c>
      <c r="AH328" s="457">
        <v>0</v>
      </c>
      <c r="AI328" s="457">
        <v>0</v>
      </c>
      <c r="AJ328" s="457">
        <v>0</v>
      </c>
      <c r="AK328" s="457">
        <v>0</v>
      </c>
      <c r="AL328" s="457">
        <v>0</v>
      </c>
      <c r="AM328" s="457">
        <v>0</v>
      </c>
      <c r="AN328" s="457">
        <v>0</v>
      </c>
      <c r="AO328" s="457">
        <v>0</v>
      </c>
      <c r="AP328" s="457">
        <v>0</v>
      </c>
      <c r="AQ328" s="457">
        <v>0</v>
      </c>
      <c r="AR328" s="457">
        <v>0</v>
      </c>
      <c r="AS328" s="457">
        <v>0</v>
      </c>
      <c r="AT328" s="457">
        <v>0</v>
      </c>
      <c r="AU328" s="457">
        <v>0</v>
      </c>
      <c r="AV328" s="457">
        <v>0</v>
      </c>
      <c r="AW328" s="457">
        <v>0</v>
      </c>
      <c r="AX328" s="457">
        <v>0</v>
      </c>
      <c r="AY328" s="457">
        <v>0</v>
      </c>
      <c r="AZ328" s="457">
        <v>0</v>
      </c>
      <c r="BA328" s="457">
        <v>389019</v>
      </c>
      <c r="BB328" s="457">
        <v>346371</v>
      </c>
      <c r="BC328" s="457">
        <v>42648</v>
      </c>
      <c r="BD328" s="457">
        <v>97255</v>
      </c>
      <c r="BE328" s="457">
        <v>86593</v>
      </c>
      <c r="BF328" s="457">
        <v>10662</v>
      </c>
      <c r="BG328" s="457">
        <v>0</v>
      </c>
      <c r="BH328" s="457">
        <v>0</v>
      </c>
      <c r="BI328" s="457">
        <v>0</v>
      </c>
    </row>
    <row r="329" spans="1:143" ht="12.75" x14ac:dyDescent="0.2">
      <c r="A329" s="446">
        <v>322</v>
      </c>
      <c r="B329" s="447" t="s">
        <v>527</v>
      </c>
      <c r="C329" s="448" t="s">
        <v>1093</v>
      </c>
      <c r="D329" s="449" t="s">
        <v>1103</v>
      </c>
      <c r="E329" s="450" t="s">
        <v>526</v>
      </c>
      <c r="F329" s="457">
        <v>38694106</v>
      </c>
      <c r="G329" s="457">
        <v>0</v>
      </c>
      <c r="H329" s="457">
        <v>0</v>
      </c>
      <c r="I329" s="457">
        <v>38694106</v>
      </c>
      <c r="J329" s="457">
        <v>38814062</v>
      </c>
      <c r="K329" s="457">
        <v>0</v>
      </c>
      <c r="L329" s="457">
        <v>0</v>
      </c>
      <c r="M329" s="457">
        <v>38814062</v>
      </c>
      <c r="N329" s="457">
        <v>-119956</v>
      </c>
      <c r="O329" s="457">
        <v>0</v>
      </c>
      <c r="P329" s="457">
        <v>0</v>
      </c>
      <c r="Q329" s="457">
        <v>-119956</v>
      </c>
      <c r="R329" s="457">
        <v>76033</v>
      </c>
      <c r="S329" s="457">
        <v>0</v>
      </c>
      <c r="T329" s="457">
        <v>0</v>
      </c>
      <c r="U329" s="457">
        <v>76033</v>
      </c>
      <c r="V329" s="457">
        <v>-195989</v>
      </c>
      <c r="W329" s="457">
        <v>0</v>
      </c>
      <c r="X329" s="457">
        <v>0</v>
      </c>
      <c r="Y329" s="457">
        <v>-195989</v>
      </c>
      <c r="Z329" s="457">
        <v>188368</v>
      </c>
      <c r="AA329" s="457">
        <v>188368</v>
      </c>
      <c r="AB329" s="457">
        <v>0</v>
      </c>
      <c r="AC329" s="457">
        <v>0</v>
      </c>
      <c r="AD329" s="457">
        <v>0</v>
      </c>
      <c r="AE329" s="457">
        <v>0</v>
      </c>
      <c r="AF329" s="457">
        <v>0</v>
      </c>
      <c r="AG329" s="457">
        <v>0</v>
      </c>
      <c r="AH329" s="457">
        <v>0</v>
      </c>
      <c r="AI329" s="457">
        <v>0</v>
      </c>
      <c r="AJ329" s="457">
        <v>0</v>
      </c>
      <c r="AK329" s="457">
        <v>0</v>
      </c>
      <c r="AL329" s="457">
        <v>0</v>
      </c>
      <c r="AM329" s="457">
        <v>0</v>
      </c>
      <c r="AN329" s="457">
        <v>0</v>
      </c>
      <c r="AO329" s="457">
        <v>0</v>
      </c>
      <c r="AP329" s="457">
        <v>0</v>
      </c>
      <c r="AQ329" s="457">
        <v>0</v>
      </c>
      <c r="AR329" s="457">
        <v>0</v>
      </c>
      <c r="AS329" s="457">
        <v>0</v>
      </c>
      <c r="AT329" s="457">
        <v>0</v>
      </c>
      <c r="AU329" s="457">
        <v>0</v>
      </c>
      <c r="AV329" s="457">
        <v>0</v>
      </c>
      <c r="AW329" s="457">
        <v>0</v>
      </c>
      <c r="AX329" s="457">
        <v>0</v>
      </c>
      <c r="AY329" s="457">
        <v>0</v>
      </c>
      <c r="AZ329" s="457">
        <v>0</v>
      </c>
      <c r="BA329" s="457">
        <v>570585</v>
      </c>
      <c r="BB329" s="457">
        <v>480463</v>
      </c>
      <c r="BC329" s="457">
        <v>90122</v>
      </c>
      <c r="BD329" s="457">
        <v>128382</v>
      </c>
      <c r="BE329" s="457">
        <v>108104</v>
      </c>
      <c r="BF329" s="457">
        <v>20278</v>
      </c>
      <c r="BG329" s="457">
        <v>14265</v>
      </c>
      <c r="BH329" s="457">
        <v>12012</v>
      </c>
      <c r="BI329" s="457">
        <v>2253</v>
      </c>
    </row>
    <row r="330" spans="1:143" ht="12.75" x14ac:dyDescent="0.2">
      <c r="A330" s="446">
        <v>323</v>
      </c>
      <c r="B330" s="447" t="s">
        <v>529</v>
      </c>
      <c r="C330" s="448" t="s">
        <v>1093</v>
      </c>
      <c r="D330" s="449" t="s">
        <v>1094</v>
      </c>
      <c r="E330" s="450" t="s">
        <v>528</v>
      </c>
      <c r="F330" s="457">
        <v>80230578</v>
      </c>
      <c r="G330" s="457">
        <v>0</v>
      </c>
      <c r="H330" s="457">
        <v>0</v>
      </c>
      <c r="I330" s="457">
        <v>80230578</v>
      </c>
      <c r="J330" s="457">
        <v>81126316</v>
      </c>
      <c r="K330" s="457">
        <v>0</v>
      </c>
      <c r="L330" s="457">
        <v>0</v>
      </c>
      <c r="M330" s="457">
        <v>81126316</v>
      </c>
      <c r="N330" s="457">
        <v>-895738</v>
      </c>
      <c r="O330" s="457">
        <v>0</v>
      </c>
      <c r="P330" s="457">
        <v>0</v>
      </c>
      <c r="Q330" s="457">
        <v>-895738</v>
      </c>
      <c r="R330" s="457">
        <v>43503</v>
      </c>
      <c r="S330" s="457">
        <v>0</v>
      </c>
      <c r="T330" s="457">
        <v>0</v>
      </c>
      <c r="U330" s="457">
        <v>43503</v>
      </c>
      <c r="V330" s="457">
        <v>-939241</v>
      </c>
      <c r="W330" s="457">
        <v>0</v>
      </c>
      <c r="X330" s="457">
        <v>0</v>
      </c>
      <c r="Y330" s="457">
        <v>-939241</v>
      </c>
      <c r="Z330" s="457">
        <v>248843</v>
      </c>
      <c r="AA330" s="457">
        <v>248843</v>
      </c>
      <c r="AB330" s="457">
        <v>0</v>
      </c>
      <c r="AC330" s="457">
        <v>0</v>
      </c>
      <c r="AD330" s="457">
        <v>0</v>
      </c>
      <c r="AE330" s="457">
        <v>0</v>
      </c>
      <c r="AF330" s="457">
        <v>0</v>
      </c>
      <c r="AG330" s="457">
        <v>0</v>
      </c>
      <c r="AH330" s="457">
        <v>0</v>
      </c>
      <c r="AI330" s="457">
        <v>0</v>
      </c>
      <c r="AJ330" s="457">
        <v>0</v>
      </c>
      <c r="AK330" s="457">
        <v>0</v>
      </c>
      <c r="AL330" s="457">
        <v>0</v>
      </c>
      <c r="AM330" s="457">
        <v>0</v>
      </c>
      <c r="AN330" s="457">
        <v>0</v>
      </c>
      <c r="AO330" s="457">
        <v>0</v>
      </c>
      <c r="AP330" s="457">
        <v>0</v>
      </c>
      <c r="AQ330" s="457">
        <v>0</v>
      </c>
      <c r="AR330" s="457">
        <v>0</v>
      </c>
      <c r="AS330" s="457">
        <v>0</v>
      </c>
      <c r="AT330" s="457">
        <v>0</v>
      </c>
      <c r="AU330" s="457">
        <v>0</v>
      </c>
      <c r="AV330" s="457">
        <v>0</v>
      </c>
      <c r="AW330" s="457">
        <v>0</v>
      </c>
      <c r="AX330" s="457">
        <v>0</v>
      </c>
      <c r="AY330" s="457">
        <v>0</v>
      </c>
      <c r="AZ330" s="457">
        <v>0</v>
      </c>
      <c r="BA330" s="457">
        <v>423190</v>
      </c>
      <c r="BB330" s="457">
        <v>354460</v>
      </c>
      <c r="BC330" s="457">
        <v>68730</v>
      </c>
      <c r="BD330" s="457">
        <v>95218</v>
      </c>
      <c r="BE330" s="457">
        <v>79754</v>
      </c>
      <c r="BF330" s="457">
        <v>15464</v>
      </c>
      <c r="BG330" s="457">
        <v>10580</v>
      </c>
      <c r="BH330" s="457">
        <v>8862</v>
      </c>
      <c r="BI330" s="457">
        <v>1718</v>
      </c>
    </row>
    <row r="331" spans="1:143" ht="12.75" x14ac:dyDescent="0.2">
      <c r="A331" s="446">
        <v>324</v>
      </c>
      <c r="B331" s="447" t="s">
        <v>531</v>
      </c>
      <c r="C331" s="448" t="s">
        <v>1093</v>
      </c>
      <c r="D331" s="449" t="s">
        <v>1095</v>
      </c>
      <c r="E331" s="450" t="s">
        <v>530</v>
      </c>
      <c r="F331" s="457">
        <v>26802113.100000001</v>
      </c>
      <c r="G331" s="457">
        <v>0</v>
      </c>
      <c r="H331" s="457">
        <v>0</v>
      </c>
      <c r="I331" s="457">
        <v>26802113.100000001</v>
      </c>
      <c r="J331" s="457">
        <v>26599704.300000001</v>
      </c>
      <c r="K331" s="457">
        <v>0</v>
      </c>
      <c r="L331" s="457">
        <v>0</v>
      </c>
      <c r="M331" s="457">
        <v>26599704.300000001</v>
      </c>
      <c r="N331" s="457">
        <v>202408.81</v>
      </c>
      <c r="O331" s="457">
        <v>0</v>
      </c>
      <c r="P331" s="457">
        <v>0</v>
      </c>
      <c r="Q331" s="457">
        <v>202408.81</v>
      </c>
      <c r="R331" s="457">
        <v>245465</v>
      </c>
      <c r="S331" s="457">
        <v>0</v>
      </c>
      <c r="T331" s="457">
        <v>0</v>
      </c>
      <c r="U331" s="457">
        <v>245465</v>
      </c>
      <c r="V331" s="457">
        <v>-43056</v>
      </c>
      <c r="W331" s="457">
        <v>0</v>
      </c>
      <c r="X331" s="457">
        <v>0</v>
      </c>
      <c r="Y331" s="457">
        <v>-43056</v>
      </c>
      <c r="Z331" s="457">
        <v>154556</v>
      </c>
      <c r="AA331" s="457">
        <v>154556</v>
      </c>
      <c r="AB331" s="457">
        <v>0</v>
      </c>
      <c r="AC331" s="457">
        <v>0</v>
      </c>
      <c r="AD331" s="457">
        <v>0</v>
      </c>
      <c r="AE331" s="457">
        <v>0</v>
      </c>
      <c r="AF331" s="457">
        <v>0</v>
      </c>
      <c r="AG331" s="457">
        <v>0</v>
      </c>
      <c r="AH331" s="457">
        <v>0</v>
      </c>
      <c r="AI331" s="457">
        <v>0</v>
      </c>
      <c r="AJ331" s="457">
        <v>0</v>
      </c>
      <c r="AK331" s="457">
        <v>0</v>
      </c>
      <c r="AL331" s="457">
        <v>0</v>
      </c>
      <c r="AM331" s="457">
        <v>0</v>
      </c>
      <c r="AN331" s="457">
        <v>0</v>
      </c>
      <c r="AO331" s="457">
        <v>0</v>
      </c>
      <c r="AP331" s="457">
        <v>0</v>
      </c>
      <c r="AQ331" s="457">
        <v>0</v>
      </c>
      <c r="AR331" s="457">
        <v>0</v>
      </c>
      <c r="AS331" s="457">
        <v>0</v>
      </c>
      <c r="AT331" s="457">
        <v>0</v>
      </c>
      <c r="AU331" s="457">
        <v>0</v>
      </c>
      <c r="AV331" s="457">
        <v>0</v>
      </c>
      <c r="AW331" s="457">
        <v>0</v>
      </c>
      <c r="AX331" s="457">
        <v>0</v>
      </c>
      <c r="AY331" s="457">
        <v>0</v>
      </c>
      <c r="AZ331" s="457">
        <v>0</v>
      </c>
      <c r="BA331" s="457">
        <v>537481</v>
      </c>
      <c r="BB331" s="457">
        <v>471026</v>
      </c>
      <c r="BC331" s="457">
        <v>66455</v>
      </c>
      <c r="BD331" s="457">
        <v>120933</v>
      </c>
      <c r="BE331" s="457">
        <v>105981</v>
      </c>
      <c r="BF331" s="457">
        <v>14952</v>
      </c>
      <c r="BG331" s="457">
        <v>13437</v>
      </c>
      <c r="BH331" s="457">
        <v>11776</v>
      </c>
      <c r="BI331" s="457">
        <v>1661</v>
      </c>
    </row>
    <row r="332" spans="1:143" ht="12.75" x14ac:dyDescent="0.2">
      <c r="A332" s="446">
        <v>325</v>
      </c>
      <c r="B332" s="447" t="s">
        <v>533</v>
      </c>
      <c r="C332" s="448" t="s">
        <v>1093</v>
      </c>
      <c r="D332" s="449" t="s">
        <v>1103</v>
      </c>
      <c r="E332" s="450" t="s">
        <v>532</v>
      </c>
      <c r="F332" s="457">
        <v>34034417.600000001</v>
      </c>
      <c r="G332" s="457">
        <v>0</v>
      </c>
      <c r="H332" s="457">
        <v>0</v>
      </c>
      <c r="I332" s="457">
        <v>34034417.600000001</v>
      </c>
      <c r="J332" s="457">
        <v>34201245.600000001</v>
      </c>
      <c r="K332" s="457">
        <v>0</v>
      </c>
      <c r="L332" s="457">
        <v>0</v>
      </c>
      <c r="M332" s="457">
        <v>34201245.600000001</v>
      </c>
      <c r="N332" s="457">
        <v>-166828</v>
      </c>
      <c r="O332" s="457">
        <v>0</v>
      </c>
      <c r="P332" s="457">
        <v>0</v>
      </c>
      <c r="Q332" s="457">
        <v>-166828</v>
      </c>
      <c r="R332" s="457">
        <v>-12735</v>
      </c>
      <c r="S332" s="457">
        <v>0</v>
      </c>
      <c r="T332" s="457">
        <v>0</v>
      </c>
      <c r="U332" s="457">
        <v>-12735</v>
      </c>
      <c r="V332" s="457">
        <v>-154093</v>
      </c>
      <c r="W332" s="457">
        <v>0</v>
      </c>
      <c r="X332" s="457">
        <v>0</v>
      </c>
      <c r="Y332" s="457">
        <v>-154093</v>
      </c>
      <c r="Z332" s="457">
        <v>137574</v>
      </c>
      <c r="AA332" s="457">
        <v>137574</v>
      </c>
      <c r="AB332" s="457">
        <v>0</v>
      </c>
      <c r="AC332" s="457">
        <v>0</v>
      </c>
      <c r="AD332" s="457">
        <v>0</v>
      </c>
      <c r="AE332" s="457">
        <v>0</v>
      </c>
      <c r="AF332" s="457">
        <v>0</v>
      </c>
      <c r="AG332" s="457">
        <v>0</v>
      </c>
      <c r="AH332" s="457">
        <v>0</v>
      </c>
      <c r="AI332" s="457">
        <v>0</v>
      </c>
      <c r="AJ332" s="457">
        <v>0</v>
      </c>
      <c r="AK332" s="457">
        <v>0</v>
      </c>
      <c r="AL332" s="457">
        <v>0</v>
      </c>
      <c r="AM332" s="457">
        <v>0</v>
      </c>
      <c r="AN332" s="457">
        <v>0</v>
      </c>
      <c r="AO332" s="457">
        <v>0</v>
      </c>
      <c r="AP332" s="457">
        <v>0</v>
      </c>
      <c r="AQ332" s="457">
        <v>0</v>
      </c>
      <c r="AR332" s="457">
        <v>0</v>
      </c>
      <c r="AS332" s="457">
        <v>0</v>
      </c>
      <c r="AT332" s="457">
        <v>0</v>
      </c>
      <c r="AU332" s="457">
        <v>0</v>
      </c>
      <c r="AV332" s="457">
        <v>0</v>
      </c>
      <c r="AW332" s="457">
        <v>0</v>
      </c>
      <c r="AX332" s="457">
        <v>0</v>
      </c>
      <c r="AY332" s="457">
        <v>0</v>
      </c>
      <c r="AZ332" s="457">
        <v>0</v>
      </c>
      <c r="BA332" s="457">
        <v>400226</v>
      </c>
      <c r="BB332" s="457">
        <v>343198</v>
      </c>
      <c r="BC332" s="457">
        <v>57028</v>
      </c>
      <c r="BD332" s="457">
        <v>90051</v>
      </c>
      <c r="BE332" s="457">
        <v>77219</v>
      </c>
      <c r="BF332" s="457">
        <v>12832</v>
      </c>
      <c r="BG332" s="457">
        <v>10006</v>
      </c>
      <c r="BH332" s="457">
        <v>8580</v>
      </c>
      <c r="BI332" s="457">
        <v>1426</v>
      </c>
    </row>
    <row r="333" spans="1:143" ht="13.5" thickBot="1" x14ac:dyDescent="0.25">
      <c r="A333" s="446">
        <v>326</v>
      </c>
      <c r="B333" s="447" t="s">
        <v>535</v>
      </c>
      <c r="C333" s="448" t="s">
        <v>794</v>
      </c>
      <c r="D333" s="449" t="s">
        <v>1101</v>
      </c>
      <c r="E333" s="450" t="s">
        <v>759</v>
      </c>
      <c r="F333" s="457">
        <v>95447166.700000003</v>
      </c>
      <c r="G333" s="457">
        <v>0</v>
      </c>
      <c r="H333" s="457">
        <v>0</v>
      </c>
      <c r="I333" s="457">
        <v>95447166.700000003</v>
      </c>
      <c r="J333" s="457">
        <v>95878784.700000003</v>
      </c>
      <c r="K333" s="457">
        <v>0</v>
      </c>
      <c r="L333" s="457">
        <v>0</v>
      </c>
      <c r="M333" s="457">
        <v>95878784.700000003</v>
      </c>
      <c r="N333" s="457">
        <v>-431618.03</v>
      </c>
      <c r="O333" s="457">
        <v>0</v>
      </c>
      <c r="P333" s="457">
        <v>0</v>
      </c>
      <c r="Q333" s="457">
        <v>-431618.03</v>
      </c>
      <c r="R333" s="457">
        <v>185399</v>
      </c>
      <c r="S333" s="457">
        <v>0</v>
      </c>
      <c r="T333" s="457">
        <v>0</v>
      </c>
      <c r="U333" s="457">
        <v>185399</v>
      </c>
      <c r="V333" s="457">
        <v>-617017</v>
      </c>
      <c r="W333" s="457">
        <v>0</v>
      </c>
      <c r="X333" s="457">
        <v>0</v>
      </c>
      <c r="Y333" s="457">
        <v>-617017</v>
      </c>
      <c r="Z333" s="457">
        <v>295938</v>
      </c>
      <c r="AA333" s="457">
        <v>295938</v>
      </c>
      <c r="AB333" s="457">
        <v>0</v>
      </c>
      <c r="AC333" s="457">
        <v>0</v>
      </c>
      <c r="AD333" s="457">
        <v>0</v>
      </c>
      <c r="AE333" s="457">
        <v>0</v>
      </c>
      <c r="AF333" s="457">
        <v>0</v>
      </c>
      <c r="AG333" s="457">
        <v>0</v>
      </c>
      <c r="AH333" s="457">
        <v>0</v>
      </c>
      <c r="AI333" s="457">
        <v>0</v>
      </c>
      <c r="AJ333" s="457">
        <v>0</v>
      </c>
      <c r="AK333" s="457">
        <v>0</v>
      </c>
      <c r="AL333" s="457">
        <v>0</v>
      </c>
      <c r="AM333" s="457">
        <v>0</v>
      </c>
      <c r="AN333" s="457">
        <v>0</v>
      </c>
      <c r="AO333" s="457">
        <v>0</v>
      </c>
      <c r="AP333" s="457">
        <v>0</v>
      </c>
      <c r="AQ333" s="457">
        <v>0</v>
      </c>
      <c r="AR333" s="457">
        <v>0</v>
      </c>
      <c r="AS333" s="457">
        <v>0</v>
      </c>
      <c r="AT333" s="457">
        <v>0</v>
      </c>
      <c r="AU333" s="457">
        <v>0</v>
      </c>
      <c r="AV333" s="457">
        <v>0</v>
      </c>
      <c r="AW333" s="457">
        <v>0</v>
      </c>
      <c r="AX333" s="457">
        <v>0</v>
      </c>
      <c r="AY333" s="457">
        <v>0</v>
      </c>
      <c r="AZ333" s="457">
        <v>0</v>
      </c>
      <c r="BA333" s="457">
        <v>732385</v>
      </c>
      <c r="BB333" s="457">
        <v>614661</v>
      </c>
      <c r="BC333" s="457">
        <v>117724</v>
      </c>
      <c r="BD333" s="457">
        <v>0</v>
      </c>
      <c r="BE333" s="457">
        <v>0</v>
      </c>
      <c r="BF333" s="457">
        <v>0</v>
      </c>
      <c r="BG333" s="457">
        <v>14947</v>
      </c>
      <c r="BH333" s="457">
        <v>12544</v>
      </c>
      <c r="BI333" s="457">
        <v>2403</v>
      </c>
    </row>
    <row r="334" spans="1:143" ht="15.75" thickBot="1" x14ac:dyDescent="0.25">
      <c r="A334">
        <v>327</v>
      </c>
      <c r="B334" s="98"/>
      <c r="D334" s="126" t="s">
        <v>1097</v>
      </c>
      <c r="E334" s="126" t="s">
        <v>706</v>
      </c>
      <c r="F334" s="102">
        <f>SUM(F8:F333)</f>
        <v>21885754140.899994</v>
      </c>
      <c r="G334" s="102">
        <f t="shared" ref="G334:BI334" si="0">SUM(G8:G333)</f>
        <v>7343012</v>
      </c>
      <c r="H334" s="102">
        <f t="shared" si="0"/>
        <v>73234035.620000005</v>
      </c>
      <c r="I334" s="102">
        <f t="shared" si="0"/>
        <v>21966331188.599995</v>
      </c>
      <c r="J334" s="102">
        <f t="shared" si="0"/>
        <v>21916906180.620003</v>
      </c>
      <c r="K334" s="102">
        <f t="shared" si="0"/>
        <v>7337586</v>
      </c>
      <c r="L334" s="102">
        <f t="shared" si="0"/>
        <v>73153400.010000005</v>
      </c>
      <c r="M334" s="102">
        <f t="shared" si="0"/>
        <v>21997397166.620003</v>
      </c>
      <c r="N334" s="102">
        <f t="shared" si="0"/>
        <v>-33659543.540000007</v>
      </c>
      <c r="O334" s="102">
        <f t="shared" si="0"/>
        <v>5426</v>
      </c>
      <c r="P334" s="102">
        <f t="shared" si="0"/>
        <v>80635.610000000015</v>
      </c>
      <c r="Q334" s="102">
        <f t="shared" si="0"/>
        <v>-33573481.910000004</v>
      </c>
      <c r="R334" s="102">
        <f t="shared" si="0"/>
        <v>116964773.45</v>
      </c>
      <c r="S334" s="102">
        <f t="shared" si="0"/>
        <v>0</v>
      </c>
      <c r="T334" s="102">
        <f t="shared" si="0"/>
        <v>-770.25</v>
      </c>
      <c r="U334" s="102">
        <f t="shared" si="0"/>
        <v>116964002</v>
      </c>
      <c r="V334" s="102">
        <f t="shared" si="0"/>
        <v>-150678687</v>
      </c>
      <c r="W334" s="102">
        <f t="shared" si="0"/>
        <v>5426</v>
      </c>
      <c r="X334" s="102">
        <f t="shared" si="0"/>
        <v>81406</v>
      </c>
      <c r="Y334" s="102">
        <f t="shared" si="0"/>
        <v>-150591854.82999998</v>
      </c>
      <c r="Z334" s="102">
        <f t="shared" si="0"/>
        <v>84126680</v>
      </c>
      <c r="AA334" s="102">
        <f t="shared" si="0"/>
        <v>84001481</v>
      </c>
      <c r="AB334" s="102">
        <f t="shared" si="0"/>
        <v>125199</v>
      </c>
      <c r="AC334" s="102">
        <f t="shared" si="0"/>
        <v>2727861</v>
      </c>
      <c r="AD334" s="102">
        <f t="shared" si="0"/>
        <v>4462117</v>
      </c>
      <c r="AE334" s="102">
        <f t="shared" si="0"/>
        <v>-1734256</v>
      </c>
      <c r="AF334" s="102">
        <f t="shared" si="0"/>
        <v>1132971</v>
      </c>
      <c r="AG334" s="102">
        <f t="shared" si="0"/>
        <v>152225</v>
      </c>
      <c r="AH334" s="102">
        <f t="shared" si="0"/>
        <v>980746</v>
      </c>
      <c r="AI334" s="102">
        <f t="shared" si="0"/>
        <v>3595456</v>
      </c>
      <c r="AJ334" s="102">
        <f t="shared" si="0"/>
        <v>1879911</v>
      </c>
      <c r="AK334" s="102">
        <f t="shared" si="0"/>
        <v>1715545</v>
      </c>
      <c r="AL334" s="102">
        <f t="shared" si="0"/>
        <v>0</v>
      </c>
      <c r="AM334" s="102">
        <f t="shared" si="0"/>
        <v>46086</v>
      </c>
      <c r="AN334" s="102">
        <f t="shared" si="0"/>
        <v>-46086</v>
      </c>
      <c r="AO334" s="102">
        <f t="shared" si="0"/>
        <v>6849309</v>
      </c>
      <c r="AP334" s="102">
        <f t="shared" si="0"/>
        <v>6430918</v>
      </c>
      <c r="AQ334" s="102">
        <f t="shared" si="0"/>
        <v>418391</v>
      </c>
      <c r="AR334" s="102">
        <f t="shared" si="0"/>
        <v>6660932</v>
      </c>
      <c r="AS334" s="102">
        <f t="shared" si="0"/>
        <v>4904032</v>
      </c>
      <c r="AT334" s="102">
        <f t="shared" si="0"/>
        <v>1756900</v>
      </c>
      <c r="AU334" s="102">
        <f t="shared" si="0"/>
        <v>156733</v>
      </c>
      <c r="AV334" s="102">
        <f t="shared" si="0"/>
        <v>6759</v>
      </c>
      <c r="AW334" s="102">
        <f t="shared" si="0"/>
        <v>149974</v>
      </c>
      <c r="AX334" s="102">
        <f t="shared" si="0"/>
        <v>19923</v>
      </c>
      <c r="AY334" s="102">
        <f t="shared" si="0"/>
        <v>2388</v>
      </c>
      <c r="AZ334" s="102">
        <f t="shared" si="0"/>
        <v>17535</v>
      </c>
      <c r="BA334" s="102">
        <f t="shared" si="0"/>
        <v>213415643</v>
      </c>
      <c r="BB334" s="102">
        <f t="shared" si="0"/>
        <v>176601680</v>
      </c>
      <c r="BC334" s="102">
        <f t="shared" si="0"/>
        <v>36813963</v>
      </c>
      <c r="BD334" s="102">
        <f t="shared" si="0"/>
        <v>31273802</v>
      </c>
      <c r="BE334" s="102">
        <f t="shared" si="0"/>
        <v>25544494</v>
      </c>
      <c r="BF334" s="102">
        <f t="shared" si="0"/>
        <v>5729308</v>
      </c>
      <c r="BG334" s="102">
        <f t="shared" si="0"/>
        <v>3425098</v>
      </c>
      <c r="BH334" s="102">
        <f t="shared" si="0"/>
        <v>2853836</v>
      </c>
      <c r="BI334" s="102">
        <f t="shared" si="0"/>
        <v>571262</v>
      </c>
    </row>
    <row r="335" spans="1:143" x14ac:dyDescent="0.2">
      <c r="A335">
        <v>328</v>
      </c>
      <c r="D335" s="326" t="s">
        <v>1104</v>
      </c>
      <c r="E335" s="327" t="s">
        <v>1106</v>
      </c>
      <c r="F335" s="328">
        <f>SUMIF($C$3:$C$333,$D335,F$3:F$333)</f>
        <v>4402639121</v>
      </c>
      <c r="G335" s="328">
        <f t="shared" ref="G335:BI339" si="1">SUMIF($C$3:$C$333,$D335,G$3:G$333)</f>
        <v>0</v>
      </c>
      <c r="H335" s="328">
        <f t="shared" si="1"/>
        <v>0</v>
      </c>
      <c r="I335" s="328">
        <f t="shared" si="1"/>
        <v>4402639121</v>
      </c>
      <c r="J335" s="328">
        <f t="shared" si="1"/>
        <v>4428505628</v>
      </c>
      <c r="K335" s="328">
        <f t="shared" si="1"/>
        <v>0</v>
      </c>
      <c r="L335" s="328">
        <f t="shared" si="1"/>
        <v>0</v>
      </c>
      <c r="M335" s="328">
        <f t="shared" si="1"/>
        <v>4428505628</v>
      </c>
      <c r="N335" s="328">
        <f t="shared" si="1"/>
        <v>-27084291</v>
      </c>
      <c r="O335" s="328">
        <f t="shared" si="1"/>
        <v>0</v>
      </c>
      <c r="P335" s="328">
        <f t="shared" si="1"/>
        <v>0</v>
      </c>
      <c r="Q335" s="328">
        <f t="shared" si="1"/>
        <v>-27084291</v>
      </c>
      <c r="R335" s="328">
        <f t="shared" si="1"/>
        <v>20653933</v>
      </c>
      <c r="S335" s="328">
        <f t="shared" si="1"/>
        <v>0</v>
      </c>
      <c r="T335" s="328">
        <f t="shared" si="1"/>
        <v>0</v>
      </c>
      <c r="U335" s="328">
        <f t="shared" si="1"/>
        <v>20653933</v>
      </c>
      <c r="V335" s="328">
        <f t="shared" si="1"/>
        <v>-47738224</v>
      </c>
      <c r="W335" s="328">
        <f t="shared" si="1"/>
        <v>0</v>
      </c>
      <c r="X335" s="328">
        <f t="shared" si="1"/>
        <v>0</v>
      </c>
      <c r="Y335" s="328">
        <f t="shared" si="1"/>
        <v>-47738224</v>
      </c>
      <c r="Z335" s="328">
        <f t="shared" si="1"/>
        <v>11553579</v>
      </c>
      <c r="AA335" s="328">
        <f t="shared" si="1"/>
        <v>11549955</v>
      </c>
      <c r="AB335" s="328">
        <f t="shared" si="1"/>
        <v>3624</v>
      </c>
      <c r="AC335" s="328">
        <f t="shared" si="1"/>
        <v>0</v>
      </c>
      <c r="AD335" s="328">
        <f t="shared" si="1"/>
        <v>0</v>
      </c>
      <c r="AE335" s="328">
        <f t="shared" si="1"/>
        <v>0</v>
      </c>
      <c r="AF335" s="328">
        <f t="shared" si="1"/>
        <v>0</v>
      </c>
      <c r="AG335" s="328">
        <f t="shared" si="1"/>
        <v>0</v>
      </c>
      <c r="AH335" s="328">
        <f t="shared" si="1"/>
        <v>0</v>
      </c>
      <c r="AI335" s="328">
        <f t="shared" si="1"/>
        <v>60284</v>
      </c>
      <c r="AJ335" s="328">
        <f t="shared" si="1"/>
        <v>0</v>
      </c>
      <c r="AK335" s="328">
        <f t="shared" si="1"/>
        <v>60284</v>
      </c>
      <c r="AL335" s="328">
        <f t="shared" si="1"/>
        <v>0</v>
      </c>
      <c r="AM335" s="328">
        <f t="shared" si="1"/>
        <v>0</v>
      </c>
      <c r="AN335" s="328">
        <f t="shared" si="1"/>
        <v>0</v>
      </c>
      <c r="AO335" s="328">
        <f t="shared" si="1"/>
        <v>0</v>
      </c>
      <c r="AP335" s="328">
        <f t="shared" si="1"/>
        <v>0</v>
      </c>
      <c r="AQ335" s="328">
        <f t="shared" si="1"/>
        <v>0</v>
      </c>
      <c r="AR335" s="328">
        <f t="shared" si="1"/>
        <v>0</v>
      </c>
      <c r="AS335" s="328">
        <f t="shared" si="1"/>
        <v>0</v>
      </c>
      <c r="AT335" s="328">
        <f t="shared" si="1"/>
        <v>0</v>
      </c>
      <c r="AU335" s="328">
        <f t="shared" si="1"/>
        <v>0</v>
      </c>
      <c r="AV335" s="328">
        <f t="shared" si="1"/>
        <v>0</v>
      </c>
      <c r="AW335" s="328">
        <f t="shared" si="1"/>
        <v>0</v>
      </c>
      <c r="AX335" s="328">
        <f t="shared" si="1"/>
        <v>0</v>
      </c>
      <c r="AY335" s="328">
        <f t="shared" si="1"/>
        <v>0</v>
      </c>
      <c r="AZ335" s="328">
        <f t="shared" si="1"/>
        <v>0</v>
      </c>
      <c r="BA335" s="328">
        <f t="shared" si="1"/>
        <v>6487826</v>
      </c>
      <c r="BB335" s="328">
        <f t="shared" si="1"/>
        <v>5493116</v>
      </c>
      <c r="BC335" s="328">
        <f t="shared" si="1"/>
        <v>994710</v>
      </c>
      <c r="BD335" s="328">
        <f t="shared" si="1"/>
        <v>4325218</v>
      </c>
      <c r="BE335" s="328">
        <f t="shared" si="1"/>
        <v>3662079</v>
      </c>
      <c r="BF335" s="328">
        <f t="shared" si="1"/>
        <v>663139</v>
      </c>
      <c r="BG335" s="328">
        <f t="shared" si="1"/>
        <v>0</v>
      </c>
      <c r="BH335" s="328">
        <f t="shared" si="1"/>
        <v>0</v>
      </c>
      <c r="BI335" s="328">
        <f t="shared" si="1"/>
        <v>0</v>
      </c>
      <c r="BJ335" s="328"/>
      <c r="BK335" s="328"/>
      <c r="BL335" s="328"/>
      <c r="BM335" s="328"/>
      <c r="BN335" s="328"/>
      <c r="BO335" s="328"/>
      <c r="BP335" s="328"/>
      <c r="BQ335" s="328"/>
      <c r="BR335" s="328"/>
      <c r="BS335" s="328"/>
      <c r="BT335" s="328"/>
      <c r="BU335" s="328"/>
      <c r="BV335" s="328"/>
      <c r="BW335" s="328"/>
      <c r="BX335" s="328"/>
      <c r="BY335" s="328"/>
      <c r="BZ335" s="328"/>
      <c r="CA335" s="328"/>
      <c r="CB335" s="328"/>
      <c r="CC335" s="328"/>
      <c r="CD335" s="328"/>
      <c r="CE335" s="328"/>
      <c r="CF335" s="328"/>
      <c r="CG335" s="328"/>
      <c r="CH335" s="328"/>
      <c r="CI335" s="328"/>
      <c r="CJ335" s="328"/>
      <c r="CK335" s="328"/>
      <c r="CL335" s="328"/>
      <c r="CM335" s="328"/>
      <c r="CN335" s="328"/>
      <c r="CO335" s="328"/>
      <c r="CP335" s="328"/>
      <c r="CQ335" s="328"/>
      <c r="CR335" s="328"/>
      <c r="CS335" s="328"/>
      <c r="CT335" s="328"/>
      <c r="CU335" s="328"/>
      <c r="CV335" s="328"/>
      <c r="CW335" s="328"/>
      <c r="CX335" s="328"/>
      <c r="CY335" s="328"/>
      <c r="CZ335" s="328"/>
      <c r="DA335" s="328"/>
      <c r="DB335" s="328"/>
      <c r="DC335" s="328"/>
      <c r="DD335" s="328"/>
      <c r="DE335" s="328"/>
      <c r="DF335" s="328"/>
      <c r="DG335" s="328"/>
      <c r="DH335" s="328"/>
      <c r="DI335" s="328"/>
      <c r="DJ335" s="328"/>
      <c r="DK335" s="328"/>
      <c r="DL335" s="328"/>
      <c r="DM335" s="328"/>
      <c r="DN335" s="328"/>
      <c r="DO335" s="328"/>
      <c r="DP335" s="328"/>
      <c r="DQ335" s="328"/>
      <c r="DR335" s="328"/>
      <c r="DS335" s="328"/>
      <c r="DT335" s="328"/>
      <c r="DU335" s="328"/>
      <c r="DV335" s="328"/>
      <c r="DW335" s="328"/>
      <c r="DX335" s="328"/>
      <c r="DY335" s="328"/>
      <c r="DZ335" s="328"/>
      <c r="EA335" s="328"/>
      <c r="EB335" s="328"/>
      <c r="EC335" s="328"/>
      <c r="ED335" s="328"/>
      <c r="EE335" s="328"/>
      <c r="EF335" s="328"/>
      <c r="EG335" s="328"/>
      <c r="EH335" s="328"/>
      <c r="EI335" s="328"/>
      <c r="EJ335" s="328"/>
      <c r="EK335" s="328"/>
      <c r="EL335" s="328"/>
      <c r="EM335" s="328"/>
    </row>
    <row r="336" spans="1:143" x14ac:dyDescent="0.2">
      <c r="A336">
        <v>329</v>
      </c>
      <c r="D336" s="326" t="s">
        <v>1098</v>
      </c>
      <c r="E336" s="327" t="s">
        <v>1107</v>
      </c>
      <c r="F336" s="328">
        <f>SUMIF($C$3:$C$333,$D336,F$3:F$333)</f>
        <v>1863409438.47</v>
      </c>
      <c r="G336" s="328">
        <f t="shared" ref="F336:U339" si="2">SUMIF($C$3:$C$333,$D336,G$3:G$333)</f>
        <v>0</v>
      </c>
      <c r="H336" s="328">
        <f t="shared" si="2"/>
        <v>404449</v>
      </c>
      <c r="I336" s="328">
        <f t="shared" si="2"/>
        <v>1863813887.47</v>
      </c>
      <c r="J336" s="328">
        <f t="shared" si="2"/>
        <v>1866743423.4000001</v>
      </c>
      <c r="K336" s="328">
        <f t="shared" si="2"/>
        <v>0</v>
      </c>
      <c r="L336" s="328">
        <f t="shared" si="2"/>
        <v>404055</v>
      </c>
      <c r="M336" s="328">
        <f t="shared" si="2"/>
        <v>1867147478.4000001</v>
      </c>
      <c r="N336" s="328">
        <f t="shared" si="2"/>
        <v>-3333983.49</v>
      </c>
      <c r="O336" s="328">
        <f t="shared" si="2"/>
        <v>0</v>
      </c>
      <c r="P336" s="328">
        <f t="shared" si="2"/>
        <v>394</v>
      </c>
      <c r="Q336" s="328">
        <f t="shared" si="2"/>
        <v>-3333589.49</v>
      </c>
      <c r="R336" s="328">
        <f t="shared" si="2"/>
        <v>2677415</v>
      </c>
      <c r="S336" s="328">
        <f t="shared" si="2"/>
        <v>0</v>
      </c>
      <c r="T336" s="328">
        <f t="shared" si="2"/>
        <v>0</v>
      </c>
      <c r="U336" s="328">
        <f t="shared" si="2"/>
        <v>2677415</v>
      </c>
      <c r="V336" s="328">
        <f t="shared" si="1"/>
        <v>-6011397</v>
      </c>
      <c r="W336" s="328">
        <f t="shared" si="1"/>
        <v>0</v>
      </c>
      <c r="X336" s="328">
        <f t="shared" si="1"/>
        <v>394</v>
      </c>
      <c r="Y336" s="328">
        <f t="shared" si="1"/>
        <v>-6011003</v>
      </c>
      <c r="Z336" s="328">
        <f t="shared" si="1"/>
        <v>6844759</v>
      </c>
      <c r="AA336" s="328">
        <f t="shared" si="1"/>
        <v>6781022</v>
      </c>
      <c r="AB336" s="328">
        <f t="shared" si="1"/>
        <v>63737</v>
      </c>
      <c r="AC336" s="328">
        <f t="shared" si="1"/>
        <v>173688</v>
      </c>
      <c r="AD336" s="328">
        <f t="shared" si="1"/>
        <v>0</v>
      </c>
      <c r="AE336" s="328">
        <f t="shared" si="1"/>
        <v>173688</v>
      </c>
      <c r="AF336" s="328">
        <f t="shared" si="1"/>
        <v>0</v>
      </c>
      <c r="AG336" s="328">
        <f t="shared" si="1"/>
        <v>0</v>
      </c>
      <c r="AH336" s="328">
        <f t="shared" si="1"/>
        <v>0</v>
      </c>
      <c r="AI336" s="328">
        <f t="shared" si="1"/>
        <v>0</v>
      </c>
      <c r="AJ336" s="328">
        <f t="shared" si="1"/>
        <v>0</v>
      </c>
      <c r="AK336" s="328">
        <f t="shared" si="1"/>
        <v>0</v>
      </c>
      <c r="AL336" s="328">
        <f t="shared" si="1"/>
        <v>0</v>
      </c>
      <c r="AM336" s="328">
        <f t="shared" si="1"/>
        <v>0</v>
      </c>
      <c r="AN336" s="328">
        <f t="shared" si="1"/>
        <v>0</v>
      </c>
      <c r="AO336" s="328">
        <f t="shared" si="1"/>
        <v>101389</v>
      </c>
      <c r="AP336" s="328">
        <f t="shared" si="1"/>
        <v>151485</v>
      </c>
      <c r="AQ336" s="328">
        <f t="shared" si="1"/>
        <v>-50096</v>
      </c>
      <c r="AR336" s="328">
        <f t="shared" si="1"/>
        <v>101389</v>
      </c>
      <c r="AS336" s="328">
        <f t="shared" si="1"/>
        <v>151485</v>
      </c>
      <c r="AT336" s="328">
        <f t="shared" si="1"/>
        <v>-50096</v>
      </c>
      <c r="AU336" s="328">
        <f t="shared" si="1"/>
        <v>0</v>
      </c>
      <c r="AV336" s="328">
        <f t="shared" si="1"/>
        <v>0</v>
      </c>
      <c r="AW336" s="328">
        <f t="shared" si="1"/>
        <v>0</v>
      </c>
      <c r="AX336" s="328">
        <f t="shared" si="1"/>
        <v>0</v>
      </c>
      <c r="AY336" s="328">
        <f t="shared" si="1"/>
        <v>0</v>
      </c>
      <c r="AZ336" s="328">
        <f t="shared" si="1"/>
        <v>0</v>
      </c>
      <c r="BA336" s="328">
        <f t="shared" si="1"/>
        <v>11085299</v>
      </c>
      <c r="BB336" s="328">
        <f t="shared" si="1"/>
        <v>8410761</v>
      </c>
      <c r="BC336" s="328">
        <f t="shared" si="1"/>
        <v>2674538</v>
      </c>
      <c r="BD336" s="328">
        <f t="shared" si="1"/>
        <v>7388694</v>
      </c>
      <c r="BE336" s="328">
        <f t="shared" si="1"/>
        <v>5607174</v>
      </c>
      <c r="BF336" s="328">
        <f t="shared" si="1"/>
        <v>1781520</v>
      </c>
      <c r="BG336" s="328">
        <f t="shared" si="1"/>
        <v>0</v>
      </c>
      <c r="BH336" s="328">
        <f t="shared" si="1"/>
        <v>0</v>
      </c>
      <c r="BI336" s="328">
        <f t="shared" si="1"/>
        <v>0</v>
      </c>
      <c r="BJ336" s="328"/>
      <c r="BK336" s="328"/>
      <c r="BL336" s="328"/>
      <c r="BM336" s="328"/>
      <c r="BN336" s="328"/>
      <c r="BO336" s="328"/>
      <c r="BP336" s="328"/>
      <c r="BQ336" s="328"/>
      <c r="BR336" s="328"/>
      <c r="BS336" s="328"/>
      <c r="BT336" s="328"/>
      <c r="BU336" s="328"/>
      <c r="BV336" s="328"/>
      <c r="BW336" s="328"/>
      <c r="BX336" s="328"/>
      <c r="BY336" s="328"/>
      <c r="BZ336" s="328"/>
      <c r="CA336" s="328"/>
      <c r="CB336" s="328"/>
      <c r="CC336" s="328"/>
      <c r="CD336" s="328"/>
      <c r="CE336" s="328"/>
      <c r="CF336" s="328"/>
      <c r="CG336" s="328"/>
      <c r="CH336" s="328"/>
      <c r="CI336" s="328"/>
      <c r="CJ336" s="328"/>
      <c r="CK336" s="328"/>
      <c r="CL336" s="328"/>
      <c r="CM336" s="328"/>
      <c r="CN336" s="328"/>
      <c r="CO336" s="328"/>
      <c r="CP336" s="328"/>
      <c r="CQ336" s="328"/>
      <c r="CR336" s="328"/>
      <c r="CS336" s="328"/>
      <c r="CT336" s="328"/>
      <c r="CU336" s="328"/>
      <c r="CV336" s="328"/>
      <c r="CW336" s="328"/>
      <c r="CX336" s="328"/>
      <c r="CY336" s="328"/>
      <c r="CZ336" s="328"/>
      <c r="DA336" s="328"/>
      <c r="DB336" s="328"/>
      <c r="DC336" s="328"/>
      <c r="DD336" s="328"/>
      <c r="DE336" s="328"/>
      <c r="DF336" s="328"/>
      <c r="DG336" s="328"/>
      <c r="DH336" s="328"/>
      <c r="DI336" s="328"/>
      <c r="DJ336" s="328"/>
      <c r="DK336" s="328"/>
      <c r="DL336" s="328"/>
      <c r="DM336" s="328"/>
      <c r="DN336" s="328"/>
      <c r="DO336" s="328"/>
      <c r="DP336" s="328"/>
      <c r="DQ336" s="328"/>
      <c r="DR336" s="328"/>
      <c r="DS336" s="328"/>
      <c r="DT336" s="328"/>
      <c r="DU336" s="328"/>
      <c r="DV336" s="328"/>
      <c r="DW336" s="328"/>
      <c r="DX336" s="328"/>
      <c r="DY336" s="328"/>
      <c r="DZ336" s="328"/>
      <c r="EA336" s="328"/>
      <c r="EB336" s="328"/>
      <c r="EC336" s="328"/>
      <c r="ED336" s="328"/>
      <c r="EE336" s="328"/>
      <c r="EF336" s="328"/>
      <c r="EG336" s="328"/>
      <c r="EH336" s="328"/>
      <c r="EI336" s="328"/>
      <c r="EJ336" s="328"/>
      <c r="EK336" s="328"/>
      <c r="EL336" s="328"/>
      <c r="EM336" s="328"/>
    </row>
    <row r="337" spans="1:143" x14ac:dyDescent="0.2">
      <c r="A337">
        <v>330</v>
      </c>
      <c r="D337" s="326" t="s">
        <v>1100</v>
      </c>
      <c r="E337" s="327" t="s">
        <v>1108</v>
      </c>
      <c r="F337" s="328">
        <f t="shared" si="2"/>
        <v>4047013685</v>
      </c>
      <c r="G337" s="328">
        <f t="shared" si="1"/>
        <v>2139909</v>
      </c>
      <c r="H337" s="328">
        <f t="shared" si="1"/>
        <v>41646705</v>
      </c>
      <c r="I337" s="328">
        <f t="shared" si="1"/>
        <v>4090800299</v>
      </c>
      <c r="J337" s="328">
        <f t="shared" si="1"/>
        <v>4065753228.9000001</v>
      </c>
      <c r="K337" s="328">
        <f t="shared" si="1"/>
        <v>2099855</v>
      </c>
      <c r="L337" s="328">
        <f t="shared" si="1"/>
        <v>41637659</v>
      </c>
      <c r="M337" s="328">
        <f t="shared" si="1"/>
        <v>4109490742.9000001</v>
      </c>
      <c r="N337" s="328">
        <f t="shared" si="1"/>
        <v>-19480789.350000001</v>
      </c>
      <c r="O337" s="328">
        <f t="shared" si="1"/>
        <v>40054</v>
      </c>
      <c r="P337" s="328">
        <f t="shared" si="1"/>
        <v>9046</v>
      </c>
      <c r="Q337" s="328">
        <f t="shared" si="1"/>
        <v>-19431689.350000001</v>
      </c>
      <c r="R337" s="328">
        <f t="shared" si="1"/>
        <v>4476077</v>
      </c>
      <c r="S337" s="328">
        <f t="shared" si="1"/>
        <v>0</v>
      </c>
      <c r="T337" s="328">
        <f t="shared" si="1"/>
        <v>0</v>
      </c>
      <c r="U337" s="328">
        <f t="shared" si="1"/>
        <v>4476077</v>
      </c>
      <c r="V337" s="328">
        <f t="shared" si="1"/>
        <v>-23956867</v>
      </c>
      <c r="W337" s="328">
        <f t="shared" si="1"/>
        <v>40054</v>
      </c>
      <c r="X337" s="328">
        <f t="shared" si="1"/>
        <v>9046</v>
      </c>
      <c r="Y337" s="328">
        <f t="shared" si="1"/>
        <v>-23907767</v>
      </c>
      <c r="Z337" s="328">
        <f t="shared" si="1"/>
        <v>16816671</v>
      </c>
      <c r="AA337" s="328">
        <f t="shared" si="1"/>
        <v>16816671</v>
      </c>
      <c r="AB337" s="328">
        <f t="shared" si="1"/>
        <v>0</v>
      </c>
      <c r="AC337" s="328">
        <f t="shared" si="1"/>
        <v>1353287</v>
      </c>
      <c r="AD337" s="328">
        <f t="shared" si="1"/>
        <v>3075058</v>
      </c>
      <c r="AE337" s="328">
        <f t="shared" si="1"/>
        <v>-1721771</v>
      </c>
      <c r="AF337" s="328">
        <f t="shared" si="1"/>
        <v>1132971</v>
      </c>
      <c r="AG337" s="328">
        <f t="shared" si="1"/>
        <v>9487</v>
      </c>
      <c r="AH337" s="328">
        <f t="shared" si="1"/>
        <v>1123484</v>
      </c>
      <c r="AI337" s="328">
        <f t="shared" si="1"/>
        <v>188916</v>
      </c>
      <c r="AJ337" s="328">
        <f t="shared" si="1"/>
        <v>187552</v>
      </c>
      <c r="AK337" s="328">
        <f t="shared" si="1"/>
        <v>1364</v>
      </c>
      <c r="AL337" s="328">
        <f t="shared" si="1"/>
        <v>0</v>
      </c>
      <c r="AM337" s="328">
        <f t="shared" si="1"/>
        <v>0</v>
      </c>
      <c r="AN337" s="328">
        <f t="shared" si="1"/>
        <v>0</v>
      </c>
      <c r="AO337" s="328">
        <f t="shared" si="1"/>
        <v>1394930</v>
      </c>
      <c r="AP337" s="328">
        <f t="shared" si="1"/>
        <v>1213542</v>
      </c>
      <c r="AQ337" s="328">
        <f t="shared" si="1"/>
        <v>181388</v>
      </c>
      <c r="AR337" s="328">
        <f t="shared" si="1"/>
        <v>1394930</v>
      </c>
      <c r="AS337" s="328">
        <f t="shared" si="1"/>
        <v>744843</v>
      </c>
      <c r="AT337" s="328">
        <f t="shared" si="1"/>
        <v>650087</v>
      </c>
      <c r="AU337" s="328">
        <f t="shared" si="1"/>
        <v>0</v>
      </c>
      <c r="AV337" s="328">
        <f t="shared" si="1"/>
        <v>0</v>
      </c>
      <c r="AW337" s="328">
        <f t="shared" si="1"/>
        <v>0</v>
      </c>
      <c r="AX337" s="328">
        <f t="shared" si="1"/>
        <v>0</v>
      </c>
      <c r="AY337" s="328">
        <f t="shared" si="1"/>
        <v>0</v>
      </c>
      <c r="AZ337" s="328">
        <f t="shared" si="1"/>
        <v>0</v>
      </c>
      <c r="BA337" s="328">
        <f t="shared" si="1"/>
        <v>55523264</v>
      </c>
      <c r="BB337" s="328">
        <f t="shared" si="1"/>
        <v>46351399</v>
      </c>
      <c r="BC337" s="328">
        <f t="shared" si="1"/>
        <v>9171865</v>
      </c>
      <c r="BD337" s="328">
        <f t="shared" si="1"/>
        <v>0</v>
      </c>
      <c r="BE337" s="328">
        <f t="shared" si="1"/>
        <v>0</v>
      </c>
      <c r="BF337" s="328">
        <f t="shared" si="1"/>
        <v>0</v>
      </c>
      <c r="BG337" s="328">
        <f t="shared" si="1"/>
        <v>1125863</v>
      </c>
      <c r="BH337" s="328">
        <f t="shared" si="1"/>
        <v>945947</v>
      </c>
      <c r="BI337" s="328">
        <f t="shared" si="1"/>
        <v>179916</v>
      </c>
      <c r="BJ337" s="328"/>
      <c r="BK337" s="328"/>
      <c r="BL337" s="328"/>
      <c r="BM337" s="328"/>
      <c r="BN337" s="328"/>
      <c r="BO337" s="328"/>
      <c r="BP337" s="328"/>
      <c r="BQ337" s="328"/>
      <c r="BR337" s="328"/>
      <c r="BS337" s="328"/>
      <c r="BT337" s="328"/>
      <c r="BU337" s="328"/>
      <c r="BV337" s="328"/>
      <c r="BW337" s="328"/>
      <c r="BX337" s="328"/>
      <c r="BY337" s="328"/>
      <c r="BZ337" s="328"/>
      <c r="CA337" s="328"/>
      <c r="CB337" s="328"/>
      <c r="CC337" s="328"/>
      <c r="CD337" s="328"/>
      <c r="CE337" s="328"/>
      <c r="CF337" s="328"/>
      <c r="CG337" s="328"/>
      <c r="CH337" s="328"/>
      <c r="CI337" s="328"/>
      <c r="CJ337" s="328"/>
      <c r="CK337" s="328"/>
      <c r="CL337" s="328"/>
      <c r="CM337" s="328"/>
      <c r="CN337" s="328"/>
      <c r="CO337" s="328"/>
      <c r="CP337" s="328"/>
      <c r="CQ337" s="328"/>
      <c r="CR337" s="328"/>
      <c r="CS337" s="328"/>
      <c r="CT337" s="328"/>
      <c r="CU337" s="328"/>
      <c r="CV337" s="328"/>
      <c r="CW337" s="328"/>
      <c r="CX337" s="328"/>
      <c r="CY337" s="328"/>
      <c r="CZ337" s="328"/>
      <c r="DA337" s="328"/>
      <c r="DB337" s="328"/>
      <c r="DC337" s="328"/>
      <c r="DD337" s="328"/>
      <c r="DE337" s="328"/>
      <c r="DF337" s="328"/>
      <c r="DG337" s="328"/>
      <c r="DH337" s="328"/>
      <c r="DI337" s="328"/>
      <c r="DJ337" s="328"/>
      <c r="DK337" s="328"/>
      <c r="DL337" s="328"/>
      <c r="DM337" s="328"/>
      <c r="DN337" s="328"/>
      <c r="DO337" s="328"/>
      <c r="DP337" s="328"/>
      <c r="DQ337" s="328"/>
      <c r="DR337" s="328"/>
      <c r="DS337" s="328"/>
      <c r="DT337" s="328"/>
      <c r="DU337" s="328"/>
      <c r="DV337" s="328"/>
      <c r="DW337" s="328"/>
      <c r="DX337" s="328"/>
      <c r="DY337" s="328"/>
      <c r="DZ337" s="328"/>
      <c r="EA337" s="328"/>
      <c r="EB337" s="328"/>
      <c r="EC337" s="328"/>
      <c r="ED337" s="328"/>
      <c r="EE337" s="328"/>
      <c r="EF337" s="328"/>
      <c r="EG337" s="328"/>
      <c r="EH337" s="328"/>
      <c r="EI337" s="328"/>
      <c r="EJ337" s="328"/>
      <c r="EK337" s="328"/>
      <c r="EL337" s="328"/>
      <c r="EM337" s="328"/>
    </row>
    <row r="338" spans="1:143" x14ac:dyDescent="0.2">
      <c r="A338">
        <v>331</v>
      </c>
      <c r="D338" s="326" t="s">
        <v>794</v>
      </c>
      <c r="E338" s="327" t="s">
        <v>1109</v>
      </c>
      <c r="F338" s="328">
        <f t="shared" si="2"/>
        <v>4608141633.1000004</v>
      </c>
      <c r="G338" s="328">
        <f t="shared" si="1"/>
        <v>5203103</v>
      </c>
      <c r="H338" s="328">
        <f t="shared" si="1"/>
        <v>17167065.950000003</v>
      </c>
      <c r="I338" s="328">
        <f t="shared" si="1"/>
        <v>4630511802.1000004</v>
      </c>
      <c r="J338" s="328">
        <f t="shared" si="1"/>
        <v>4612724007.1999998</v>
      </c>
      <c r="K338" s="328">
        <f t="shared" si="1"/>
        <v>5237731</v>
      </c>
      <c r="L338" s="328">
        <f t="shared" si="1"/>
        <v>17101833.050000001</v>
      </c>
      <c r="M338" s="328">
        <f t="shared" si="1"/>
        <v>4635063571.2000008</v>
      </c>
      <c r="N338" s="328">
        <f t="shared" si="1"/>
        <v>-4582372.91</v>
      </c>
      <c r="O338" s="328">
        <f t="shared" si="1"/>
        <v>-34628</v>
      </c>
      <c r="P338" s="328">
        <f t="shared" si="1"/>
        <v>65232.899999999994</v>
      </c>
      <c r="Q338" s="328">
        <f t="shared" si="1"/>
        <v>-4551768.01</v>
      </c>
      <c r="R338" s="328">
        <f t="shared" si="1"/>
        <v>29390743</v>
      </c>
      <c r="S338" s="328">
        <f t="shared" si="1"/>
        <v>0</v>
      </c>
      <c r="T338" s="328">
        <f t="shared" si="1"/>
        <v>-9971</v>
      </c>
      <c r="U338" s="328">
        <f t="shared" si="1"/>
        <v>29380772</v>
      </c>
      <c r="V338" s="328">
        <f t="shared" si="1"/>
        <v>-33973114</v>
      </c>
      <c r="W338" s="328">
        <f t="shared" si="1"/>
        <v>-34628</v>
      </c>
      <c r="X338" s="328">
        <f t="shared" si="1"/>
        <v>75204</v>
      </c>
      <c r="Y338" s="328">
        <f t="shared" si="1"/>
        <v>-33932538</v>
      </c>
      <c r="Z338" s="328">
        <f t="shared" si="1"/>
        <v>17774280</v>
      </c>
      <c r="AA338" s="328">
        <f t="shared" si="1"/>
        <v>17758640</v>
      </c>
      <c r="AB338" s="328">
        <f t="shared" si="1"/>
        <v>15640</v>
      </c>
      <c r="AC338" s="328">
        <f t="shared" si="1"/>
        <v>11720</v>
      </c>
      <c r="AD338" s="328">
        <f t="shared" si="1"/>
        <v>207438</v>
      </c>
      <c r="AE338" s="328">
        <f t="shared" si="1"/>
        <v>-195718</v>
      </c>
      <c r="AF338" s="328">
        <f t="shared" si="1"/>
        <v>0</v>
      </c>
      <c r="AG338" s="328">
        <f t="shared" si="1"/>
        <v>142738</v>
      </c>
      <c r="AH338" s="328">
        <f t="shared" si="1"/>
        <v>-142738</v>
      </c>
      <c r="AI338" s="328">
        <f t="shared" si="1"/>
        <v>1652154</v>
      </c>
      <c r="AJ338" s="328">
        <f t="shared" si="1"/>
        <v>1146876</v>
      </c>
      <c r="AK338" s="328">
        <f t="shared" si="1"/>
        <v>505278</v>
      </c>
      <c r="AL338" s="328">
        <f t="shared" si="1"/>
        <v>0</v>
      </c>
      <c r="AM338" s="328">
        <f t="shared" si="1"/>
        <v>0</v>
      </c>
      <c r="AN338" s="328">
        <f t="shared" si="1"/>
        <v>0</v>
      </c>
      <c r="AO338" s="328">
        <f t="shared" si="1"/>
        <v>995637</v>
      </c>
      <c r="AP338" s="328">
        <f t="shared" si="1"/>
        <v>1532205</v>
      </c>
      <c r="AQ338" s="328">
        <f t="shared" si="1"/>
        <v>-536568</v>
      </c>
      <c r="AR338" s="328">
        <f t="shared" si="1"/>
        <v>981408</v>
      </c>
      <c r="AS338" s="328">
        <f t="shared" si="1"/>
        <v>1285215</v>
      </c>
      <c r="AT338" s="328">
        <f t="shared" si="1"/>
        <v>-303807</v>
      </c>
      <c r="AU338" s="328">
        <f t="shared" si="1"/>
        <v>0</v>
      </c>
      <c r="AV338" s="328">
        <f t="shared" si="1"/>
        <v>0</v>
      </c>
      <c r="AW338" s="328">
        <f t="shared" si="1"/>
        <v>0</v>
      </c>
      <c r="AX338" s="328">
        <f t="shared" si="1"/>
        <v>2508</v>
      </c>
      <c r="AY338" s="328">
        <f t="shared" si="1"/>
        <v>1637</v>
      </c>
      <c r="AZ338" s="328">
        <f t="shared" si="1"/>
        <v>871</v>
      </c>
      <c r="BA338" s="328">
        <f t="shared" si="1"/>
        <v>56765715</v>
      </c>
      <c r="BB338" s="328">
        <f t="shared" si="1"/>
        <v>46893550</v>
      </c>
      <c r="BC338" s="328">
        <f t="shared" si="1"/>
        <v>9872165</v>
      </c>
      <c r="BD338" s="328">
        <f t="shared" si="1"/>
        <v>0</v>
      </c>
      <c r="BE338" s="328">
        <f t="shared" si="1"/>
        <v>0</v>
      </c>
      <c r="BF338" s="328">
        <f t="shared" si="1"/>
        <v>0</v>
      </c>
      <c r="BG338" s="328">
        <f t="shared" si="1"/>
        <v>990869</v>
      </c>
      <c r="BH338" s="328">
        <f t="shared" si="1"/>
        <v>819910</v>
      </c>
      <c r="BI338" s="328">
        <f t="shared" si="1"/>
        <v>170959</v>
      </c>
      <c r="BJ338" s="328"/>
      <c r="BK338" s="328"/>
      <c r="BL338" s="328"/>
      <c r="BM338" s="328"/>
      <c r="BN338" s="328"/>
      <c r="BO338" s="328"/>
      <c r="BP338" s="328"/>
      <c r="BQ338" s="328"/>
      <c r="BR338" s="328"/>
      <c r="BS338" s="328"/>
      <c r="BT338" s="328"/>
      <c r="BU338" s="328"/>
      <c r="BV338" s="328"/>
      <c r="BW338" s="328"/>
      <c r="BX338" s="328"/>
      <c r="BY338" s="328"/>
      <c r="BZ338" s="328"/>
      <c r="CA338" s="328"/>
      <c r="CB338" s="328"/>
      <c r="CC338" s="328"/>
      <c r="CD338" s="328"/>
      <c r="CE338" s="328"/>
      <c r="CF338" s="328"/>
      <c r="CG338" s="328"/>
      <c r="CH338" s="328"/>
      <c r="CI338" s="328"/>
      <c r="CJ338" s="328"/>
      <c r="CK338" s="328"/>
      <c r="CL338" s="328"/>
      <c r="CM338" s="328"/>
      <c r="CN338" s="328"/>
      <c r="CO338" s="328"/>
      <c r="CP338" s="328"/>
      <c r="CQ338" s="328"/>
      <c r="CR338" s="328"/>
      <c r="CS338" s="328"/>
      <c r="CT338" s="328"/>
      <c r="CU338" s="328"/>
      <c r="CV338" s="328"/>
      <c r="CW338" s="328"/>
      <c r="CX338" s="328"/>
      <c r="CY338" s="328"/>
      <c r="CZ338" s="328"/>
      <c r="DA338" s="328"/>
      <c r="DB338" s="328"/>
      <c r="DC338" s="328"/>
      <c r="DD338" s="328"/>
      <c r="DE338" s="328"/>
      <c r="DF338" s="328"/>
      <c r="DG338" s="328"/>
      <c r="DH338" s="328"/>
      <c r="DI338" s="328"/>
      <c r="DJ338" s="328"/>
      <c r="DK338" s="328"/>
      <c r="DL338" s="328"/>
      <c r="DM338" s="328"/>
      <c r="DN338" s="328"/>
      <c r="DO338" s="328"/>
      <c r="DP338" s="328"/>
      <c r="DQ338" s="328"/>
      <c r="DR338" s="328"/>
      <c r="DS338" s="328"/>
      <c r="DT338" s="328"/>
      <c r="DU338" s="328"/>
      <c r="DV338" s="328"/>
      <c r="DW338" s="328"/>
      <c r="DX338" s="328"/>
      <c r="DY338" s="328"/>
      <c r="DZ338" s="328"/>
      <c r="EA338" s="328"/>
      <c r="EB338" s="328"/>
      <c r="EC338" s="328"/>
      <c r="ED338" s="328"/>
      <c r="EE338" s="328"/>
      <c r="EF338" s="328"/>
      <c r="EG338" s="328"/>
      <c r="EH338" s="328"/>
      <c r="EI338" s="328"/>
      <c r="EJ338" s="328"/>
      <c r="EK338" s="328"/>
      <c r="EL338" s="328"/>
      <c r="EM338" s="328"/>
    </row>
    <row r="339" spans="1:143" x14ac:dyDescent="0.2">
      <c r="A339">
        <v>332</v>
      </c>
      <c r="D339" s="326" t="s">
        <v>1093</v>
      </c>
      <c r="E339" s="327" t="s">
        <v>1110</v>
      </c>
      <c r="F339" s="328">
        <f t="shared" si="2"/>
        <v>6964550263.3300028</v>
      </c>
      <c r="G339" s="328">
        <f t="shared" si="1"/>
        <v>0</v>
      </c>
      <c r="H339" s="328">
        <f t="shared" si="1"/>
        <v>14015815.67</v>
      </c>
      <c r="I339" s="328">
        <f t="shared" si="1"/>
        <v>6978566079.0300026</v>
      </c>
      <c r="J339" s="328">
        <f t="shared" si="1"/>
        <v>6943179893.1200008</v>
      </c>
      <c r="K339" s="328">
        <f t="shared" si="1"/>
        <v>0</v>
      </c>
      <c r="L339" s="328">
        <f t="shared" si="1"/>
        <v>14009852.960000001</v>
      </c>
      <c r="M339" s="328">
        <f t="shared" si="1"/>
        <v>6957189746.1200008</v>
      </c>
      <c r="N339" s="328">
        <f t="shared" si="1"/>
        <v>20821893.20999999</v>
      </c>
      <c r="O339" s="328">
        <f t="shared" si="1"/>
        <v>0</v>
      </c>
      <c r="P339" s="328">
        <f t="shared" si="1"/>
        <v>5962.7099999999919</v>
      </c>
      <c r="Q339" s="328">
        <f t="shared" si="1"/>
        <v>20827855.939999994</v>
      </c>
      <c r="R339" s="328">
        <f t="shared" si="1"/>
        <v>59766605.450000003</v>
      </c>
      <c r="S339" s="328">
        <f t="shared" si="1"/>
        <v>0</v>
      </c>
      <c r="T339" s="328">
        <f t="shared" si="1"/>
        <v>9200.75</v>
      </c>
      <c r="U339" s="328">
        <f t="shared" si="1"/>
        <v>59775805</v>
      </c>
      <c r="V339" s="328">
        <f t="shared" si="1"/>
        <v>-38999085</v>
      </c>
      <c r="W339" s="328">
        <f t="shared" si="1"/>
        <v>0</v>
      </c>
      <c r="X339" s="328">
        <f t="shared" si="1"/>
        <v>-3238</v>
      </c>
      <c r="Y339" s="328">
        <f t="shared" si="1"/>
        <v>-39002322.829999998</v>
      </c>
      <c r="Z339" s="328">
        <f t="shared" si="1"/>
        <v>31137391</v>
      </c>
      <c r="AA339" s="328">
        <f t="shared" si="1"/>
        <v>31095193</v>
      </c>
      <c r="AB339" s="328">
        <f t="shared" si="1"/>
        <v>42198</v>
      </c>
      <c r="AC339" s="328">
        <f t="shared" si="1"/>
        <v>1189166</v>
      </c>
      <c r="AD339" s="328">
        <f t="shared" si="1"/>
        <v>1179621</v>
      </c>
      <c r="AE339" s="328">
        <f t="shared" si="1"/>
        <v>9545</v>
      </c>
      <c r="AF339" s="328">
        <f t="shared" si="1"/>
        <v>0</v>
      </c>
      <c r="AG339" s="328">
        <f t="shared" si="1"/>
        <v>0</v>
      </c>
      <c r="AH339" s="328">
        <f t="shared" si="1"/>
        <v>0</v>
      </c>
      <c r="AI339" s="328">
        <f t="shared" si="1"/>
        <v>1694102</v>
      </c>
      <c r="AJ339" s="328">
        <f t="shared" si="1"/>
        <v>545483</v>
      </c>
      <c r="AK339" s="328">
        <f t="shared" si="1"/>
        <v>1148619</v>
      </c>
      <c r="AL339" s="328">
        <f t="shared" si="1"/>
        <v>0</v>
      </c>
      <c r="AM339" s="328">
        <f t="shared" si="1"/>
        <v>46086</v>
      </c>
      <c r="AN339" s="328">
        <f t="shared" si="1"/>
        <v>-46086</v>
      </c>
      <c r="AO339" s="328">
        <f t="shared" si="1"/>
        <v>4357353</v>
      </c>
      <c r="AP339" s="328">
        <f t="shared" si="1"/>
        <v>3533686</v>
      </c>
      <c r="AQ339" s="328">
        <f t="shared" si="1"/>
        <v>823667</v>
      </c>
      <c r="AR339" s="328">
        <f t="shared" si="1"/>
        <v>4183205</v>
      </c>
      <c r="AS339" s="328">
        <f t="shared" si="1"/>
        <v>2722489</v>
      </c>
      <c r="AT339" s="328">
        <f t="shared" si="1"/>
        <v>1460716</v>
      </c>
      <c r="AU339" s="328">
        <f t="shared" si="1"/>
        <v>156733</v>
      </c>
      <c r="AV339" s="328">
        <f t="shared" si="1"/>
        <v>6759</v>
      </c>
      <c r="AW339" s="328">
        <f t="shared" si="1"/>
        <v>149974</v>
      </c>
      <c r="AX339" s="328">
        <f t="shared" si="1"/>
        <v>17415</v>
      </c>
      <c r="AY339" s="328">
        <f t="shared" si="1"/>
        <v>751</v>
      </c>
      <c r="AZ339" s="328">
        <f t="shared" si="1"/>
        <v>16664</v>
      </c>
      <c r="BA339" s="328">
        <f t="shared" si="1"/>
        <v>83553539</v>
      </c>
      <c r="BB339" s="328">
        <f t="shared" si="1"/>
        <v>69452854</v>
      </c>
      <c r="BC339" s="328">
        <f t="shared" si="1"/>
        <v>14100685</v>
      </c>
      <c r="BD339" s="328">
        <f t="shared" si="1"/>
        <v>19559890</v>
      </c>
      <c r="BE339" s="328">
        <f t="shared" ref="BE339:BI339" si="3">SUMIF($C$3:$C$333,$D339,BE$3:BE$333)</f>
        <v>16275241</v>
      </c>
      <c r="BF339" s="328">
        <f t="shared" si="3"/>
        <v>3284649</v>
      </c>
      <c r="BG339" s="328">
        <f t="shared" si="3"/>
        <v>1308366</v>
      </c>
      <c r="BH339" s="328">
        <f t="shared" si="3"/>
        <v>1087979</v>
      </c>
      <c r="BI339" s="328">
        <f t="shared" si="3"/>
        <v>220387</v>
      </c>
      <c r="BJ339" s="328"/>
      <c r="BK339" s="328"/>
      <c r="BL339" s="328"/>
      <c r="BM339" s="328"/>
      <c r="BN339" s="328"/>
      <c r="BO339" s="328"/>
      <c r="BP339" s="328"/>
      <c r="BQ339" s="328"/>
      <c r="BR339" s="328"/>
      <c r="BS339" s="328"/>
      <c r="BT339" s="328"/>
      <c r="BU339" s="328"/>
      <c r="BV339" s="328"/>
      <c r="BW339" s="328"/>
      <c r="BX339" s="328"/>
      <c r="BY339" s="328"/>
      <c r="BZ339" s="328"/>
      <c r="CA339" s="328"/>
      <c r="CB339" s="328"/>
      <c r="CC339" s="328"/>
      <c r="CD339" s="328"/>
      <c r="CE339" s="328"/>
      <c r="CF339" s="328"/>
      <c r="CG339" s="328"/>
      <c r="CH339" s="328"/>
      <c r="CI339" s="328"/>
      <c r="CJ339" s="328"/>
      <c r="CK339" s="328"/>
      <c r="CL339" s="328"/>
      <c r="CM339" s="328"/>
      <c r="CN339" s="328"/>
      <c r="CO339" s="328"/>
      <c r="CP339" s="328"/>
      <c r="CQ339" s="328"/>
      <c r="CR339" s="328"/>
      <c r="CS339" s="328"/>
      <c r="CT339" s="328"/>
      <c r="CU339" s="328"/>
      <c r="CV339" s="328"/>
      <c r="CW339" s="328"/>
      <c r="CX339" s="328"/>
      <c r="CY339" s="328"/>
      <c r="CZ339" s="328"/>
      <c r="DA339" s="328"/>
      <c r="DB339" s="328"/>
      <c r="DC339" s="328"/>
      <c r="DD339" s="328"/>
      <c r="DE339" s="328"/>
      <c r="DF339" s="328"/>
      <c r="DG339" s="328"/>
      <c r="DH339" s="328"/>
      <c r="DI339" s="328"/>
      <c r="DJ339" s="328"/>
      <c r="DK339" s="328"/>
      <c r="DL339" s="328"/>
      <c r="DM339" s="328"/>
      <c r="DN339" s="328"/>
      <c r="DO339" s="328"/>
      <c r="DP339" s="328"/>
      <c r="DQ339" s="328"/>
      <c r="DR339" s="328"/>
      <c r="DS339" s="328"/>
      <c r="DT339" s="328"/>
      <c r="DU339" s="328"/>
      <c r="DV339" s="328"/>
      <c r="DW339" s="328"/>
      <c r="DX339" s="328"/>
      <c r="DY339" s="328"/>
      <c r="DZ339" s="328"/>
      <c r="EA339" s="328"/>
      <c r="EB339" s="328"/>
      <c r="EC339" s="328"/>
      <c r="ED339" s="328"/>
      <c r="EE339" s="328"/>
      <c r="EF339" s="328"/>
      <c r="EG339" s="328"/>
      <c r="EH339" s="328"/>
      <c r="EI339" s="328"/>
      <c r="EJ339" s="328"/>
      <c r="EK339" s="328"/>
      <c r="EL339" s="328"/>
      <c r="EM339" s="328"/>
    </row>
    <row r="340" spans="1:143" x14ac:dyDescent="0.2">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c r="AG340" s="328"/>
      <c r="AH340" s="328"/>
      <c r="AI340" s="328"/>
      <c r="AJ340" s="328"/>
      <c r="AK340" s="328"/>
      <c r="AL340" s="328"/>
      <c r="AM340" s="328"/>
      <c r="AN340" s="328"/>
      <c r="AO340" s="328"/>
      <c r="AP340" s="328"/>
      <c r="AQ340" s="328"/>
      <c r="AR340" s="328"/>
      <c r="AS340" s="328"/>
      <c r="AT340" s="328"/>
      <c r="AU340" s="328"/>
      <c r="AV340" s="328"/>
      <c r="AW340" s="328"/>
      <c r="AX340" s="328"/>
      <c r="AY340" s="328"/>
      <c r="AZ340" s="328"/>
      <c r="BA340" s="328"/>
      <c r="BB340" s="328"/>
      <c r="BC340" s="328"/>
      <c r="BD340" s="328"/>
      <c r="BE340" s="328"/>
      <c r="BF340" s="328"/>
      <c r="BG340" s="328"/>
      <c r="BH340" s="328"/>
      <c r="BI340" s="328"/>
    </row>
    <row r="341" spans="1:143" x14ac:dyDescent="0.2">
      <c r="F341" s="344"/>
      <c r="G341" s="344"/>
      <c r="H341" s="344"/>
      <c r="I341" s="344"/>
      <c r="J341" s="344"/>
      <c r="K341" s="344"/>
      <c r="L341" s="344"/>
      <c r="M341" s="344"/>
      <c r="N341" s="344"/>
      <c r="O341" s="344"/>
      <c r="P341" s="344"/>
      <c r="Q341" s="344"/>
      <c r="R341" s="344"/>
      <c r="S341" s="344"/>
      <c r="T341" s="344"/>
      <c r="U341" s="344"/>
      <c r="V341" s="344"/>
      <c r="W341" s="344"/>
      <c r="X341" s="344"/>
      <c r="Y341" s="344"/>
      <c r="Z341" s="344"/>
      <c r="AA341" s="344"/>
      <c r="AB341" s="344"/>
      <c r="AC341" s="344"/>
      <c r="AD341" s="344"/>
      <c r="AE341" s="344"/>
      <c r="AF341" s="344"/>
      <c r="AG341" s="344"/>
      <c r="AH341" s="344"/>
      <c r="AI341" s="344"/>
      <c r="AJ341" s="344"/>
      <c r="AK341" s="344"/>
      <c r="AL341" s="344"/>
      <c r="AM341" s="344"/>
      <c r="AN341" s="344"/>
      <c r="AO341" s="344"/>
      <c r="AP341" s="344"/>
      <c r="AQ341" s="344"/>
      <c r="AR341" s="344"/>
      <c r="AS341" s="344"/>
      <c r="AT341" s="344"/>
      <c r="AU341" s="344"/>
      <c r="AV341" s="344"/>
      <c r="AW341" s="344"/>
      <c r="AX341" s="344"/>
      <c r="AY341" s="344"/>
      <c r="AZ341" s="344"/>
      <c r="BA341" s="344"/>
      <c r="BB341" s="344"/>
      <c r="BC341" s="344"/>
      <c r="BD341" s="344"/>
      <c r="BE341" s="344"/>
      <c r="BF341" s="344"/>
      <c r="BG341" s="344"/>
      <c r="BH341" s="344"/>
      <c r="BI341" s="344"/>
    </row>
  </sheetData>
  <autoFilter ref="A7:EM339"/>
  <mergeCells count="5">
    <mergeCell ref="F1:I1"/>
    <mergeCell ref="J1:M1"/>
    <mergeCell ref="N1:Q1"/>
    <mergeCell ref="R1:U1"/>
    <mergeCell ref="V1:Y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61"/>
  <sheetViews>
    <sheetView workbookViewId="0"/>
  </sheetViews>
  <sheetFormatPr defaultRowHeight="15" x14ac:dyDescent="0.2"/>
  <cols>
    <col min="2" max="2" width="8.42578125" style="26" customWidth="1"/>
    <col min="3" max="3" width="5.5703125" style="26" customWidth="1"/>
    <col min="4" max="4" width="8.140625" style="26" bestFit="1" customWidth="1"/>
    <col min="5" max="5" width="27" style="26" bestFit="1" customWidth="1"/>
    <col min="6" max="22" width="15.7109375" customWidth="1"/>
    <col min="23" max="59" width="16.7109375" customWidth="1"/>
    <col min="73" max="73" width="12.7109375" bestFit="1" customWidth="1"/>
    <col min="82" max="82" width="12.7109375" bestFit="1" customWidth="1"/>
    <col min="83" max="84" width="12.7109375" customWidth="1"/>
    <col min="85" max="85" width="12.85546875" customWidth="1"/>
  </cols>
  <sheetData>
    <row r="1" spans="1:85" ht="40.9" customHeight="1" thickBot="1" x14ac:dyDescent="0.25">
      <c r="A1" s="337"/>
      <c r="B1" s="76"/>
      <c r="C1" s="137"/>
      <c r="D1" s="343"/>
      <c r="E1" s="337"/>
      <c r="F1" s="419" t="s">
        <v>1071</v>
      </c>
      <c r="G1" s="420"/>
      <c r="H1" s="420"/>
      <c r="I1" s="420"/>
      <c r="J1" s="421"/>
      <c r="K1" s="419" t="s">
        <v>1072</v>
      </c>
      <c r="L1" s="421"/>
      <c r="M1" s="419" t="s">
        <v>1073</v>
      </c>
      <c r="N1" s="421"/>
      <c r="O1" s="419" t="s">
        <v>1074</v>
      </c>
      <c r="P1" s="421"/>
      <c r="Q1" s="419" t="s">
        <v>1075</v>
      </c>
      <c r="R1" s="421"/>
      <c r="S1" s="419" t="s">
        <v>1076</v>
      </c>
      <c r="T1" s="420"/>
      <c r="U1" s="420"/>
      <c r="V1" s="421"/>
      <c r="W1" s="320" t="s">
        <v>1077</v>
      </c>
      <c r="X1" s="438" t="s">
        <v>1078</v>
      </c>
      <c r="Y1" s="439"/>
      <c r="Z1" s="439"/>
      <c r="AA1" s="440"/>
      <c r="AB1" s="435" t="s">
        <v>1079</v>
      </c>
      <c r="AC1" s="436"/>
      <c r="AD1" s="436"/>
      <c r="AE1" s="436"/>
      <c r="AF1" s="437"/>
      <c r="AG1" s="435" t="s">
        <v>1080</v>
      </c>
      <c r="AH1" s="436"/>
      <c r="AI1" s="436"/>
      <c r="AJ1" s="436"/>
      <c r="AK1" s="437"/>
      <c r="AL1" s="435" t="s">
        <v>1081</v>
      </c>
      <c r="AM1" s="436"/>
      <c r="AN1" s="436"/>
      <c r="AO1" s="436"/>
      <c r="AP1" s="437"/>
      <c r="AQ1" s="435" t="s">
        <v>1082</v>
      </c>
      <c r="AR1" s="436"/>
      <c r="AS1" s="436"/>
      <c r="AT1" s="436"/>
      <c r="AU1" s="437"/>
      <c r="AV1" s="435" t="s">
        <v>1083</v>
      </c>
      <c r="AW1" s="436"/>
      <c r="AX1" s="436"/>
      <c r="AY1" s="436"/>
      <c r="AZ1" s="437"/>
      <c r="BA1" s="435" t="s">
        <v>1084</v>
      </c>
      <c r="BB1" s="436"/>
      <c r="BC1" s="436"/>
      <c r="BD1" s="436"/>
      <c r="BE1" s="437"/>
      <c r="BF1" s="435" t="s">
        <v>1085</v>
      </c>
      <c r="BG1" s="437"/>
      <c r="BH1" s="435" t="s">
        <v>1085</v>
      </c>
      <c r="BI1" s="436"/>
      <c r="BJ1" s="437"/>
      <c r="BK1" s="435" t="s">
        <v>1086</v>
      </c>
      <c r="BL1" s="436"/>
      <c r="BM1" s="436"/>
      <c r="BN1" s="436"/>
      <c r="BO1" s="437"/>
      <c r="BP1" s="435" t="s">
        <v>1087</v>
      </c>
      <c r="BQ1" s="436"/>
      <c r="BR1" s="436"/>
      <c r="BS1" s="436"/>
      <c r="BT1" s="437"/>
      <c r="BU1" s="435" t="s">
        <v>1088</v>
      </c>
      <c r="BV1" s="436"/>
      <c r="BW1" s="436"/>
      <c r="BX1" s="436"/>
      <c r="BY1" s="437"/>
      <c r="BZ1" s="435" t="s">
        <v>1089</v>
      </c>
      <c r="CA1" s="436"/>
      <c r="CB1" s="436"/>
      <c r="CC1" s="436"/>
      <c r="CD1" s="437"/>
      <c r="CE1" s="441"/>
      <c r="CF1"/>
      <c r="CG1"/>
    </row>
    <row r="2" spans="1:85" ht="14.25" thickTop="1" thickBot="1" x14ac:dyDescent="0.25">
      <c r="A2" s="337"/>
      <c r="B2" s="137"/>
      <c r="C2" s="33"/>
      <c r="D2" s="88"/>
      <c r="E2" s="124"/>
      <c r="F2" s="317"/>
      <c r="G2" s="318"/>
      <c r="H2" s="318"/>
      <c r="I2" s="318"/>
      <c r="J2" s="318"/>
      <c r="K2" s="318"/>
      <c r="L2" s="318"/>
      <c r="M2" s="318"/>
      <c r="N2" s="318"/>
      <c r="O2" s="318"/>
      <c r="P2" s="318"/>
      <c r="Q2" s="318"/>
      <c r="R2" s="318"/>
      <c r="S2" s="318"/>
      <c r="T2" s="318"/>
      <c r="U2" s="318"/>
      <c r="V2" s="318"/>
      <c r="W2" s="315"/>
      <c r="X2" s="315"/>
      <c r="Y2" s="315"/>
      <c r="Z2" s="315"/>
      <c r="AA2" s="315"/>
      <c r="AB2" s="315"/>
      <c r="AC2" s="315"/>
      <c r="AD2" s="315"/>
      <c r="AE2" s="315"/>
      <c r="AF2" s="316"/>
    </row>
    <row r="3" spans="1:85" ht="13.5" thickTop="1" x14ac:dyDescent="0.2">
      <c r="A3" s="338">
        <v>1</v>
      </c>
      <c r="B3" s="35">
        <v>2</v>
      </c>
      <c r="C3" s="35">
        <v>3</v>
      </c>
      <c r="D3" s="342">
        <v>4</v>
      </c>
      <c r="E3" s="35">
        <v>5</v>
      </c>
      <c r="F3" s="35">
        <v>6</v>
      </c>
      <c r="G3" s="342">
        <v>7</v>
      </c>
      <c r="H3" s="35">
        <v>8</v>
      </c>
      <c r="I3" s="35">
        <v>9</v>
      </c>
      <c r="J3" s="342">
        <v>10</v>
      </c>
      <c r="K3" s="35">
        <v>11</v>
      </c>
      <c r="L3" s="35">
        <v>12</v>
      </c>
      <c r="M3" s="342">
        <v>13</v>
      </c>
      <c r="N3" s="35">
        <v>14</v>
      </c>
      <c r="O3" s="35">
        <v>15</v>
      </c>
      <c r="P3" s="342">
        <v>16</v>
      </c>
      <c r="Q3" s="35">
        <v>17</v>
      </c>
      <c r="R3" s="35">
        <v>18</v>
      </c>
      <c r="S3" s="342">
        <v>19</v>
      </c>
      <c r="T3" s="35">
        <v>20</v>
      </c>
      <c r="U3" s="35">
        <v>21</v>
      </c>
      <c r="V3" s="342">
        <v>22</v>
      </c>
      <c r="W3" s="35">
        <v>23</v>
      </c>
      <c r="X3" s="35">
        <v>24</v>
      </c>
      <c r="Y3" s="342">
        <v>25</v>
      </c>
      <c r="Z3" s="35">
        <v>26</v>
      </c>
      <c r="AA3" s="35">
        <v>27</v>
      </c>
      <c r="AB3" s="342">
        <v>28</v>
      </c>
      <c r="AC3" s="35">
        <v>29</v>
      </c>
      <c r="AD3" s="35">
        <v>30</v>
      </c>
      <c r="AE3" s="342">
        <v>31</v>
      </c>
      <c r="AF3" s="35">
        <v>32</v>
      </c>
      <c r="AG3" s="35">
        <v>33</v>
      </c>
      <c r="AH3" s="342">
        <v>34</v>
      </c>
      <c r="AI3" s="35">
        <v>35</v>
      </c>
      <c r="AJ3" s="35">
        <v>36</v>
      </c>
      <c r="AK3" s="342">
        <v>37</v>
      </c>
      <c r="AL3" s="35">
        <v>38</v>
      </c>
      <c r="AM3" s="35">
        <v>39</v>
      </c>
      <c r="AN3" s="342">
        <v>40</v>
      </c>
      <c r="AO3" s="35">
        <v>41</v>
      </c>
      <c r="AP3" s="35">
        <v>42</v>
      </c>
      <c r="AQ3" s="342">
        <v>43</v>
      </c>
      <c r="AR3" s="35">
        <v>44</v>
      </c>
      <c r="AS3" s="35">
        <v>45</v>
      </c>
      <c r="AT3" s="342">
        <v>46</v>
      </c>
      <c r="AU3" s="35">
        <v>47</v>
      </c>
      <c r="AV3" s="35">
        <v>48</v>
      </c>
      <c r="AW3" s="342">
        <v>49</v>
      </c>
      <c r="AX3" s="35">
        <v>50</v>
      </c>
      <c r="AY3" s="35">
        <v>51</v>
      </c>
      <c r="AZ3" s="342">
        <v>52</v>
      </c>
      <c r="BA3" s="35">
        <v>53</v>
      </c>
      <c r="BB3" s="35">
        <v>54</v>
      </c>
      <c r="BC3" s="342">
        <v>55</v>
      </c>
      <c r="BD3" s="35">
        <v>56</v>
      </c>
      <c r="BE3" s="35">
        <v>57</v>
      </c>
      <c r="BF3" s="342">
        <v>58</v>
      </c>
      <c r="BG3" s="35">
        <v>59</v>
      </c>
      <c r="BH3" s="35">
        <v>60</v>
      </c>
      <c r="BI3" s="342">
        <v>61</v>
      </c>
      <c r="BJ3" s="35">
        <v>62</v>
      </c>
      <c r="BK3" s="35">
        <v>63</v>
      </c>
      <c r="BL3" s="342">
        <v>64</v>
      </c>
      <c r="BM3" s="35">
        <v>65</v>
      </c>
      <c r="BN3" s="35">
        <v>66</v>
      </c>
      <c r="BO3" s="342">
        <v>67</v>
      </c>
      <c r="BP3" s="35">
        <v>68</v>
      </c>
      <c r="BQ3" s="35">
        <v>69</v>
      </c>
      <c r="BR3" s="342">
        <v>70</v>
      </c>
      <c r="BS3" s="35">
        <v>71</v>
      </c>
      <c r="BT3" s="35">
        <v>72</v>
      </c>
      <c r="BU3" s="342">
        <v>73</v>
      </c>
      <c r="BV3" s="35">
        <v>74</v>
      </c>
      <c r="BW3" s="35">
        <v>75</v>
      </c>
      <c r="BX3" s="342">
        <v>76</v>
      </c>
      <c r="BY3" s="35">
        <v>77</v>
      </c>
      <c r="BZ3" s="35">
        <v>78</v>
      </c>
      <c r="CA3" s="342">
        <v>79</v>
      </c>
      <c r="CB3" s="35">
        <v>80</v>
      </c>
      <c r="CC3" s="35">
        <v>81</v>
      </c>
      <c r="CD3" s="342">
        <v>82</v>
      </c>
      <c r="CE3" s="334"/>
    </row>
    <row r="4" spans="1:85" ht="13.5" thickBot="1" x14ac:dyDescent="0.25">
      <c r="A4" s="338"/>
      <c r="B4" s="334"/>
      <c r="C4" s="37"/>
      <c r="D4" s="88"/>
      <c r="E4" s="88"/>
      <c r="F4" s="114"/>
      <c r="G4" s="115"/>
      <c r="H4" s="115"/>
      <c r="I4" s="116"/>
      <c r="J4" s="116"/>
      <c r="K4" s="116"/>
      <c r="L4" s="116"/>
      <c r="M4" s="116"/>
      <c r="N4" s="116"/>
      <c r="O4" s="116"/>
      <c r="P4" s="116"/>
      <c r="Q4" s="116"/>
      <c r="R4" s="116"/>
      <c r="S4" s="116"/>
      <c r="T4" s="116"/>
      <c r="U4" s="117"/>
      <c r="V4" s="118"/>
      <c r="W4" s="116"/>
      <c r="X4" s="117"/>
      <c r="Y4" s="118"/>
      <c r="Z4" s="116"/>
      <c r="AA4" s="117"/>
      <c r="AB4" s="118"/>
      <c r="AC4" s="116"/>
      <c r="AD4" s="117"/>
      <c r="AE4" s="118"/>
      <c r="AF4" s="116"/>
      <c r="AG4" s="117"/>
      <c r="AH4" s="118"/>
      <c r="AI4" s="116"/>
      <c r="AJ4" s="117"/>
      <c r="AK4" s="118"/>
      <c r="AL4" s="116"/>
      <c r="AM4" s="117"/>
      <c r="AN4" s="118"/>
      <c r="AO4" s="116"/>
      <c r="AP4" s="117"/>
      <c r="AQ4" s="118"/>
      <c r="AR4" s="116"/>
      <c r="AS4" s="117"/>
      <c r="AT4" s="118"/>
      <c r="AU4" s="116"/>
      <c r="AV4" s="117"/>
      <c r="AW4" s="118"/>
      <c r="AX4" s="116"/>
      <c r="AY4" s="117"/>
      <c r="AZ4" s="118"/>
      <c r="BA4" s="116"/>
      <c r="BB4" s="117"/>
      <c r="BC4" s="118"/>
      <c r="BD4" s="116"/>
      <c r="BE4" s="117"/>
      <c r="BF4" s="118"/>
      <c r="BG4" s="116"/>
      <c r="BH4" s="117"/>
      <c r="BI4" s="118"/>
      <c r="BJ4" s="116"/>
      <c r="BK4" s="117"/>
      <c r="BL4" s="118"/>
      <c r="BM4" s="116"/>
      <c r="BN4" s="117"/>
      <c r="BO4" s="118"/>
      <c r="BP4" s="116"/>
      <c r="BQ4" s="117"/>
      <c r="BR4" s="118"/>
      <c r="BS4" s="116"/>
      <c r="BT4" s="117"/>
      <c r="BU4" s="118"/>
      <c r="BV4" s="116"/>
      <c r="BW4" s="117"/>
      <c r="BX4" s="118"/>
      <c r="BY4" s="116"/>
      <c r="BZ4" s="117"/>
      <c r="CA4" s="118"/>
      <c r="CB4" s="116"/>
      <c r="CC4" s="117"/>
      <c r="CD4" s="118"/>
      <c r="CE4" s="442"/>
    </row>
    <row r="5" spans="1:85" s="125" customFormat="1" ht="13.5" thickBot="1" x14ac:dyDescent="0.25">
      <c r="A5" s="338"/>
      <c r="B5" s="112" t="s">
        <v>581</v>
      </c>
      <c r="C5" s="323" t="s">
        <v>1091</v>
      </c>
      <c r="D5" s="341" t="s">
        <v>1092</v>
      </c>
      <c r="E5" s="112" t="s">
        <v>580</v>
      </c>
      <c r="F5" s="129">
        <v>1</v>
      </c>
      <c r="G5" s="130">
        <v>2</v>
      </c>
      <c r="H5" s="130">
        <v>3</v>
      </c>
      <c r="I5" s="130">
        <v>4</v>
      </c>
      <c r="J5" s="130">
        <v>5</v>
      </c>
      <c r="K5" s="130">
        <v>6</v>
      </c>
      <c r="L5" s="130">
        <v>7</v>
      </c>
      <c r="M5" s="130">
        <v>8</v>
      </c>
      <c r="N5" s="130">
        <v>9</v>
      </c>
      <c r="O5" s="130">
        <v>10</v>
      </c>
      <c r="P5" s="130">
        <v>11</v>
      </c>
      <c r="Q5" s="130">
        <v>12</v>
      </c>
      <c r="R5" s="130">
        <v>13</v>
      </c>
      <c r="S5" s="130">
        <v>14</v>
      </c>
      <c r="T5" s="130">
        <v>15</v>
      </c>
      <c r="U5" s="130">
        <v>16</v>
      </c>
      <c r="V5" s="131">
        <v>17</v>
      </c>
      <c r="W5" s="130">
        <v>18</v>
      </c>
      <c r="X5" s="130">
        <v>19</v>
      </c>
      <c r="Y5" s="131">
        <v>20</v>
      </c>
      <c r="Z5" s="130">
        <v>21</v>
      </c>
      <c r="AA5" s="130">
        <v>22</v>
      </c>
      <c r="AB5" s="131">
        <v>23</v>
      </c>
      <c r="AC5" s="130">
        <v>24</v>
      </c>
      <c r="AD5" s="130">
        <v>25</v>
      </c>
      <c r="AE5" s="131">
        <v>26</v>
      </c>
      <c r="AF5" s="130">
        <v>27</v>
      </c>
      <c r="AG5" s="130">
        <v>28</v>
      </c>
      <c r="AH5" s="131">
        <v>29</v>
      </c>
      <c r="AI5" s="130">
        <v>30</v>
      </c>
      <c r="AJ5" s="130">
        <v>31</v>
      </c>
      <c r="AK5" s="131">
        <v>32</v>
      </c>
      <c r="AL5" s="130">
        <v>33</v>
      </c>
      <c r="AM5" s="130">
        <v>34</v>
      </c>
      <c r="AN5" s="131">
        <v>35</v>
      </c>
      <c r="AO5" s="130">
        <v>36</v>
      </c>
      <c r="AP5" s="130">
        <v>37</v>
      </c>
      <c r="AQ5" s="131">
        <v>38</v>
      </c>
      <c r="AR5" s="130">
        <v>39</v>
      </c>
      <c r="AS5" s="130">
        <v>40</v>
      </c>
      <c r="AT5" s="131">
        <v>41</v>
      </c>
      <c r="AU5" s="130">
        <v>42</v>
      </c>
      <c r="AV5" s="130">
        <v>43</v>
      </c>
      <c r="AW5" s="131">
        <v>44</v>
      </c>
      <c r="AX5" s="130">
        <v>45</v>
      </c>
      <c r="AY5" s="130">
        <v>46</v>
      </c>
      <c r="AZ5" s="131">
        <v>47</v>
      </c>
      <c r="BA5" s="130">
        <v>48</v>
      </c>
      <c r="BB5" s="130">
        <v>49</v>
      </c>
      <c r="BC5" s="131">
        <v>50</v>
      </c>
      <c r="BD5" s="130">
        <v>51</v>
      </c>
      <c r="BE5" s="130">
        <v>52</v>
      </c>
      <c r="BF5" s="131">
        <v>53</v>
      </c>
      <c r="BG5" s="130">
        <v>54</v>
      </c>
      <c r="BH5" s="130">
        <v>55</v>
      </c>
      <c r="BI5" s="131">
        <v>56</v>
      </c>
      <c r="BJ5" s="130">
        <v>57</v>
      </c>
      <c r="BK5" s="130">
        <v>58</v>
      </c>
      <c r="BL5" s="131">
        <v>59</v>
      </c>
      <c r="BM5" s="130">
        <v>60</v>
      </c>
      <c r="BN5" s="130">
        <v>61</v>
      </c>
      <c r="BO5" s="131">
        <v>62</v>
      </c>
      <c r="BP5" s="130">
        <v>63</v>
      </c>
      <c r="BQ5" s="130">
        <v>64</v>
      </c>
      <c r="BR5" s="131">
        <v>65</v>
      </c>
      <c r="BS5" s="130">
        <v>66</v>
      </c>
      <c r="BT5" s="130">
        <v>67</v>
      </c>
      <c r="BU5" s="131">
        <v>68</v>
      </c>
      <c r="BV5" s="130">
        <v>69</v>
      </c>
      <c r="BW5" s="130">
        <v>70</v>
      </c>
      <c r="BX5" s="131">
        <v>71</v>
      </c>
      <c r="BY5" s="130">
        <v>72</v>
      </c>
      <c r="BZ5" s="130">
        <v>73</v>
      </c>
      <c r="CA5" s="131">
        <v>74</v>
      </c>
      <c r="CB5" s="130">
        <v>75</v>
      </c>
      <c r="CC5" s="130">
        <v>76</v>
      </c>
      <c r="CD5" s="131">
        <v>77</v>
      </c>
      <c r="CE5" s="443"/>
      <c r="CF5"/>
      <c r="CG5"/>
    </row>
    <row r="6" spans="1:85" s="125" customFormat="1" ht="13.5" thickBot="1" x14ac:dyDescent="0.25">
      <c r="A6" s="339"/>
      <c r="B6" s="335"/>
      <c r="C6" s="113"/>
      <c r="D6" s="91"/>
      <c r="E6" s="113"/>
      <c r="F6" s="129">
        <v>1</v>
      </c>
      <c r="G6" s="130">
        <v>2</v>
      </c>
      <c r="H6" s="130">
        <v>3</v>
      </c>
      <c r="I6" s="130">
        <v>4</v>
      </c>
      <c r="J6" s="129">
        <v>5</v>
      </c>
      <c r="K6" s="130">
        <v>1</v>
      </c>
      <c r="L6" s="130">
        <v>2</v>
      </c>
      <c r="M6" s="130">
        <v>1</v>
      </c>
      <c r="N6" s="129">
        <v>2</v>
      </c>
      <c r="O6" s="130">
        <v>1</v>
      </c>
      <c r="P6" s="130">
        <v>2</v>
      </c>
      <c r="Q6" s="130">
        <v>1</v>
      </c>
      <c r="R6" s="129">
        <v>2</v>
      </c>
      <c r="S6" s="130">
        <v>1</v>
      </c>
      <c r="T6" s="130">
        <v>2</v>
      </c>
      <c r="U6" s="130">
        <v>3</v>
      </c>
      <c r="V6" s="134">
        <v>4</v>
      </c>
      <c r="W6" s="133">
        <v>1</v>
      </c>
      <c r="X6" s="133">
        <v>2</v>
      </c>
      <c r="Y6" s="134">
        <v>3</v>
      </c>
      <c r="Z6" s="133">
        <v>4</v>
      </c>
      <c r="AA6" s="133">
        <v>5</v>
      </c>
      <c r="AB6" s="133">
        <v>1</v>
      </c>
      <c r="AC6" s="133">
        <v>2</v>
      </c>
      <c r="AD6" s="134">
        <v>3</v>
      </c>
      <c r="AE6" s="133">
        <v>4</v>
      </c>
      <c r="AF6" s="133">
        <v>5</v>
      </c>
      <c r="AG6" s="133">
        <v>1</v>
      </c>
      <c r="AH6" s="133">
        <v>2</v>
      </c>
      <c r="AI6" s="134">
        <v>3</v>
      </c>
      <c r="AJ6" s="133">
        <v>4</v>
      </c>
      <c r="AK6" s="133">
        <v>5</v>
      </c>
      <c r="AL6" s="133">
        <v>1</v>
      </c>
      <c r="AM6" s="133">
        <v>2</v>
      </c>
      <c r="AN6" s="134">
        <v>3</v>
      </c>
      <c r="AO6" s="133">
        <v>4</v>
      </c>
      <c r="AP6" s="133">
        <v>5</v>
      </c>
      <c r="AQ6" s="133">
        <v>1</v>
      </c>
      <c r="AR6" s="133">
        <v>2</v>
      </c>
      <c r="AS6" s="134">
        <v>3</v>
      </c>
      <c r="AT6" s="133">
        <v>4</v>
      </c>
      <c r="AU6" s="133">
        <v>5</v>
      </c>
      <c r="AV6" s="133">
        <v>1</v>
      </c>
      <c r="AW6" s="133">
        <v>2</v>
      </c>
      <c r="AX6" s="134">
        <v>3</v>
      </c>
      <c r="AY6" s="133">
        <v>4</v>
      </c>
      <c r="AZ6" s="133">
        <v>5</v>
      </c>
      <c r="BA6" s="133">
        <v>1</v>
      </c>
      <c r="BB6" s="133">
        <v>2</v>
      </c>
      <c r="BC6" s="134">
        <v>3</v>
      </c>
      <c r="BD6" s="133">
        <v>4</v>
      </c>
      <c r="BE6" s="133">
        <v>5</v>
      </c>
      <c r="BF6" s="134">
        <v>1</v>
      </c>
      <c r="BG6" s="133">
        <v>1</v>
      </c>
      <c r="BH6" s="133">
        <v>1</v>
      </c>
      <c r="BI6" s="134">
        <v>2</v>
      </c>
      <c r="BJ6" s="133">
        <v>3</v>
      </c>
      <c r="BK6" s="133">
        <v>1</v>
      </c>
      <c r="BL6" s="134">
        <v>2</v>
      </c>
      <c r="BM6" s="133">
        <v>3</v>
      </c>
      <c r="BN6" s="133">
        <v>4</v>
      </c>
      <c r="BO6" s="134">
        <v>5</v>
      </c>
      <c r="BP6" s="133">
        <v>1</v>
      </c>
      <c r="BQ6" s="133">
        <v>2</v>
      </c>
      <c r="BR6" s="134">
        <v>3</v>
      </c>
      <c r="BS6" s="133">
        <v>4</v>
      </c>
      <c r="BT6" s="133">
        <v>5</v>
      </c>
      <c r="BU6" s="134">
        <v>1</v>
      </c>
      <c r="BV6" s="133">
        <v>2</v>
      </c>
      <c r="BW6" s="133">
        <v>3</v>
      </c>
      <c r="BX6" s="134">
        <v>4</v>
      </c>
      <c r="BY6" s="133">
        <v>5</v>
      </c>
      <c r="BZ6" s="133">
        <v>1</v>
      </c>
      <c r="CA6" s="134">
        <v>2</v>
      </c>
      <c r="CB6" s="133">
        <v>3</v>
      </c>
      <c r="CC6" s="133">
        <v>4</v>
      </c>
      <c r="CD6" s="134">
        <v>5</v>
      </c>
      <c r="CE6" s="443"/>
    </row>
    <row r="7" spans="1:85" ht="13.5" thickBot="1" x14ac:dyDescent="0.25">
      <c r="A7" s="77"/>
      <c r="B7" s="77"/>
      <c r="C7" s="78"/>
      <c r="D7" s="85"/>
      <c r="E7" s="329"/>
      <c r="F7" s="119"/>
      <c r="G7" s="120"/>
      <c r="H7" s="120"/>
      <c r="I7" s="121"/>
      <c r="J7" s="122"/>
      <c r="K7" s="121"/>
      <c r="L7" s="121"/>
      <c r="M7" s="121"/>
      <c r="N7" s="121"/>
      <c r="O7" s="121"/>
      <c r="P7" s="121"/>
      <c r="Q7" s="121"/>
      <c r="R7" s="121"/>
      <c r="S7" s="121"/>
      <c r="T7" s="121"/>
      <c r="U7" s="121"/>
      <c r="V7" s="123"/>
      <c r="W7" s="121"/>
      <c r="X7" s="121"/>
      <c r="Y7" s="123"/>
      <c r="Z7" s="121"/>
      <c r="AA7" s="121"/>
      <c r="AB7" s="123"/>
      <c r="AC7" s="121"/>
      <c r="AD7" s="121"/>
      <c r="AE7" s="123"/>
      <c r="AF7" s="121"/>
      <c r="AG7" s="121"/>
      <c r="AH7" s="123"/>
      <c r="AI7" s="121"/>
      <c r="AJ7" s="121"/>
      <c r="AK7" s="123"/>
      <c r="AL7" s="121"/>
      <c r="AM7" s="121"/>
      <c r="AN7" s="123"/>
      <c r="AO7" s="121"/>
      <c r="AP7" s="121"/>
      <c r="AQ7" s="123"/>
      <c r="AR7" s="121"/>
      <c r="AS7" s="121"/>
      <c r="AT7" s="123"/>
      <c r="AU7" s="121"/>
      <c r="AV7" s="121"/>
      <c r="AW7" s="123"/>
      <c r="AX7" s="121"/>
      <c r="AY7" s="121"/>
      <c r="AZ7" s="123"/>
      <c r="BA7" s="121"/>
      <c r="BB7" s="121"/>
      <c r="BC7" s="123"/>
      <c r="BD7" s="121"/>
      <c r="BE7" s="121"/>
      <c r="BF7" s="123"/>
      <c r="BG7" s="121"/>
      <c r="BH7" s="121"/>
      <c r="BI7" s="123"/>
      <c r="BJ7" s="121"/>
      <c r="BK7" s="121"/>
      <c r="BL7" s="123"/>
      <c r="BM7" s="121"/>
      <c r="BN7" s="121"/>
      <c r="BO7" s="123"/>
      <c r="BP7" s="121"/>
      <c r="BQ7" s="121"/>
      <c r="BR7" s="123"/>
      <c r="BS7" s="121"/>
      <c r="BT7" s="121"/>
      <c r="BU7" s="123"/>
      <c r="BV7" s="121"/>
      <c r="BW7" s="121"/>
      <c r="BX7" s="123"/>
      <c r="BY7" s="121"/>
      <c r="BZ7" s="121"/>
      <c r="CA7" s="123"/>
      <c r="CB7" s="121"/>
      <c r="CC7" s="121"/>
      <c r="CD7" s="123"/>
      <c r="CE7" s="444"/>
      <c r="CF7" s="125"/>
      <c r="CG7" s="125"/>
    </row>
    <row r="8" spans="1:85" ht="12.75" x14ac:dyDescent="0.2">
      <c r="A8" s="446">
        <v>1</v>
      </c>
      <c r="B8" s="447" t="s">
        <v>583</v>
      </c>
      <c r="C8" s="448" t="s">
        <v>1093</v>
      </c>
      <c r="D8" s="449" t="s">
        <v>1094</v>
      </c>
      <c r="E8" s="450" t="s">
        <v>582</v>
      </c>
      <c r="F8" s="451">
        <v>7907073</v>
      </c>
      <c r="G8" s="451">
        <v>6325659</v>
      </c>
      <c r="H8" s="451">
        <v>1581415</v>
      </c>
      <c r="I8" s="451">
        <v>0</v>
      </c>
      <c r="J8" s="451">
        <v>15814147</v>
      </c>
      <c r="K8" s="451">
        <v>0</v>
      </c>
      <c r="L8" s="451">
        <v>0</v>
      </c>
      <c r="M8" s="451">
        <v>7907073</v>
      </c>
      <c r="N8" s="451">
        <v>15814147</v>
      </c>
      <c r="O8" s="451">
        <v>84623</v>
      </c>
      <c r="P8" s="451">
        <v>84623</v>
      </c>
      <c r="Q8" s="451">
        <v>0</v>
      </c>
      <c r="R8" s="451">
        <v>0</v>
      </c>
      <c r="S8" s="451">
        <v>0</v>
      </c>
      <c r="T8" s="451">
        <v>0</v>
      </c>
      <c r="U8" s="451">
        <v>0</v>
      </c>
      <c r="V8" s="451">
        <v>0</v>
      </c>
      <c r="W8" s="451">
        <v>0</v>
      </c>
      <c r="X8" s="451">
        <v>0</v>
      </c>
      <c r="Y8" s="451">
        <v>0</v>
      </c>
      <c r="Z8" s="451">
        <v>0</v>
      </c>
      <c r="AA8" s="451">
        <v>0</v>
      </c>
      <c r="AB8" s="451">
        <v>419802</v>
      </c>
      <c r="AC8" s="451">
        <v>335842</v>
      </c>
      <c r="AD8" s="451">
        <v>83961</v>
      </c>
      <c r="AE8" s="451">
        <v>0</v>
      </c>
      <c r="AF8" s="451">
        <v>839605</v>
      </c>
      <c r="AG8" s="451">
        <v>126878</v>
      </c>
      <c r="AH8" s="451">
        <v>101502</v>
      </c>
      <c r="AI8" s="451">
        <v>25376</v>
      </c>
      <c r="AJ8" s="451">
        <v>0</v>
      </c>
      <c r="AK8" s="451">
        <v>253756</v>
      </c>
      <c r="AL8" s="451">
        <v>168214</v>
      </c>
      <c r="AM8" s="451">
        <v>134572</v>
      </c>
      <c r="AN8" s="451">
        <v>33643</v>
      </c>
      <c r="AO8" s="451">
        <v>0</v>
      </c>
      <c r="AP8" s="451">
        <v>336429</v>
      </c>
      <c r="AQ8" s="451">
        <v>34051</v>
      </c>
      <c r="AR8" s="451">
        <v>27240</v>
      </c>
      <c r="AS8" s="451">
        <v>6810</v>
      </c>
      <c r="AT8" s="451">
        <v>0</v>
      </c>
      <c r="AU8" s="451">
        <v>68101</v>
      </c>
      <c r="AV8" s="451">
        <v>202265</v>
      </c>
      <c r="AW8" s="451">
        <v>161812</v>
      </c>
      <c r="AX8" s="451">
        <v>40453</v>
      </c>
      <c r="AY8" s="451">
        <v>0</v>
      </c>
      <c r="AZ8" s="451">
        <v>404530</v>
      </c>
      <c r="BA8" s="451">
        <v>0</v>
      </c>
      <c r="BB8" s="451">
        <v>0</v>
      </c>
      <c r="BC8" s="451">
        <v>0</v>
      </c>
      <c r="BD8" s="451">
        <v>0</v>
      </c>
      <c r="BE8" s="451">
        <v>0</v>
      </c>
      <c r="BF8" s="451">
        <v>42984</v>
      </c>
      <c r="BG8" s="451">
        <v>34388</v>
      </c>
      <c r="BH8" s="451">
        <v>8597</v>
      </c>
      <c r="BI8" s="451">
        <v>0</v>
      </c>
      <c r="BJ8" s="451">
        <v>85969</v>
      </c>
      <c r="BK8" s="451">
        <v>42984</v>
      </c>
      <c r="BL8" s="451">
        <v>34388</v>
      </c>
      <c r="BM8" s="451">
        <v>8597</v>
      </c>
      <c r="BN8" s="451">
        <v>0</v>
      </c>
      <c r="BO8" s="451">
        <v>85969</v>
      </c>
      <c r="BP8" s="451">
        <v>0</v>
      </c>
      <c r="BQ8" s="451">
        <v>0</v>
      </c>
      <c r="BR8" s="451">
        <v>0</v>
      </c>
      <c r="BS8" s="451">
        <v>0</v>
      </c>
      <c r="BT8" s="451">
        <v>0</v>
      </c>
      <c r="BU8" s="451">
        <v>545532</v>
      </c>
      <c r="BV8" s="451">
        <v>436425</v>
      </c>
      <c r="BW8" s="451">
        <v>109106</v>
      </c>
      <c r="BX8" s="451">
        <v>0</v>
      </c>
      <c r="BY8" s="451">
        <v>1091063</v>
      </c>
      <c r="BZ8" s="451">
        <v>545532</v>
      </c>
      <c r="CA8" s="451">
        <v>436425</v>
      </c>
      <c r="CB8" s="451">
        <v>109106</v>
      </c>
      <c r="CC8" s="451">
        <v>0</v>
      </c>
      <c r="CD8" s="451">
        <v>1091063</v>
      </c>
      <c r="CE8" s="104"/>
    </row>
    <row r="9" spans="1:85" ht="12.75" x14ac:dyDescent="0.2">
      <c r="A9" s="446">
        <v>2</v>
      </c>
      <c r="B9" s="447" t="s">
        <v>585</v>
      </c>
      <c r="C9" s="448" t="s">
        <v>1093</v>
      </c>
      <c r="D9" s="449" t="s">
        <v>1095</v>
      </c>
      <c r="E9" s="450" t="s">
        <v>584</v>
      </c>
      <c r="F9" s="451">
        <v>12028872</v>
      </c>
      <c r="G9" s="451">
        <v>9623098</v>
      </c>
      <c r="H9" s="451">
        <v>2405774</v>
      </c>
      <c r="I9" s="451">
        <v>0</v>
      </c>
      <c r="J9" s="451">
        <v>24057744</v>
      </c>
      <c r="K9" s="451">
        <v>0</v>
      </c>
      <c r="L9" s="451">
        <v>0</v>
      </c>
      <c r="M9" s="451">
        <v>12028872</v>
      </c>
      <c r="N9" s="451">
        <v>24057744</v>
      </c>
      <c r="O9" s="451">
        <v>182676</v>
      </c>
      <c r="P9" s="451">
        <v>182676</v>
      </c>
      <c r="Q9" s="451">
        <v>0</v>
      </c>
      <c r="R9" s="451">
        <v>0</v>
      </c>
      <c r="S9" s="451">
        <v>0</v>
      </c>
      <c r="T9" s="451">
        <v>0</v>
      </c>
      <c r="U9" s="451">
        <v>151152</v>
      </c>
      <c r="V9" s="451">
        <v>0</v>
      </c>
      <c r="W9" s="451">
        <v>151152</v>
      </c>
      <c r="X9" s="451">
        <v>0</v>
      </c>
      <c r="Y9" s="451">
        <v>0</v>
      </c>
      <c r="Z9" s="451">
        <v>0</v>
      </c>
      <c r="AA9" s="451">
        <v>0</v>
      </c>
      <c r="AB9" s="451">
        <v>453526</v>
      </c>
      <c r="AC9" s="451">
        <v>362821</v>
      </c>
      <c r="AD9" s="451">
        <v>90705</v>
      </c>
      <c r="AE9" s="451">
        <v>0</v>
      </c>
      <c r="AF9" s="451">
        <v>907052</v>
      </c>
      <c r="AG9" s="451">
        <v>77083</v>
      </c>
      <c r="AH9" s="451">
        <v>61667</v>
      </c>
      <c r="AI9" s="451">
        <v>15417</v>
      </c>
      <c r="AJ9" s="451">
        <v>0</v>
      </c>
      <c r="AK9" s="451">
        <v>154167</v>
      </c>
      <c r="AL9" s="451">
        <v>279417</v>
      </c>
      <c r="AM9" s="451">
        <v>223534</v>
      </c>
      <c r="AN9" s="451">
        <v>55883</v>
      </c>
      <c r="AO9" s="451">
        <v>0</v>
      </c>
      <c r="AP9" s="451">
        <v>558834</v>
      </c>
      <c r="AQ9" s="451">
        <v>-83664</v>
      </c>
      <c r="AR9" s="451">
        <v>-66932</v>
      </c>
      <c r="AS9" s="451">
        <v>-16733</v>
      </c>
      <c r="AT9" s="451">
        <v>0</v>
      </c>
      <c r="AU9" s="451">
        <v>-167329</v>
      </c>
      <c r="AV9" s="451">
        <v>195753</v>
      </c>
      <c r="AW9" s="451">
        <v>156602</v>
      </c>
      <c r="AX9" s="451">
        <v>39150</v>
      </c>
      <c r="AY9" s="451">
        <v>0</v>
      </c>
      <c r="AZ9" s="451">
        <v>391505</v>
      </c>
      <c r="BA9" s="451">
        <v>0</v>
      </c>
      <c r="BB9" s="451">
        <v>0</v>
      </c>
      <c r="BC9" s="451">
        <v>0</v>
      </c>
      <c r="BD9" s="451">
        <v>0</v>
      </c>
      <c r="BE9" s="451">
        <v>0</v>
      </c>
      <c r="BF9" s="451">
        <v>357646</v>
      </c>
      <c r="BG9" s="451">
        <v>286116</v>
      </c>
      <c r="BH9" s="451">
        <v>71529</v>
      </c>
      <c r="BI9" s="451">
        <v>0</v>
      </c>
      <c r="BJ9" s="451">
        <v>715291</v>
      </c>
      <c r="BK9" s="451">
        <v>357646</v>
      </c>
      <c r="BL9" s="451">
        <v>286116</v>
      </c>
      <c r="BM9" s="451">
        <v>71529</v>
      </c>
      <c r="BN9" s="451">
        <v>0</v>
      </c>
      <c r="BO9" s="451">
        <v>715291</v>
      </c>
      <c r="BP9" s="451">
        <v>0</v>
      </c>
      <c r="BQ9" s="451">
        <v>0</v>
      </c>
      <c r="BR9" s="451">
        <v>0</v>
      </c>
      <c r="BS9" s="451">
        <v>0</v>
      </c>
      <c r="BT9" s="451">
        <v>0</v>
      </c>
      <c r="BU9" s="451">
        <v>889197</v>
      </c>
      <c r="BV9" s="451">
        <v>711357</v>
      </c>
      <c r="BW9" s="451">
        <v>177839</v>
      </c>
      <c r="BX9" s="451">
        <v>0</v>
      </c>
      <c r="BY9" s="451">
        <v>1778393</v>
      </c>
      <c r="BZ9" s="451">
        <v>889197</v>
      </c>
      <c r="CA9" s="451">
        <v>711357</v>
      </c>
      <c r="CB9" s="451">
        <v>177839</v>
      </c>
      <c r="CC9" s="451">
        <v>0</v>
      </c>
      <c r="CD9" s="451">
        <v>1778393</v>
      </c>
      <c r="CE9" s="104"/>
      <c r="CF9" s="104"/>
      <c r="CG9" s="104"/>
    </row>
    <row r="10" spans="1:85" ht="12.75" x14ac:dyDescent="0.2">
      <c r="A10" s="446">
        <v>3</v>
      </c>
      <c r="B10" s="447" t="s">
        <v>587</v>
      </c>
      <c r="C10" s="448" t="s">
        <v>1093</v>
      </c>
      <c r="D10" s="449" t="s">
        <v>1096</v>
      </c>
      <c r="E10" s="450" t="s">
        <v>586</v>
      </c>
      <c r="F10" s="451">
        <v>14581664</v>
      </c>
      <c r="G10" s="451">
        <v>11665331</v>
      </c>
      <c r="H10" s="451">
        <v>2624699</v>
      </c>
      <c r="I10" s="451">
        <v>291633</v>
      </c>
      <c r="J10" s="451">
        <v>29163327</v>
      </c>
      <c r="K10" s="451">
        <v>0</v>
      </c>
      <c r="L10" s="451">
        <v>0</v>
      </c>
      <c r="M10" s="451">
        <v>14581664</v>
      </c>
      <c r="N10" s="451">
        <v>29163327</v>
      </c>
      <c r="O10" s="451">
        <v>154747</v>
      </c>
      <c r="P10" s="451">
        <v>154747</v>
      </c>
      <c r="Q10" s="451">
        <v>0</v>
      </c>
      <c r="R10" s="451">
        <v>0</v>
      </c>
      <c r="S10" s="451">
        <v>0</v>
      </c>
      <c r="T10" s="451">
        <v>0</v>
      </c>
      <c r="U10" s="451">
        <v>0</v>
      </c>
      <c r="V10" s="451">
        <v>0</v>
      </c>
      <c r="W10" s="451">
        <v>0</v>
      </c>
      <c r="X10" s="451">
        <v>0</v>
      </c>
      <c r="Y10" s="451">
        <v>0</v>
      </c>
      <c r="Z10" s="451">
        <v>0</v>
      </c>
      <c r="AA10" s="451">
        <v>0</v>
      </c>
      <c r="AB10" s="451">
        <v>234229</v>
      </c>
      <c r="AC10" s="451">
        <v>187383</v>
      </c>
      <c r="AD10" s="451">
        <v>42161</v>
      </c>
      <c r="AE10" s="451">
        <v>4685</v>
      </c>
      <c r="AF10" s="451">
        <v>468458</v>
      </c>
      <c r="AG10" s="451">
        <v>340642</v>
      </c>
      <c r="AH10" s="451">
        <v>272513</v>
      </c>
      <c r="AI10" s="451">
        <v>61315</v>
      </c>
      <c r="AJ10" s="451">
        <v>6813</v>
      </c>
      <c r="AK10" s="451">
        <v>681283</v>
      </c>
      <c r="AL10" s="451">
        <v>0</v>
      </c>
      <c r="AM10" s="451">
        <v>0</v>
      </c>
      <c r="AN10" s="451">
        <v>0</v>
      </c>
      <c r="AO10" s="451">
        <v>0</v>
      </c>
      <c r="AP10" s="451">
        <v>0</v>
      </c>
      <c r="AQ10" s="451">
        <v>237500</v>
      </c>
      <c r="AR10" s="451">
        <v>190000</v>
      </c>
      <c r="AS10" s="451">
        <v>42750</v>
      </c>
      <c r="AT10" s="451">
        <v>4750</v>
      </c>
      <c r="AU10" s="451">
        <v>475000</v>
      </c>
      <c r="AV10" s="451">
        <v>237500</v>
      </c>
      <c r="AW10" s="451">
        <v>190000</v>
      </c>
      <c r="AX10" s="451">
        <v>42750</v>
      </c>
      <c r="AY10" s="451">
        <v>4750</v>
      </c>
      <c r="AZ10" s="451">
        <v>475000</v>
      </c>
      <c r="BA10" s="451">
        <v>0</v>
      </c>
      <c r="BB10" s="451">
        <v>0</v>
      </c>
      <c r="BC10" s="451">
        <v>0</v>
      </c>
      <c r="BD10" s="451">
        <v>0</v>
      </c>
      <c r="BE10" s="451">
        <v>0</v>
      </c>
      <c r="BF10" s="451">
        <v>60000</v>
      </c>
      <c r="BG10" s="451">
        <v>48000</v>
      </c>
      <c r="BH10" s="451">
        <v>10800</v>
      </c>
      <c r="BI10" s="451">
        <v>1200</v>
      </c>
      <c r="BJ10" s="451">
        <v>120000</v>
      </c>
      <c r="BK10" s="451">
        <v>60000</v>
      </c>
      <c r="BL10" s="451">
        <v>48000</v>
      </c>
      <c r="BM10" s="451">
        <v>10800</v>
      </c>
      <c r="BN10" s="451">
        <v>1200</v>
      </c>
      <c r="BO10" s="451">
        <v>120000</v>
      </c>
      <c r="BP10" s="451">
        <v>0</v>
      </c>
      <c r="BQ10" s="451">
        <v>0</v>
      </c>
      <c r="BR10" s="451">
        <v>0</v>
      </c>
      <c r="BS10" s="451">
        <v>0</v>
      </c>
      <c r="BT10" s="451">
        <v>0</v>
      </c>
      <c r="BU10" s="451">
        <v>170000</v>
      </c>
      <c r="BV10" s="451">
        <v>136000</v>
      </c>
      <c r="BW10" s="451">
        <v>30600</v>
      </c>
      <c r="BX10" s="451">
        <v>3400</v>
      </c>
      <c r="BY10" s="451">
        <v>340000</v>
      </c>
      <c r="BZ10" s="451">
        <v>170000</v>
      </c>
      <c r="CA10" s="451">
        <v>136000</v>
      </c>
      <c r="CB10" s="451">
        <v>30600</v>
      </c>
      <c r="CC10" s="451">
        <v>3400</v>
      </c>
      <c r="CD10" s="451">
        <v>340000</v>
      </c>
      <c r="CE10" s="104"/>
      <c r="CF10" s="104"/>
      <c r="CG10" s="104"/>
    </row>
    <row r="11" spans="1:85" ht="12.75" x14ac:dyDescent="0.2">
      <c r="A11" s="446">
        <v>4</v>
      </c>
      <c r="B11" s="447" t="s">
        <v>589</v>
      </c>
      <c r="C11" s="448" t="s">
        <v>1093</v>
      </c>
      <c r="D11" s="449" t="s">
        <v>1094</v>
      </c>
      <c r="E11" s="450" t="s">
        <v>588</v>
      </c>
      <c r="F11" s="451">
        <v>15217832</v>
      </c>
      <c r="G11" s="451">
        <v>12174265</v>
      </c>
      <c r="H11" s="451">
        <v>3043566</v>
      </c>
      <c r="I11" s="451">
        <v>0</v>
      </c>
      <c r="J11" s="451">
        <v>30435663</v>
      </c>
      <c r="K11" s="451">
        <v>0</v>
      </c>
      <c r="L11" s="451">
        <v>0</v>
      </c>
      <c r="M11" s="451">
        <v>15217832</v>
      </c>
      <c r="N11" s="451">
        <v>30435663</v>
      </c>
      <c r="O11" s="451">
        <v>173257</v>
      </c>
      <c r="P11" s="451">
        <v>173257</v>
      </c>
      <c r="Q11" s="451">
        <v>0</v>
      </c>
      <c r="R11" s="451">
        <v>0</v>
      </c>
      <c r="S11" s="451">
        <v>0</v>
      </c>
      <c r="T11" s="451">
        <v>0</v>
      </c>
      <c r="U11" s="451">
        <v>0</v>
      </c>
      <c r="V11" s="451">
        <v>0</v>
      </c>
      <c r="W11" s="451">
        <v>0</v>
      </c>
      <c r="X11" s="451">
        <v>0</v>
      </c>
      <c r="Y11" s="451">
        <v>0</v>
      </c>
      <c r="Z11" s="451">
        <v>0</v>
      </c>
      <c r="AA11" s="451">
        <v>0</v>
      </c>
      <c r="AB11" s="451">
        <v>822456</v>
      </c>
      <c r="AC11" s="451">
        <v>657965</v>
      </c>
      <c r="AD11" s="451">
        <v>164491</v>
      </c>
      <c r="AE11" s="451">
        <v>0</v>
      </c>
      <c r="AF11" s="451">
        <v>1644912</v>
      </c>
      <c r="AG11" s="451">
        <v>221059</v>
      </c>
      <c r="AH11" s="451">
        <v>176848</v>
      </c>
      <c r="AI11" s="451">
        <v>44212</v>
      </c>
      <c r="AJ11" s="451">
        <v>0</v>
      </c>
      <c r="AK11" s="451">
        <v>442119</v>
      </c>
      <c r="AL11" s="451">
        <v>200000</v>
      </c>
      <c r="AM11" s="451">
        <v>160000</v>
      </c>
      <c r="AN11" s="451">
        <v>40000</v>
      </c>
      <c r="AO11" s="451">
        <v>0</v>
      </c>
      <c r="AP11" s="451">
        <v>400000</v>
      </c>
      <c r="AQ11" s="451">
        <v>5500</v>
      </c>
      <c r="AR11" s="451">
        <v>4400</v>
      </c>
      <c r="AS11" s="451">
        <v>1100</v>
      </c>
      <c r="AT11" s="451">
        <v>0</v>
      </c>
      <c r="AU11" s="451">
        <v>11000</v>
      </c>
      <c r="AV11" s="451">
        <v>205500</v>
      </c>
      <c r="AW11" s="451">
        <v>164400</v>
      </c>
      <c r="AX11" s="451">
        <v>41100</v>
      </c>
      <c r="AY11" s="451">
        <v>0</v>
      </c>
      <c r="AZ11" s="451">
        <v>411000</v>
      </c>
      <c r="BA11" s="451">
        <v>0</v>
      </c>
      <c r="BB11" s="451">
        <v>0</v>
      </c>
      <c r="BC11" s="451">
        <v>0</v>
      </c>
      <c r="BD11" s="451">
        <v>0</v>
      </c>
      <c r="BE11" s="451">
        <v>0</v>
      </c>
      <c r="BF11" s="451">
        <v>342500</v>
      </c>
      <c r="BG11" s="451">
        <v>274000</v>
      </c>
      <c r="BH11" s="451">
        <v>68500</v>
      </c>
      <c r="BI11" s="451">
        <v>0</v>
      </c>
      <c r="BJ11" s="451">
        <v>685000</v>
      </c>
      <c r="BK11" s="451">
        <v>342500</v>
      </c>
      <c r="BL11" s="451">
        <v>274000</v>
      </c>
      <c r="BM11" s="451">
        <v>68500</v>
      </c>
      <c r="BN11" s="451">
        <v>0</v>
      </c>
      <c r="BO11" s="451">
        <v>685000</v>
      </c>
      <c r="BP11" s="451">
        <v>0</v>
      </c>
      <c r="BQ11" s="451">
        <v>0</v>
      </c>
      <c r="BR11" s="451">
        <v>0</v>
      </c>
      <c r="BS11" s="451">
        <v>0</v>
      </c>
      <c r="BT11" s="451">
        <v>0</v>
      </c>
      <c r="BU11" s="451">
        <v>929000</v>
      </c>
      <c r="BV11" s="451">
        <v>743200</v>
      </c>
      <c r="BW11" s="451">
        <v>185800</v>
      </c>
      <c r="BX11" s="451">
        <v>0</v>
      </c>
      <c r="BY11" s="451">
        <v>1858000</v>
      </c>
      <c r="BZ11" s="451">
        <v>929000</v>
      </c>
      <c r="CA11" s="451">
        <v>743200</v>
      </c>
      <c r="CB11" s="451">
        <v>185800</v>
      </c>
      <c r="CC11" s="451">
        <v>0</v>
      </c>
      <c r="CD11" s="451">
        <v>1858000</v>
      </c>
      <c r="CE11" s="104"/>
      <c r="CF11" s="104"/>
      <c r="CG11" s="104"/>
    </row>
    <row r="12" spans="1:85" ht="12.75" x14ac:dyDescent="0.2">
      <c r="A12" s="446">
        <v>5</v>
      </c>
      <c r="B12" s="447" t="s">
        <v>591</v>
      </c>
      <c r="C12" s="448" t="s">
        <v>1093</v>
      </c>
      <c r="D12" s="449" t="s">
        <v>1096</v>
      </c>
      <c r="E12" s="450" t="s">
        <v>590</v>
      </c>
      <c r="F12" s="451">
        <v>15472302</v>
      </c>
      <c r="G12" s="451">
        <v>12377841</v>
      </c>
      <c r="H12" s="451">
        <v>2785014</v>
      </c>
      <c r="I12" s="451">
        <v>309446</v>
      </c>
      <c r="J12" s="451">
        <v>30944603</v>
      </c>
      <c r="K12" s="451">
        <v>0</v>
      </c>
      <c r="L12" s="451">
        <v>0</v>
      </c>
      <c r="M12" s="451">
        <v>15472302</v>
      </c>
      <c r="N12" s="451">
        <v>30944603</v>
      </c>
      <c r="O12" s="451">
        <v>127890</v>
      </c>
      <c r="P12" s="451">
        <v>127890</v>
      </c>
      <c r="Q12" s="451">
        <v>0</v>
      </c>
      <c r="R12" s="451">
        <v>0</v>
      </c>
      <c r="S12" s="451">
        <v>0</v>
      </c>
      <c r="T12" s="451">
        <v>0</v>
      </c>
      <c r="U12" s="451">
        <v>0</v>
      </c>
      <c r="V12" s="451">
        <v>0</v>
      </c>
      <c r="W12" s="451">
        <v>0</v>
      </c>
      <c r="X12" s="451">
        <v>0</v>
      </c>
      <c r="Y12" s="451">
        <v>0</v>
      </c>
      <c r="Z12" s="451">
        <v>0</v>
      </c>
      <c r="AA12" s="451">
        <v>0</v>
      </c>
      <c r="AB12" s="451">
        <v>486842</v>
      </c>
      <c r="AC12" s="451">
        <v>389474</v>
      </c>
      <c r="AD12" s="451">
        <v>87632</v>
      </c>
      <c r="AE12" s="451">
        <v>9737</v>
      </c>
      <c r="AF12" s="451">
        <v>973685</v>
      </c>
      <c r="AG12" s="451">
        <v>60813.94</v>
      </c>
      <c r="AH12" s="451">
        <v>48651</v>
      </c>
      <c r="AI12" s="451">
        <v>10946</v>
      </c>
      <c r="AJ12" s="451">
        <v>1216</v>
      </c>
      <c r="AK12" s="451">
        <v>121626.94</v>
      </c>
      <c r="AL12" s="451">
        <v>196354</v>
      </c>
      <c r="AM12" s="451">
        <v>157084</v>
      </c>
      <c r="AN12" s="451">
        <v>35344</v>
      </c>
      <c r="AO12" s="451">
        <v>3927</v>
      </c>
      <c r="AP12" s="451">
        <v>392709</v>
      </c>
      <c r="AQ12" s="451">
        <v>76336</v>
      </c>
      <c r="AR12" s="451">
        <v>61068</v>
      </c>
      <c r="AS12" s="451">
        <v>13740</v>
      </c>
      <c r="AT12" s="451">
        <v>1527</v>
      </c>
      <c r="AU12" s="451">
        <v>152671</v>
      </c>
      <c r="AV12" s="451">
        <v>272690</v>
      </c>
      <c r="AW12" s="451">
        <v>218152</v>
      </c>
      <c r="AX12" s="451">
        <v>49084</v>
      </c>
      <c r="AY12" s="451">
        <v>5454</v>
      </c>
      <c r="AZ12" s="451">
        <v>545380</v>
      </c>
      <c r="BA12" s="451">
        <v>0</v>
      </c>
      <c r="BB12" s="451">
        <v>0</v>
      </c>
      <c r="BC12" s="451">
        <v>0</v>
      </c>
      <c r="BD12" s="451">
        <v>0</v>
      </c>
      <c r="BE12" s="451">
        <v>0</v>
      </c>
      <c r="BF12" s="451">
        <v>121213</v>
      </c>
      <c r="BG12" s="451">
        <v>96970</v>
      </c>
      <c r="BH12" s="451">
        <v>21818</v>
      </c>
      <c r="BI12" s="451">
        <v>2424</v>
      </c>
      <c r="BJ12" s="451">
        <v>242425</v>
      </c>
      <c r="BK12" s="451">
        <v>121213</v>
      </c>
      <c r="BL12" s="451">
        <v>96970</v>
      </c>
      <c r="BM12" s="451">
        <v>21818</v>
      </c>
      <c r="BN12" s="451">
        <v>2424</v>
      </c>
      <c r="BO12" s="451">
        <v>242425</v>
      </c>
      <c r="BP12" s="451">
        <v>0</v>
      </c>
      <c r="BQ12" s="451">
        <v>0</v>
      </c>
      <c r="BR12" s="451">
        <v>0</v>
      </c>
      <c r="BS12" s="451">
        <v>0</v>
      </c>
      <c r="BT12" s="451">
        <v>0</v>
      </c>
      <c r="BU12" s="451">
        <v>335843</v>
      </c>
      <c r="BV12" s="451">
        <v>268675</v>
      </c>
      <c r="BW12" s="451">
        <v>60452</v>
      </c>
      <c r="BX12" s="451">
        <v>6717</v>
      </c>
      <c r="BY12" s="451">
        <v>671687</v>
      </c>
      <c r="BZ12" s="451">
        <v>335843</v>
      </c>
      <c r="CA12" s="451">
        <v>268675</v>
      </c>
      <c r="CB12" s="451">
        <v>60452</v>
      </c>
      <c r="CC12" s="451">
        <v>6717</v>
      </c>
      <c r="CD12" s="451">
        <v>671687</v>
      </c>
      <c r="CE12" s="104"/>
      <c r="CF12" s="104"/>
      <c r="CG12" s="104"/>
    </row>
    <row r="13" spans="1:85" ht="12.75" x14ac:dyDescent="0.2">
      <c r="A13" s="446">
        <v>6</v>
      </c>
      <c r="B13" s="447" t="s">
        <v>593</v>
      </c>
      <c r="C13" s="448" t="s">
        <v>1093</v>
      </c>
      <c r="D13" s="449" t="s">
        <v>1094</v>
      </c>
      <c r="E13" s="450" t="s">
        <v>592</v>
      </c>
      <c r="F13" s="451">
        <v>20871009</v>
      </c>
      <c r="G13" s="451">
        <v>16696806</v>
      </c>
      <c r="H13" s="451">
        <v>3756781</v>
      </c>
      <c r="I13" s="451">
        <v>417420</v>
      </c>
      <c r="J13" s="451">
        <v>41742016</v>
      </c>
      <c r="K13" s="451">
        <v>0</v>
      </c>
      <c r="L13" s="451">
        <v>0</v>
      </c>
      <c r="M13" s="451">
        <v>20871009</v>
      </c>
      <c r="N13" s="451">
        <v>41742016</v>
      </c>
      <c r="O13" s="451">
        <v>179047</v>
      </c>
      <c r="P13" s="451">
        <v>179047</v>
      </c>
      <c r="Q13" s="451">
        <v>0</v>
      </c>
      <c r="R13" s="451">
        <v>0</v>
      </c>
      <c r="S13" s="451">
        <v>0</v>
      </c>
      <c r="T13" s="451">
        <v>0</v>
      </c>
      <c r="U13" s="451">
        <v>0</v>
      </c>
      <c r="V13" s="451">
        <v>0</v>
      </c>
      <c r="W13" s="451">
        <v>0</v>
      </c>
      <c r="X13" s="451">
        <v>0</v>
      </c>
      <c r="Y13" s="451">
        <v>0</v>
      </c>
      <c r="Z13" s="451">
        <v>0</v>
      </c>
      <c r="AA13" s="451">
        <v>0</v>
      </c>
      <c r="AB13" s="451">
        <v>359155.35</v>
      </c>
      <c r="AC13" s="451">
        <v>287325</v>
      </c>
      <c r="AD13" s="451">
        <v>64648</v>
      </c>
      <c r="AE13" s="451">
        <v>7183</v>
      </c>
      <c r="AF13" s="451">
        <v>718311.35</v>
      </c>
      <c r="AG13" s="451">
        <v>551093.14</v>
      </c>
      <c r="AH13" s="451">
        <v>440875</v>
      </c>
      <c r="AI13" s="451">
        <v>99197</v>
      </c>
      <c r="AJ13" s="451">
        <v>11022</v>
      </c>
      <c r="AK13" s="451">
        <v>1102187.1399999999</v>
      </c>
      <c r="AL13" s="451">
        <v>347853</v>
      </c>
      <c r="AM13" s="451">
        <v>278283</v>
      </c>
      <c r="AN13" s="451">
        <v>62614</v>
      </c>
      <c r="AO13" s="451">
        <v>6957</v>
      </c>
      <c r="AP13" s="451">
        <v>695707</v>
      </c>
      <c r="AQ13" s="451">
        <v>33114</v>
      </c>
      <c r="AR13" s="451">
        <v>26491</v>
      </c>
      <c r="AS13" s="451">
        <v>5960</v>
      </c>
      <c r="AT13" s="451">
        <v>662</v>
      </c>
      <c r="AU13" s="451">
        <v>66227</v>
      </c>
      <c r="AV13" s="451">
        <v>380967</v>
      </c>
      <c r="AW13" s="451">
        <v>304774</v>
      </c>
      <c r="AX13" s="451">
        <v>68574</v>
      </c>
      <c r="AY13" s="451">
        <v>7619</v>
      </c>
      <c r="AZ13" s="451">
        <v>761934</v>
      </c>
      <c r="BA13" s="451">
        <v>0</v>
      </c>
      <c r="BB13" s="451">
        <v>0</v>
      </c>
      <c r="BC13" s="451">
        <v>0</v>
      </c>
      <c r="BD13" s="451">
        <v>0</v>
      </c>
      <c r="BE13" s="451">
        <v>0</v>
      </c>
      <c r="BF13" s="451">
        <v>300000</v>
      </c>
      <c r="BG13" s="451">
        <v>240000</v>
      </c>
      <c r="BH13" s="451">
        <v>54000</v>
      </c>
      <c r="BI13" s="451">
        <v>6000</v>
      </c>
      <c r="BJ13" s="451">
        <v>600000</v>
      </c>
      <c r="BK13" s="451">
        <v>300000</v>
      </c>
      <c r="BL13" s="451">
        <v>240000</v>
      </c>
      <c r="BM13" s="451">
        <v>54000</v>
      </c>
      <c r="BN13" s="451">
        <v>6000</v>
      </c>
      <c r="BO13" s="451">
        <v>600000</v>
      </c>
      <c r="BP13" s="451">
        <v>0</v>
      </c>
      <c r="BQ13" s="451">
        <v>0</v>
      </c>
      <c r="BR13" s="451">
        <v>0</v>
      </c>
      <c r="BS13" s="451">
        <v>0</v>
      </c>
      <c r="BT13" s="451">
        <v>0</v>
      </c>
      <c r="BU13" s="451">
        <v>1200000</v>
      </c>
      <c r="BV13" s="451">
        <v>960000</v>
      </c>
      <c r="BW13" s="451">
        <v>216000</v>
      </c>
      <c r="BX13" s="451">
        <v>24000</v>
      </c>
      <c r="BY13" s="451">
        <v>2400000</v>
      </c>
      <c r="BZ13" s="451">
        <v>1200000</v>
      </c>
      <c r="CA13" s="451">
        <v>960000</v>
      </c>
      <c r="CB13" s="451">
        <v>216000</v>
      </c>
      <c r="CC13" s="451">
        <v>24000</v>
      </c>
      <c r="CD13" s="451">
        <v>2400000</v>
      </c>
      <c r="CE13" s="104"/>
      <c r="CF13" s="104"/>
      <c r="CG13" s="104"/>
    </row>
    <row r="14" spans="1:85" ht="12.75" x14ac:dyDescent="0.2">
      <c r="A14" s="446">
        <v>7</v>
      </c>
      <c r="B14" s="447" t="s">
        <v>595</v>
      </c>
      <c r="C14" s="448" t="s">
        <v>1093</v>
      </c>
      <c r="D14" s="449" t="s">
        <v>1094</v>
      </c>
      <c r="E14" s="450" t="s">
        <v>594</v>
      </c>
      <c r="F14" s="451">
        <v>21980356</v>
      </c>
      <c r="G14" s="451">
        <v>17584285</v>
      </c>
      <c r="H14" s="451">
        <v>3956464</v>
      </c>
      <c r="I14" s="451">
        <v>439607</v>
      </c>
      <c r="J14" s="451">
        <v>43960712</v>
      </c>
      <c r="K14" s="451">
        <v>0</v>
      </c>
      <c r="L14" s="451">
        <v>0</v>
      </c>
      <c r="M14" s="451">
        <v>21980356</v>
      </c>
      <c r="N14" s="451">
        <v>43960712</v>
      </c>
      <c r="O14" s="451">
        <v>223664</v>
      </c>
      <c r="P14" s="451">
        <v>223664</v>
      </c>
      <c r="Q14" s="451">
        <v>0</v>
      </c>
      <c r="R14" s="451">
        <v>0</v>
      </c>
      <c r="S14" s="451">
        <v>0</v>
      </c>
      <c r="T14" s="451">
        <v>0</v>
      </c>
      <c r="U14" s="451">
        <v>0</v>
      </c>
      <c r="V14" s="451">
        <v>0</v>
      </c>
      <c r="W14" s="451">
        <v>0</v>
      </c>
      <c r="X14" s="451">
        <v>0</v>
      </c>
      <c r="Y14" s="451">
        <v>0</v>
      </c>
      <c r="Z14" s="451">
        <v>0</v>
      </c>
      <c r="AA14" s="451">
        <v>0</v>
      </c>
      <c r="AB14" s="451">
        <v>92568</v>
      </c>
      <c r="AC14" s="451">
        <v>74054</v>
      </c>
      <c r="AD14" s="451">
        <v>16662</v>
      </c>
      <c r="AE14" s="451">
        <v>1851</v>
      </c>
      <c r="AF14" s="451">
        <v>185135</v>
      </c>
      <c r="AG14" s="451">
        <v>633960</v>
      </c>
      <c r="AH14" s="451">
        <v>507168</v>
      </c>
      <c r="AI14" s="451">
        <v>114113</v>
      </c>
      <c r="AJ14" s="451">
        <v>12679</v>
      </c>
      <c r="AK14" s="451">
        <v>1267920</v>
      </c>
      <c r="AL14" s="451">
        <v>0</v>
      </c>
      <c r="AM14" s="451">
        <v>0</v>
      </c>
      <c r="AN14" s="451">
        <v>0</v>
      </c>
      <c r="AO14" s="451">
        <v>0</v>
      </c>
      <c r="AP14" s="451">
        <v>0</v>
      </c>
      <c r="AQ14" s="451">
        <v>0</v>
      </c>
      <c r="AR14" s="451">
        <v>0</v>
      </c>
      <c r="AS14" s="451">
        <v>0</v>
      </c>
      <c r="AT14" s="451">
        <v>0</v>
      </c>
      <c r="AU14" s="451">
        <v>0</v>
      </c>
      <c r="AV14" s="451">
        <v>0</v>
      </c>
      <c r="AW14" s="451">
        <v>0</v>
      </c>
      <c r="AX14" s="451">
        <v>0</v>
      </c>
      <c r="AY14" s="451">
        <v>0</v>
      </c>
      <c r="AZ14" s="451">
        <v>0</v>
      </c>
      <c r="BA14" s="451">
        <v>0</v>
      </c>
      <c r="BB14" s="451">
        <v>0</v>
      </c>
      <c r="BC14" s="451">
        <v>0</v>
      </c>
      <c r="BD14" s="451">
        <v>0</v>
      </c>
      <c r="BE14" s="451">
        <v>0</v>
      </c>
      <c r="BF14" s="451">
        <v>2036126</v>
      </c>
      <c r="BG14" s="451">
        <v>1628901</v>
      </c>
      <c r="BH14" s="451">
        <v>366503</v>
      </c>
      <c r="BI14" s="451">
        <v>40723</v>
      </c>
      <c r="BJ14" s="451">
        <v>4072253</v>
      </c>
      <c r="BK14" s="451">
        <v>2036126</v>
      </c>
      <c r="BL14" s="451">
        <v>1628901</v>
      </c>
      <c r="BM14" s="451">
        <v>366503</v>
      </c>
      <c r="BN14" s="451">
        <v>40723</v>
      </c>
      <c r="BO14" s="451">
        <v>4072253</v>
      </c>
      <c r="BP14" s="451">
        <v>0</v>
      </c>
      <c r="BQ14" s="451">
        <v>0</v>
      </c>
      <c r="BR14" s="451">
        <v>0</v>
      </c>
      <c r="BS14" s="451">
        <v>0</v>
      </c>
      <c r="BT14" s="451">
        <v>0</v>
      </c>
      <c r="BU14" s="451">
        <v>0</v>
      </c>
      <c r="BV14" s="451">
        <v>0</v>
      </c>
      <c r="BW14" s="451">
        <v>0</v>
      </c>
      <c r="BX14" s="451">
        <v>0</v>
      </c>
      <c r="BY14" s="451">
        <v>0</v>
      </c>
      <c r="BZ14" s="451">
        <v>0</v>
      </c>
      <c r="CA14" s="451">
        <v>0</v>
      </c>
      <c r="CB14" s="451">
        <v>0</v>
      </c>
      <c r="CC14" s="451">
        <v>0</v>
      </c>
      <c r="CD14" s="451">
        <v>0</v>
      </c>
      <c r="CE14" s="104"/>
      <c r="CF14" s="104"/>
      <c r="CG14" s="104"/>
    </row>
    <row r="15" spans="1:85" ht="12.75" x14ac:dyDescent="0.2">
      <c r="A15" s="446">
        <v>8</v>
      </c>
      <c r="B15" s="447" t="s">
        <v>597</v>
      </c>
      <c r="C15" s="448" t="s">
        <v>1093</v>
      </c>
      <c r="D15" s="449" t="s">
        <v>1097</v>
      </c>
      <c r="E15" s="450" t="s">
        <v>596</v>
      </c>
      <c r="F15" s="451">
        <v>11012347</v>
      </c>
      <c r="G15" s="451">
        <v>8809878</v>
      </c>
      <c r="H15" s="451">
        <v>2202470</v>
      </c>
      <c r="I15" s="451">
        <v>0</v>
      </c>
      <c r="J15" s="451">
        <v>22024695</v>
      </c>
      <c r="K15" s="451">
        <v>0</v>
      </c>
      <c r="L15" s="451">
        <v>0</v>
      </c>
      <c r="M15" s="451">
        <v>11012347</v>
      </c>
      <c r="N15" s="451">
        <v>22024695</v>
      </c>
      <c r="O15" s="451">
        <v>126602</v>
      </c>
      <c r="P15" s="451">
        <v>126602</v>
      </c>
      <c r="Q15" s="451">
        <v>0</v>
      </c>
      <c r="R15" s="451">
        <v>0</v>
      </c>
      <c r="S15" s="451">
        <v>0</v>
      </c>
      <c r="T15" s="451">
        <v>0</v>
      </c>
      <c r="U15" s="451">
        <v>0</v>
      </c>
      <c r="V15" s="451">
        <v>0</v>
      </c>
      <c r="W15" s="451">
        <v>0</v>
      </c>
      <c r="X15" s="451">
        <v>0</v>
      </c>
      <c r="Y15" s="451">
        <v>0</v>
      </c>
      <c r="Z15" s="451">
        <v>0</v>
      </c>
      <c r="AA15" s="451">
        <v>0</v>
      </c>
      <c r="AB15" s="451">
        <v>375022</v>
      </c>
      <c r="AC15" s="451">
        <v>300017</v>
      </c>
      <c r="AD15" s="451">
        <v>75004</v>
      </c>
      <c r="AE15" s="451">
        <v>0</v>
      </c>
      <c r="AF15" s="451">
        <v>750043</v>
      </c>
      <c r="AG15" s="451">
        <v>211217</v>
      </c>
      <c r="AH15" s="451">
        <v>168974</v>
      </c>
      <c r="AI15" s="451">
        <v>42243</v>
      </c>
      <c r="AJ15" s="451">
        <v>0</v>
      </c>
      <c r="AK15" s="451">
        <v>422434</v>
      </c>
      <c r="AL15" s="451">
        <v>180193</v>
      </c>
      <c r="AM15" s="451">
        <v>144154</v>
      </c>
      <c r="AN15" s="451">
        <v>36039</v>
      </c>
      <c r="AO15" s="451">
        <v>0</v>
      </c>
      <c r="AP15" s="451">
        <v>360386</v>
      </c>
      <c r="AQ15" s="451">
        <v>-3381</v>
      </c>
      <c r="AR15" s="451">
        <v>-2704</v>
      </c>
      <c r="AS15" s="451">
        <v>-676</v>
      </c>
      <c r="AT15" s="451">
        <v>0</v>
      </c>
      <c r="AU15" s="451">
        <v>-6761</v>
      </c>
      <c r="AV15" s="451">
        <v>176812</v>
      </c>
      <c r="AW15" s="451">
        <v>141450</v>
      </c>
      <c r="AX15" s="451">
        <v>35363</v>
      </c>
      <c r="AY15" s="451">
        <v>0</v>
      </c>
      <c r="AZ15" s="451">
        <v>353625</v>
      </c>
      <c r="BA15" s="451">
        <v>0</v>
      </c>
      <c r="BB15" s="451">
        <v>0</v>
      </c>
      <c r="BC15" s="451">
        <v>0</v>
      </c>
      <c r="BD15" s="451">
        <v>0</v>
      </c>
      <c r="BE15" s="451">
        <v>0</v>
      </c>
      <c r="BF15" s="451">
        <v>150519</v>
      </c>
      <c r="BG15" s="451">
        <v>120416</v>
      </c>
      <c r="BH15" s="451">
        <v>30104</v>
      </c>
      <c r="BI15" s="451">
        <v>0</v>
      </c>
      <c r="BJ15" s="451">
        <v>301039</v>
      </c>
      <c r="BK15" s="451">
        <v>150519</v>
      </c>
      <c r="BL15" s="451">
        <v>120416</v>
      </c>
      <c r="BM15" s="451">
        <v>30104</v>
      </c>
      <c r="BN15" s="451">
        <v>0</v>
      </c>
      <c r="BO15" s="451">
        <v>301039</v>
      </c>
      <c r="BP15" s="451">
        <v>0</v>
      </c>
      <c r="BQ15" s="451">
        <v>0</v>
      </c>
      <c r="BR15" s="451">
        <v>0</v>
      </c>
      <c r="BS15" s="451">
        <v>0</v>
      </c>
      <c r="BT15" s="451">
        <v>0</v>
      </c>
      <c r="BU15" s="451">
        <v>387479</v>
      </c>
      <c r="BV15" s="451">
        <v>309984</v>
      </c>
      <c r="BW15" s="451">
        <v>77496</v>
      </c>
      <c r="BX15" s="451">
        <v>0</v>
      </c>
      <c r="BY15" s="451">
        <v>774959</v>
      </c>
      <c r="BZ15" s="451">
        <v>387479</v>
      </c>
      <c r="CA15" s="451">
        <v>309984</v>
      </c>
      <c r="CB15" s="451">
        <v>77496</v>
      </c>
      <c r="CC15" s="451">
        <v>0</v>
      </c>
      <c r="CD15" s="451">
        <v>774959</v>
      </c>
      <c r="CE15" s="104"/>
      <c r="CF15" s="104"/>
      <c r="CG15" s="104"/>
    </row>
    <row r="16" spans="1:85" ht="12.75" x14ac:dyDescent="0.2">
      <c r="A16" s="446">
        <v>9</v>
      </c>
      <c r="B16" s="447" t="s">
        <v>599</v>
      </c>
      <c r="C16" s="448" t="s">
        <v>1098</v>
      </c>
      <c r="D16" s="449" t="s">
        <v>1099</v>
      </c>
      <c r="E16" s="450" t="s">
        <v>708</v>
      </c>
      <c r="F16" s="451">
        <v>23815097</v>
      </c>
      <c r="G16" s="451">
        <v>14289058</v>
      </c>
      <c r="H16" s="451">
        <v>9526039</v>
      </c>
      <c r="I16" s="451">
        <v>0</v>
      </c>
      <c r="J16" s="451">
        <v>47630194</v>
      </c>
      <c r="K16" s="451">
        <v>0</v>
      </c>
      <c r="L16" s="451">
        <v>0</v>
      </c>
      <c r="M16" s="451">
        <v>23815097</v>
      </c>
      <c r="N16" s="451">
        <v>47630194</v>
      </c>
      <c r="O16" s="451">
        <v>205809</v>
      </c>
      <c r="P16" s="451">
        <v>205809</v>
      </c>
      <c r="Q16" s="451">
        <v>0</v>
      </c>
      <c r="R16" s="451">
        <v>0</v>
      </c>
      <c r="S16" s="451">
        <v>0</v>
      </c>
      <c r="T16" s="451">
        <v>0</v>
      </c>
      <c r="U16" s="451">
        <v>0</v>
      </c>
      <c r="V16" s="451">
        <v>0</v>
      </c>
      <c r="W16" s="451">
        <v>0</v>
      </c>
      <c r="X16" s="451">
        <v>0</v>
      </c>
      <c r="Y16" s="451">
        <v>0</v>
      </c>
      <c r="Z16" s="451">
        <v>0</v>
      </c>
      <c r="AA16" s="451">
        <v>0</v>
      </c>
      <c r="AB16" s="451">
        <v>2615717</v>
      </c>
      <c r="AC16" s="451">
        <v>1569430</v>
      </c>
      <c r="AD16" s="451">
        <v>1046287</v>
      </c>
      <c r="AE16" s="451">
        <v>0</v>
      </c>
      <c r="AF16" s="451">
        <v>5231434</v>
      </c>
      <c r="AG16" s="451">
        <v>393426</v>
      </c>
      <c r="AH16" s="451">
        <v>236055</v>
      </c>
      <c r="AI16" s="451">
        <v>157370</v>
      </c>
      <c r="AJ16" s="451">
        <v>0</v>
      </c>
      <c r="AK16" s="451">
        <v>786851</v>
      </c>
      <c r="AL16" s="451">
        <v>2224500</v>
      </c>
      <c r="AM16" s="451">
        <v>1334700</v>
      </c>
      <c r="AN16" s="451">
        <v>889800</v>
      </c>
      <c r="AO16" s="451">
        <v>0</v>
      </c>
      <c r="AP16" s="451">
        <v>4449000</v>
      </c>
      <c r="AQ16" s="451">
        <v>121500</v>
      </c>
      <c r="AR16" s="451">
        <v>72900</v>
      </c>
      <c r="AS16" s="451">
        <v>48600</v>
      </c>
      <c r="AT16" s="451">
        <v>0</v>
      </c>
      <c r="AU16" s="451">
        <v>243000</v>
      </c>
      <c r="AV16" s="451">
        <v>2346000</v>
      </c>
      <c r="AW16" s="451">
        <v>1407600</v>
      </c>
      <c r="AX16" s="451">
        <v>938400</v>
      </c>
      <c r="AY16" s="451">
        <v>0</v>
      </c>
      <c r="AZ16" s="451">
        <v>4692000</v>
      </c>
      <c r="BA16" s="451">
        <v>0</v>
      </c>
      <c r="BB16" s="451">
        <v>0</v>
      </c>
      <c r="BC16" s="451">
        <v>0</v>
      </c>
      <c r="BD16" s="451">
        <v>0</v>
      </c>
      <c r="BE16" s="451">
        <v>0</v>
      </c>
      <c r="BF16" s="451">
        <v>1037314</v>
      </c>
      <c r="BG16" s="451">
        <v>622389</v>
      </c>
      <c r="BH16" s="451">
        <v>414926</v>
      </c>
      <c r="BI16" s="451">
        <v>0</v>
      </c>
      <c r="BJ16" s="451">
        <v>2074629</v>
      </c>
      <c r="BK16" s="451">
        <v>1037314</v>
      </c>
      <c r="BL16" s="451">
        <v>622389</v>
      </c>
      <c r="BM16" s="451">
        <v>414926</v>
      </c>
      <c r="BN16" s="451">
        <v>0</v>
      </c>
      <c r="BO16" s="451">
        <v>2074629</v>
      </c>
      <c r="BP16" s="451">
        <v>0</v>
      </c>
      <c r="BQ16" s="451">
        <v>0</v>
      </c>
      <c r="BR16" s="451">
        <v>0</v>
      </c>
      <c r="BS16" s="451">
        <v>0</v>
      </c>
      <c r="BT16" s="451">
        <v>0</v>
      </c>
      <c r="BU16" s="451">
        <v>3778642</v>
      </c>
      <c r="BV16" s="451">
        <v>2267185</v>
      </c>
      <c r="BW16" s="451">
        <v>1511457</v>
      </c>
      <c r="BX16" s="451">
        <v>0</v>
      </c>
      <c r="BY16" s="451">
        <v>7557284</v>
      </c>
      <c r="BZ16" s="451">
        <v>3778642</v>
      </c>
      <c r="CA16" s="451">
        <v>2267185</v>
      </c>
      <c r="CB16" s="451">
        <v>1511457</v>
      </c>
      <c r="CC16" s="451">
        <v>0</v>
      </c>
      <c r="CD16" s="451">
        <v>7557284</v>
      </c>
      <c r="CE16" s="104"/>
      <c r="CF16" s="104"/>
      <c r="CG16" s="104"/>
    </row>
    <row r="17" spans="1:85" ht="12.75" x14ac:dyDescent="0.2">
      <c r="A17" s="446">
        <v>10</v>
      </c>
      <c r="B17" s="447" t="s">
        <v>601</v>
      </c>
      <c r="C17" s="448" t="s">
        <v>1098</v>
      </c>
      <c r="D17" s="449" t="s">
        <v>1099</v>
      </c>
      <c r="E17" s="450" t="s">
        <v>600</v>
      </c>
      <c r="F17" s="451">
        <v>51931496</v>
      </c>
      <c r="G17" s="451">
        <v>31158898</v>
      </c>
      <c r="H17" s="451">
        <v>20772599</v>
      </c>
      <c r="I17" s="451">
        <v>0</v>
      </c>
      <c r="J17" s="451">
        <v>103862993</v>
      </c>
      <c r="K17" s="451">
        <v>0</v>
      </c>
      <c r="L17" s="451">
        <v>0</v>
      </c>
      <c r="M17" s="451">
        <v>51931496</v>
      </c>
      <c r="N17" s="451">
        <v>103862993</v>
      </c>
      <c r="O17" s="451">
        <v>419218</v>
      </c>
      <c r="P17" s="451">
        <v>419218</v>
      </c>
      <c r="Q17" s="451">
        <v>0</v>
      </c>
      <c r="R17" s="451">
        <v>0</v>
      </c>
      <c r="S17" s="451">
        <v>0</v>
      </c>
      <c r="T17" s="451">
        <v>0</v>
      </c>
      <c r="U17" s="451">
        <v>0</v>
      </c>
      <c r="V17" s="451">
        <v>0</v>
      </c>
      <c r="W17" s="451">
        <v>0</v>
      </c>
      <c r="X17" s="451">
        <v>0</v>
      </c>
      <c r="Y17" s="451">
        <v>0</v>
      </c>
      <c r="Z17" s="451">
        <v>0</v>
      </c>
      <c r="AA17" s="451">
        <v>0</v>
      </c>
      <c r="AB17" s="451">
        <v>5878994.1699999999</v>
      </c>
      <c r="AC17" s="451">
        <v>3527396</v>
      </c>
      <c r="AD17" s="451">
        <v>2351597</v>
      </c>
      <c r="AE17" s="451">
        <v>0</v>
      </c>
      <c r="AF17" s="451">
        <v>11757987.1</v>
      </c>
      <c r="AG17" s="451">
        <v>999705.06</v>
      </c>
      <c r="AH17" s="451">
        <v>599823</v>
      </c>
      <c r="AI17" s="451">
        <v>399882</v>
      </c>
      <c r="AJ17" s="451">
        <v>0</v>
      </c>
      <c r="AK17" s="451">
        <v>1999410.06</v>
      </c>
      <c r="AL17" s="451">
        <v>0</v>
      </c>
      <c r="AM17" s="451">
        <v>0</v>
      </c>
      <c r="AN17" s="451">
        <v>0</v>
      </c>
      <c r="AO17" s="451">
        <v>0</v>
      </c>
      <c r="AP17" s="451">
        <v>0</v>
      </c>
      <c r="AQ17" s="451">
        <v>1362497</v>
      </c>
      <c r="AR17" s="451">
        <v>817499</v>
      </c>
      <c r="AS17" s="451">
        <v>544999</v>
      </c>
      <c r="AT17" s="451">
        <v>0</v>
      </c>
      <c r="AU17" s="451">
        <v>2724995</v>
      </c>
      <c r="AV17" s="451">
        <v>1362497</v>
      </c>
      <c r="AW17" s="451">
        <v>817499</v>
      </c>
      <c r="AX17" s="451">
        <v>544999</v>
      </c>
      <c r="AY17" s="451">
        <v>0</v>
      </c>
      <c r="AZ17" s="451">
        <v>2724995</v>
      </c>
      <c r="BA17" s="451">
        <v>0</v>
      </c>
      <c r="BB17" s="451">
        <v>0</v>
      </c>
      <c r="BC17" s="451">
        <v>0</v>
      </c>
      <c r="BD17" s="451">
        <v>0</v>
      </c>
      <c r="BE17" s="451">
        <v>0</v>
      </c>
      <c r="BF17" s="451">
        <v>530931</v>
      </c>
      <c r="BG17" s="451">
        <v>318559</v>
      </c>
      <c r="BH17" s="451">
        <v>212372</v>
      </c>
      <c r="BI17" s="451">
        <v>0</v>
      </c>
      <c r="BJ17" s="451">
        <v>1061862</v>
      </c>
      <c r="BK17" s="451">
        <v>530931</v>
      </c>
      <c r="BL17" s="451">
        <v>318559</v>
      </c>
      <c r="BM17" s="451">
        <v>212372</v>
      </c>
      <c r="BN17" s="451">
        <v>0</v>
      </c>
      <c r="BO17" s="451">
        <v>1061862</v>
      </c>
      <c r="BP17" s="451">
        <v>0</v>
      </c>
      <c r="BQ17" s="451">
        <v>0</v>
      </c>
      <c r="BR17" s="451">
        <v>0</v>
      </c>
      <c r="BS17" s="451">
        <v>0</v>
      </c>
      <c r="BT17" s="451">
        <v>0</v>
      </c>
      <c r="BU17" s="451">
        <v>1819121</v>
      </c>
      <c r="BV17" s="451">
        <v>1091473</v>
      </c>
      <c r="BW17" s="451">
        <v>727649</v>
      </c>
      <c r="BX17" s="451">
        <v>0</v>
      </c>
      <c r="BY17" s="451">
        <v>3638243</v>
      </c>
      <c r="BZ17" s="451">
        <v>1819121</v>
      </c>
      <c r="CA17" s="451">
        <v>1091473</v>
      </c>
      <c r="CB17" s="451">
        <v>727649</v>
      </c>
      <c r="CC17" s="451">
        <v>0</v>
      </c>
      <c r="CD17" s="451">
        <v>3638243</v>
      </c>
      <c r="CE17" s="104"/>
      <c r="CF17" s="104"/>
      <c r="CG17" s="104"/>
    </row>
    <row r="18" spans="1:85" ht="12.75" x14ac:dyDescent="0.2">
      <c r="A18" s="446">
        <v>11</v>
      </c>
      <c r="B18" s="447" t="s">
        <v>603</v>
      </c>
      <c r="C18" s="448" t="s">
        <v>1100</v>
      </c>
      <c r="D18" s="449" t="s">
        <v>1101</v>
      </c>
      <c r="E18" s="450" t="s">
        <v>602</v>
      </c>
      <c r="F18" s="451">
        <v>24877880</v>
      </c>
      <c r="G18" s="451">
        <v>24380323</v>
      </c>
      <c r="H18" s="451">
        <v>0</v>
      </c>
      <c r="I18" s="451">
        <v>497558</v>
      </c>
      <c r="J18" s="451">
        <v>49755761</v>
      </c>
      <c r="K18" s="451">
        <v>55000</v>
      </c>
      <c r="L18" s="451">
        <v>55000</v>
      </c>
      <c r="M18" s="451">
        <v>24822880</v>
      </c>
      <c r="N18" s="451">
        <v>49700761</v>
      </c>
      <c r="O18" s="451">
        <v>271283</v>
      </c>
      <c r="P18" s="451">
        <v>271283</v>
      </c>
      <c r="Q18" s="451">
        <v>222673</v>
      </c>
      <c r="R18" s="451">
        <v>222673</v>
      </c>
      <c r="S18" s="451">
        <v>0</v>
      </c>
      <c r="T18" s="451">
        <v>0</v>
      </c>
      <c r="U18" s="451">
        <v>0</v>
      </c>
      <c r="V18" s="451">
        <v>0</v>
      </c>
      <c r="W18" s="451">
        <v>0</v>
      </c>
      <c r="X18" s="451">
        <v>55000</v>
      </c>
      <c r="Y18" s="451">
        <v>0</v>
      </c>
      <c r="Z18" s="451">
        <v>0</v>
      </c>
      <c r="AA18" s="451">
        <v>55000</v>
      </c>
      <c r="AB18" s="451">
        <v>1217834</v>
      </c>
      <c r="AC18" s="451">
        <v>1193478</v>
      </c>
      <c r="AD18" s="451">
        <v>0</v>
      </c>
      <c r="AE18" s="451">
        <v>24357</v>
      </c>
      <c r="AF18" s="451">
        <v>2435669</v>
      </c>
      <c r="AG18" s="451">
        <v>348767</v>
      </c>
      <c r="AH18" s="451">
        <v>341792</v>
      </c>
      <c r="AI18" s="451">
        <v>0</v>
      </c>
      <c r="AJ18" s="451">
        <v>6975</v>
      </c>
      <c r="AK18" s="451">
        <v>697534</v>
      </c>
      <c r="AL18" s="451">
        <v>380112</v>
      </c>
      <c r="AM18" s="451">
        <v>372510</v>
      </c>
      <c r="AN18" s="451">
        <v>0</v>
      </c>
      <c r="AO18" s="451">
        <v>7602</v>
      </c>
      <c r="AP18" s="451">
        <v>760224</v>
      </c>
      <c r="AQ18" s="451">
        <v>224047</v>
      </c>
      <c r="AR18" s="451">
        <v>219566</v>
      </c>
      <c r="AS18" s="451">
        <v>0</v>
      </c>
      <c r="AT18" s="451">
        <v>4481</v>
      </c>
      <c r="AU18" s="451">
        <v>448094</v>
      </c>
      <c r="AV18" s="451">
        <v>604159</v>
      </c>
      <c r="AW18" s="451">
        <v>592076</v>
      </c>
      <c r="AX18" s="451">
        <v>0</v>
      </c>
      <c r="AY18" s="451">
        <v>12083</v>
      </c>
      <c r="AZ18" s="451">
        <v>1208318</v>
      </c>
      <c r="BA18" s="451">
        <v>0</v>
      </c>
      <c r="BB18" s="451">
        <v>0</v>
      </c>
      <c r="BC18" s="451">
        <v>0</v>
      </c>
      <c r="BD18" s="451">
        <v>0</v>
      </c>
      <c r="BE18" s="451">
        <v>0</v>
      </c>
      <c r="BF18" s="451">
        <v>400000</v>
      </c>
      <c r="BG18" s="451">
        <v>392000</v>
      </c>
      <c r="BH18" s="451">
        <v>0</v>
      </c>
      <c r="BI18" s="451">
        <v>8000</v>
      </c>
      <c r="BJ18" s="451">
        <v>800000</v>
      </c>
      <c r="BK18" s="451">
        <v>400000</v>
      </c>
      <c r="BL18" s="451">
        <v>392000</v>
      </c>
      <c r="BM18" s="451">
        <v>0</v>
      </c>
      <c r="BN18" s="451">
        <v>8000</v>
      </c>
      <c r="BO18" s="451">
        <v>800000</v>
      </c>
      <c r="BP18" s="451">
        <v>0</v>
      </c>
      <c r="BQ18" s="451">
        <v>0</v>
      </c>
      <c r="BR18" s="451">
        <v>0</v>
      </c>
      <c r="BS18" s="451">
        <v>0</v>
      </c>
      <c r="BT18" s="451">
        <v>0</v>
      </c>
      <c r="BU18" s="451">
        <v>482349</v>
      </c>
      <c r="BV18" s="451">
        <v>472702</v>
      </c>
      <c r="BW18" s="451">
        <v>0</v>
      </c>
      <c r="BX18" s="451">
        <v>9647</v>
      </c>
      <c r="BY18" s="451">
        <v>964698</v>
      </c>
      <c r="BZ18" s="451">
        <v>482349</v>
      </c>
      <c r="CA18" s="451">
        <v>472702</v>
      </c>
      <c r="CB18" s="451">
        <v>0</v>
      </c>
      <c r="CC18" s="451">
        <v>9647</v>
      </c>
      <c r="CD18" s="451">
        <v>964698</v>
      </c>
      <c r="CE18" s="104"/>
      <c r="CF18" s="104"/>
      <c r="CG18" s="104"/>
    </row>
    <row r="19" spans="1:85" ht="12.75" x14ac:dyDescent="0.2">
      <c r="A19" s="446">
        <v>12</v>
      </c>
      <c r="B19" s="447" t="s">
        <v>605</v>
      </c>
      <c r="C19" s="448" t="s">
        <v>1093</v>
      </c>
      <c r="D19" s="449" t="s">
        <v>1095</v>
      </c>
      <c r="E19" s="450" t="s">
        <v>604</v>
      </c>
      <c r="F19" s="451">
        <v>11184755</v>
      </c>
      <c r="G19" s="451">
        <v>8947804</v>
      </c>
      <c r="H19" s="451">
        <v>2236951</v>
      </c>
      <c r="I19" s="451">
        <v>0</v>
      </c>
      <c r="J19" s="451">
        <v>22369510</v>
      </c>
      <c r="K19" s="451">
        <v>0</v>
      </c>
      <c r="L19" s="451">
        <v>0</v>
      </c>
      <c r="M19" s="451">
        <v>11184755</v>
      </c>
      <c r="N19" s="451">
        <v>22369510</v>
      </c>
      <c r="O19" s="451">
        <v>99249</v>
      </c>
      <c r="P19" s="451">
        <v>99249</v>
      </c>
      <c r="Q19" s="451">
        <v>0</v>
      </c>
      <c r="R19" s="451">
        <v>0</v>
      </c>
      <c r="S19" s="451">
        <v>0</v>
      </c>
      <c r="T19" s="451">
        <v>0</v>
      </c>
      <c r="U19" s="451">
        <v>0</v>
      </c>
      <c r="V19" s="451">
        <v>0</v>
      </c>
      <c r="W19" s="451">
        <v>0</v>
      </c>
      <c r="X19" s="451">
        <v>0</v>
      </c>
      <c r="Y19" s="451">
        <v>0</v>
      </c>
      <c r="Z19" s="451">
        <v>0</v>
      </c>
      <c r="AA19" s="451">
        <v>0</v>
      </c>
      <c r="AB19" s="451">
        <v>776469</v>
      </c>
      <c r="AC19" s="451">
        <v>621175</v>
      </c>
      <c r="AD19" s="451">
        <v>155294</v>
      </c>
      <c r="AE19" s="451">
        <v>0</v>
      </c>
      <c r="AF19" s="451">
        <v>1552938</v>
      </c>
      <c r="AG19" s="451">
        <v>427153</v>
      </c>
      <c r="AH19" s="451">
        <v>341723</v>
      </c>
      <c r="AI19" s="451">
        <v>85431</v>
      </c>
      <c r="AJ19" s="451">
        <v>0</v>
      </c>
      <c r="AK19" s="451">
        <v>854307</v>
      </c>
      <c r="AL19" s="451">
        <v>618066</v>
      </c>
      <c r="AM19" s="451">
        <v>494452</v>
      </c>
      <c r="AN19" s="451">
        <v>123613</v>
      </c>
      <c r="AO19" s="451">
        <v>0</v>
      </c>
      <c r="AP19" s="451">
        <v>1236131</v>
      </c>
      <c r="AQ19" s="451">
        <v>47107</v>
      </c>
      <c r="AR19" s="451">
        <v>37685</v>
      </c>
      <c r="AS19" s="451">
        <v>9421</v>
      </c>
      <c r="AT19" s="451">
        <v>0</v>
      </c>
      <c r="AU19" s="451">
        <v>94213</v>
      </c>
      <c r="AV19" s="451">
        <v>665173</v>
      </c>
      <c r="AW19" s="451">
        <v>532137</v>
      </c>
      <c r="AX19" s="451">
        <v>133034</v>
      </c>
      <c r="AY19" s="451">
        <v>0</v>
      </c>
      <c r="AZ19" s="451">
        <v>1330344</v>
      </c>
      <c r="BA19" s="451">
        <v>0</v>
      </c>
      <c r="BB19" s="451">
        <v>0</v>
      </c>
      <c r="BC19" s="451">
        <v>0</v>
      </c>
      <c r="BD19" s="451">
        <v>0</v>
      </c>
      <c r="BE19" s="451">
        <v>0</v>
      </c>
      <c r="BF19" s="451">
        <v>132543</v>
      </c>
      <c r="BG19" s="451">
        <v>106034</v>
      </c>
      <c r="BH19" s="451">
        <v>26509</v>
      </c>
      <c r="BI19" s="451">
        <v>0</v>
      </c>
      <c r="BJ19" s="451">
        <v>265086</v>
      </c>
      <c r="BK19" s="451">
        <v>132543</v>
      </c>
      <c r="BL19" s="451">
        <v>106034</v>
      </c>
      <c r="BM19" s="451">
        <v>26509</v>
      </c>
      <c r="BN19" s="451">
        <v>0</v>
      </c>
      <c r="BO19" s="451">
        <v>265086</v>
      </c>
      <c r="BP19" s="451">
        <v>0</v>
      </c>
      <c r="BQ19" s="451">
        <v>0</v>
      </c>
      <c r="BR19" s="451">
        <v>0</v>
      </c>
      <c r="BS19" s="451">
        <v>0</v>
      </c>
      <c r="BT19" s="451">
        <v>0</v>
      </c>
      <c r="BU19" s="451">
        <v>378468</v>
      </c>
      <c r="BV19" s="451">
        <v>302774</v>
      </c>
      <c r="BW19" s="451">
        <v>75694</v>
      </c>
      <c r="BX19" s="451">
        <v>0</v>
      </c>
      <c r="BY19" s="451">
        <v>756936</v>
      </c>
      <c r="BZ19" s="451">
        <v>378468</v>
      </c>
      <c r="CA19" s="451">
        <v>302774</v>
      </c>
      <c r="CB19" s="451">
        <v>75694</v>
      </c>
      <c r="CC19" s="451">
        <v>0</v>
      </c>
      <c r="CD19" s="451">
        <v>756936</v>
      </c>
      <c r="CE19" s="104"/>
      <c r="CF19" s="104"/>
      <c r="CG19" s="104"/>
    </row>
    <row r="20" spans="1:85" ht="12.75" x14ac:dyDescent="0.2">
      <c r="A20" s="446">
        <v>13</v>
      </c>
      <c r="B20" s="447" t="s">
        <v>607</v>
      </c>
      <c r="C20" s="448" t="s">
        <v>1093</v>
      </c>
      <c r="D20" s="449" t="s">
        <v>1097</v>
      </c>
      <c r="E20" s="450" t="s">
        <v>606</v>
      </c>
      <c r="F20" s="451">
        <v>34710644</v>
      </c>
      <c r="G20" s="451">
        <v>27768515</v>
      </c>
      <c r="H20" s="451">
        <v>6247916</v>
      </c>
      <c r="I20" s="451">
        <v>694213</v>
      </c>
      <c r="J20" s="451">
        <v>69421288</v>
      </c>
      <c r="K20" s="451">
        <v>0</v>
      </c>
      <c r="L20" s="451">
        <v>0</v>
      </c>
      <c r="M20" s="451">
        <v>34710644</v>
      </c>
      <c r="N20" s="451">
        <v>69421288</v>
      </c>
      <c r="O20" s="451">
        <v>236652</v>
      </c>
      <c r="P20" s="451">
        <v>236652</v>
      </c>
      <c r="Q20" s="451">
        <v>0</v>
      </c>
      <c r="R20" s="451">
        <v>0</v>
      </c>
      <c r="S20" s="451">
        <v>0</v>
      </c>
      <c r="T20" s="451">
        <v>0</v>
      </c>
      <c r="U20" s="451">
        <v>0</v>
      </c>
      <c r="V20" s="451">
        <v>0</v>
      </c>
      <c r="W20" s="451">
        <v>0</v>
      </c>
      <c r="X20" s="451">
        <v>0</v>
      </c>
      <c r="Y20" s="451">
        <v>0</v>
      </c>
      <c r="Z20" s="451">
        <v>0</v>
      </c>
      <c r="AA20" s="451">
        <v>0</v>
      </c>
      <c r="AB20" s="451">
        <v>1107964</v>
      </c>
      <c r="AC20" s="451">
        <v>886372</v>
      </c>
      <c r="AD20" s="451">
        <v>199434</v>
      </c>
      <c r="AE20" s="451">
        <v>22159</v>
      </c>
      <c r="AF20" s="451">
        <v>2215929</v>
      </c>
      <c r="AG20" s="451">
        <v>453025</v>
      </c>
      <c r="AH20" s="451">
        <v>362420</v>
      </c>
      <c r="AI20" s="451">
        <v>81544</v>
      </c>
      <c r="AJ20" s="451">
        <v>9060</v>
      </c>
      <c r="AK20" s="451">
        <v>906049</v>
      </c>
      <c r="AL20" s="451">
        <v>371500</v>
      </c>
      <c r="AM20" s="451">
        <v>297200</v>
      </c>
      <c r="AN20" s="451">
        <v>66870</v>
      </c>
      <c r="AO20" s="451">
        <v>7430</v>
      </c>
      <c r="AP20" s="451">
        <v>743000</v>
      </c>
      <c r="AQ20" s="451">
        <v>78500</v>
      </c>
      <c r="AR20" s="451">
        <v>62800</v>
      </c>
      <c r="AS20" s="451">
        <v>14130</v>
      </c>
      <c r="AT20" s="451">
        <v>1570</v>
      </c>
      <c r="AU20" s="451">
        <v>157000</v>
      </c>
      <c r="AV20" s="451">
        <v>450000</v>
      </c>
      <c r="AW20" s="451">
        <v>360000</v>
      </c>
      <c r="AX20" s="451">
        <v>81000</v>
      </c>
      <c r="AY20" s="451">
        <v>9000</v>
      </c>
      <c r="AZ20" s="451">
        <v>900000</v>
      </c>
      <c r="BA20" s="451">
        <v>0</v>
      </c>
      <c r="BB20" s="451">
        <v>0</v>
      </c>
      <c r="BC20" s="451">
        <v>0</v>
      </c>
      <c r="BD20" s="451">
        <v>0</v>
      </c>
      <c r="BE20" s="451">
        <v>0</v>
      </c>
      <c r="BF20" s="451">
        <v>1260000</v>
      </c>
      <c r="BG20" s="451">
        <v>1008000</v>
      </c>
      <c r="BH20" s="451">
        <v>226800</v>
      </c>
      <c r="BI20" s="451">
        <v>25200</v>
      </c>
      <c r="BJ20" s="451">
        <v>2520000</v>
      </c>
      <c r="BK20" s="451">
        <v>1260000</v>
      </c>
      <c r="BL20" s="451">
        <v>1008000</v>
      </c>
      <c r="BM20" s="451">
        <v>226800</v>
      </c>
      <c r="BN20" s="451">
        <v>25200</v>
      </c>
      <c r="BO20" s="451">
        <v>2520000</v>
      </c>
      <c r="BP20" s="451">
        <v>0</v>
      </c>
      <c r="BQ20" s="451">
        <v>0</v>
      </c>
      <c r="BR20" s="451">
        <v>0</v>
      </c>
      <c r="BS20" s="451">
        <v>0</v>
      </c>
      <c r="BT20" s="451">
        <v>0</v>
      </c>
      <c r="BU20" s="451">
        <v>3190000</v>
      </c>
      <c r="BV20" s="451">
        <v>2552000</v>
      </c>
      <c r="BW20" s="451">
        <v>574200</v>
      </c>
      <c r="BX20" s="451">
        <v>63800</v>
      </c>
      <c r="BY20" s="451">
        <v>6380000</v>
      </c>
      <c r="BZ20" s="451">
        <v>3190000</v>
      </c>
      <c r="CA20" s="451">
        <v>2552000</v>
      </c>
      <c r="CB20" s="451">
        <v>574200</v>
      </c>
      <c r="CC20" s="451">
        <v>63800</v>
      </c>
      <c r="CD20" s="451">
        <v>6380000</v>
      </c>
      <c r="CE20" s="104"/>
      <c r="CF20" s="104"/>
      <c r="CG20" s="104"/>
    </row>
    <row r="21" spans="1:85" ht="12.75" x14ac:dyDescent="0.2">
      <c r="A21" s="446">
        <v>14</v>
      </c>
      <c r="B21" s="447" t="s">
        <v>609</v>
      </c>
      <c r="C21" s="448" t="s">
        <v>1093</v>
      </c>
      <c r="D21" s="449" t="s">
        <v>1094</v>
      </c>
      <c r="E21" s="450" t="s">
        <v>608</v>
      </c>
      <c r="F21" s="451">
        <v>33519433</v>
      </c>
      <c r="G21" s="451">
        <v>26815546</v>
      </c>
      <c r="H21" s="451">
        <v>6033498</v>
      </c>
      <c r="I21" s="451">
        <v>670389</v>
      </c>
      <c r="J21" s="451">
        <v>67038866</v>
      </c>
      <c r="K21" s="451">
        <v>0</v>
      </c>
      <c r="L21" s="451">
        <v>0</v>
      </c>
      <c r="M21" s="451">
        <v>33519433</v>
      </c>
      <c r="N21" s="451">
        <v>67038866</v>
      </c>
      <c r="O21" s="451">
        <v>206499</v>
      </c>
      <c r="P21" s="451">
        <v>206499</v>
      </c>
      <c r="Q21" s="451">
        <v>0</v>
      </c>
      <c r="R21" s="451">
        <v>0</v>
      </c>
      <c r="S21" s="451">
        <v>0</v>
      </c>
      <c r="T21" s="451">
        <v>0</v>
      </c>
      <c r="U21" s="451">
        <v>46806</v>
      </c>
      <c r="V21" s="451">
        <v>0</v>
      </c>
      <c r="W21" s="451">
        <v>46806</v>
      </c>
      <c r="X21" s="451">
        <v>0</v>
      </c>
      <c r="Y21" s="451">
        <v>0</v>
      </c>
      <c r="Z21" s="451">
        <v>0</v>
      </c>
      <c r="AA21" s="451">
        <v>0</v>
      </c>
      <c r="AB21" s="451">
        <v>1367358</v>
      </c>
      <c r="AC21" s="451">
        <v>1093886</v>
      </c>
      <c r="AD21" s="451">
        <v>246124</v>
      </c>
      <c r="AE21" s="451">
        <v>27347</v>
      </c>
      <c r="AF21" s="451">
        <v>2734715</v>
      </c>
      <c r="AG21" s="451">
        <v>763168</v>
      </c>
      <c r="AH21" s="451">
        <v>610534</v>
      </c>
      <c r="AI21" s="451">
        <v>137370</v>
      </c>
      <c r="AJ21" s="451">
        <v>15263</v>
      </c>
      <c r="AK21" s="451">
        <v>1526335</v>
      </c>
      <c r="AL21" s="451">
        <v>275000</v>
      </c>
      <c r="AM21" s="451">
        <v>220000</v>
      </c>
      <c r="AN21" s="451">
        <v>49500</v>
      </c>
      <c r="AO21" s="451">
        <v>5500</v>
      </c>
      <c r="AP21" s="451">
        <v>550000</v>
      </c>
      <c r="AQ21" s="451">
        <v>25000</v>
      </c>
      <c r="AR21" s="451">
        <v>20000</v>
      </c>
      <c r="AS21" s="451">
        <v>4500</v>
      </c>
      <c r="AT21" s="451">
        <v>500</v>
      </c>
      <c r="AU21" s="451">
        <v>50000</v>
      </c>
      <c r="AV21" s="451">
        <v>300000</v>
      </c>
      <c r="AW21" s="451">
        <v>240000</v>
      </c>
      <c r="AX21" s="451">
        <v>54000</v>
      </c>
      <c r="AY21" s="451">
        <v>6000</v>
      </c>
      <c r="AZ21" s="451">
        <v>600000</v>
      </c>
      <c r="BA21" s="451">
        <v>0</v>
      </c>
      <c r="BB21" s="451">
        <v>0</v>
      </c>
      <c r="BC21" s="451">
        <v>0</v>
      </c>
      <c r="BD21" s="451">
        <v>0</v>
      </c>
      <c r="BE21" s="451">
        <v>0</v>
      </c>
      <c r="BF21" s="451">
        <v>429000</v>
      </c>
      <c r="BG21" s="451">
        <v>343200</v>
      </c>
      <c r="BH21" s="451">
        <v>77220</v>
      </c>
      <c r="BI21" s="451">
        <v>8580</v>
      </c>
      <c r="BJ21" s="451">
        <v>858000</v>
      </c>
      <c r="BK21" s="451">
        <v>429000</v>
      </c>
      <c r="BL21" s="451">
        <v>343200</v>
      </c>
      <c r="BM21" s="451">
        <v>77220</v>
      </c>
      <c r="BN21" s="451">
        <v>8580</v>
      </c>
      <c r="BO21" s="451">
        <v>858000</v>
      </c>
      <c r="BP21" s="451">
        <v>0</v>
      </c>
      <c r="BQ21" s="451">
        <v>0</v>
      </c>
      <c r="BR21" s="451">
        <v>0</v>
      </c>
      <c r="BS21" s="451">
        <v>0</v>
      </c>
      <c r="BT21" s="451">
        <v>0</v>
      </c>
      <c r="BU21" s="451">
        <v>1121000</v>
      </c>
      <c r="BV21" s="451">
        <v>896800</v>
      </c>
      <c r="BW21" s="451">
        <v>201780</v>
      </c>
      <c r="BX21" s="451">
        <v>22420</v>
      </c>
      <c r="BY21" s="451">
        <v>2242000</v>
      </c>
      <c r="BZ21" s="451">
        <v>1121000</v>
      </c>
      <c r="CA21" s="451">
        <v>896800</v>
      </c>
      <c r="CB21" s="451">
        <v>201780</v>
      </c>
      <c r="CC21" s="451">
        <v>22420</v>
      </c>
      <c r="CD21" s="451">
        <v>2242000</v>
      </c>
      <c r="CE21" s="104"/>
      <c r="CF21" s="104"/>
      <c r="CG21" s="104"/>
    </row>
    <row r="22" spans="1:85" ht="12.75" x14ac:dyDescent="0.2">
      <c r="A22" s="446">
        <v>15</v>
      </c>
      <c r="B22" s="447" t="s">
        <v>611</v>
      </c>
      <c r="C22" s="448" t="s">
        <v>1093</v>
      </c>
      <c r="D22" s="449" t="s">
        <v>1096</v>
      </c>
      <c r="E22" s="450" t="s">
        <v>610</v>
      </c>
      <c r="F22" s="451">
        <v>19677938</v>
      </c>
      <c r="G22" s="451">
        <v>15742350</v>
      </c>
      <c r="H22" s="451">
        <v>3542029</v>
      </c>
      <c r="I22" s="451">
        <v>393559</v>
      </c>
      <c r="J22" s="451">
        <v>39355876</v>
      </c>
      <c r="K22" s="451">
        <v>0</v>
      </c>
      <c r="L22" s="451">
        <v>0</v>
      </c>
      <c r="M22" s="451">
        <v>19677938</v>
      </c>
      <c r="N22" s="451">
        <v>39355876</v>
      </c>
      <c r="O22" s="451">
        <v>167257</v>
      </c>
      <c r="P22" s="451">
        <v>167257</v>
      </c>
      <c r="Q22" s="451">
        <v>0</v>
      </c>
      <c r="R22" s="451">
        <v>0</v>
      </c>
      <c r="S22" s="451">
        <v>0</v>
      </c>
      <c r="T22" s="451">
        <v>0</v>
      </c>
      <c r="U22" s="451">
        <v>0</v>
      </c>
      <c r="V22" s="451">
        <v>0</v>
      </c>
      <c r="W22" s="451">
        <v>0</v>
      </c>
      <c r="X22" s="451">
        <v>0</v>
      </c>
      <c r="Y22" s="451">
        <v>0</v>
      </c>
      <c r="Z22" s="451">
        <v>0</v>
      </c>
      <c r="AA22" s="451">
        <v>0</v>
      </c>
      <c r="AB22" s="451">
        <v>950464</v>
      </c>
      <c r="AC22" s="451">
        <v>760371</v>
      </c>
      <c r="AD22" s="451">
        <v>171084</v>
      </c>
      <c r="AE22" s="451">
        <v>19009</v>
      </c>
      <c r="AF22" s="451">
        <v>1900928</v>
      </c>
      <c r="AG22" s="451">
        <v>355329</v>
      </c>
      <c r="AH22" s="451">
        <v>284263</v>
      </c>
      <c r="AI22" s="451">
        <v>63959</v>
      </c>
      <c r="AJ22" s="451">
        <v>7107</v>
      </c>
      <c r="AK22" s="451">
        <v>710658</v>
      </c>
      <c r="AL22" s="451">
        <v>202081</v>
      </c>
      <c r="AM22" s="451">
        <v>161664</v>
      </c>
      <c r="AN22" s="451">
        <v>36374</v>
      </c>
      <c r="AO22" s="451">
        <v>4042</v>
      </c>
      <c r="AP22" s="451">
        <v>404161</v>
      </c>
      <c r="AQ22" s="451">
        <v>200519</v>
      </c>
      <c r="AR22" s="451">
        <v>160416</v>
      </c>
      <c r="AS22" s="451">
        <v>36094</v>
      </c>
      <c r="AT22" s="451">
        <v>4010</v>
      </c>
      <c r="AU22" s="451">
        <v>401039</v>
      </c>
      <c r="AV22" s="451">
        <v>402600</v>
      </c>
      <c r="AW22" s="451">
        <v>322080</v>
      </c>
      <c r="AX22" s="451">
        <v>72468</v>
      </c>
      <c r="AY22" s="451">
        <v>8052</v>
      </c>
      <c r="AZ22" s="451">
        <v>805200</v>
      </c>
      <c r="BA22" s="451">
        <v>0</v>
      </c>
      <c r="BB22" s="451">
        <v>0</v>
      </c>
      <c r="BC22" s="451">
        <v>0</v>
      </c>
      <c r="BD22" s="451">
        <v>0</v>
      </c>
      <c r="BE22" s="451">
        <v>0</v>
      </c>
      <c r="BF22" s="451">
        <v>297514</v>
      </c>
      <c r="BG22" s="451">
        <v>238010</v>
      </c>
      <c r="BH22" s="451">
        <v>53552</v>
      </c>
      <c r="BI22" s="451">
        <v>5950</v>
      </c>
      <c r="BJ22" s="451">
        <v>595026</v>
      </c>
      <c r="BK22" s="451">
        <v>297514</v>
      </c>
      <c r="BL22" s="451">
        <v>238010</v>
      </c>
      <c r="BM22" s="451">
        <v>53552</v>
      </c>
      <c r="BN22" s="451">
        <v>5950</v>
      </c>
      <c r="BO22" s="451">
        <v>595026</v>
      </c>
      <c r="BP22" s="451">
        <v>0</v>
      </c>
      <c r="BQ22" s="451">
        <v>0</v>
      </c>
      <c r="BR22" s="451">
        <v>0</v>
      </c>
      <c r="BS22" s="451">
        <v>0</v>
      </c>
      <c r="BT22" s="451">
        <v>0</v>
      </c>
      <c r="BU22" s="451">
        <v>824320</v>
      </c>
      <c r="BV22" s="451">
        <v>659456</v>
      </c>
      <c r="BW22" s="451">
        <v>148378</v>
      </c>
      <c r="BX22" s="451">
        <v>16486</v>
      </c>
      <c r="BY22" s="451">
        <v>1648640</v>
      </c>
      <c r="BZ22" s="451">
        <v>824320</v>
      </c>
      <c r="CA22" s="451">
        <v>659456</v>
      </c>
      <c r="CB22" s="451">
        <v>148378</v>
      </c>
      <c r="CC22" s="451">
        <v>16486</v>
      </c>
      <c r="CD22" s="451">
        <v>1648640</v>
      </c>
      <c r="CE22" s="104"/>
      <c r="CF22" s="104"/>
      <c r="CG22" s="104"/>
    </row>
    <row r="23" spans="1:85" ht="12.75" x14ac:dyDescent="0.2">
      <c r="A23" s="446">
        <v>16</v>
      </c>
      <c r="B23" s="447" t="s">
        <v>613</v>
      </c>
      <c r="C23" s="448" t="s">
        <v>794</v>
      </c>
      <c r="D23" s="449" t="s">
        <v>1102</v>
      </c>
      <c r="E23" s="450" t="s">
        <v>612</v>
      </c>
      <c r="F23" s="451">
        <v>29779923</v>
      </c>
      <c r="G23" s="451">
        <v>29184325</v>
      </c>
      <c r="H23" s="451">
        <v>0</v>
      </c>
      <c r="I23" s="451">
        <v>595598</v>
      </c>
      <c r="J23" s="451">
        <v>59559846</v>
      </c>
      <c r="K23" s="451">
        <v>0</v>
      </c>
      <c r="L23" s="451">
        <v>0</v>
      </c>
      <c r="M23" s="451">
        <v>29779923</v>
      </c>
      <c r="N23" s="451">
        <v>59559846</v>
      </c>
      <c r="O23" s="451">
        <v>260612</v>
      </c>
      <c r="P23" s="451">
        <v>260612</v>
      </c>
      <c r="Q23" s="451">
        <v>0</v>
      </c>
      <c r="R23" s="451">
        <v>0</v>
      </c>
      <c r="S23" s="451">
        <v>0</v>
      </c>
      <c r="T23" s="451">
        <v>0</v>
      </c>
      <c r="U23" s="451">
        <v>0</v>
      </c>
      <c r="V23" s="451">
        <v>0</v>
      </c>
      <c r="W23" s="451">
        <v>0</v>
      </c>
      <c r="X23" s="451">
        <v>0</v>
      </c>
      <c r="Y23" s="451">
        <v>0</v>
      </c>
      <c r="Z23" s="451">
        <v>0</v>
      </c>
      <c r="AA23" s="451">
        <v>0</v>
      </c>
      <c r="AB23" s="451">
        <v>1029830</v>
      </c>
      <c r="AC23" s="451">
        <v>1009234</v>
      </c>
      <c r="AD23" s="451">
        <v>0</v>
      </c>
      <c r="AE23" s="451">
        <v>20597</v>
      </c>
      <c r="AF23" s="451">
        <v>2059661</v>
      </c>
      <c r="AG23" s="451">
        <v>478814</v>
      </c>
      <c r="AH23" s="451">
        <v>469238</v>
      </c>
      <c r="AI23" s="451">
        <v>0</v>
      </c>
      <c r="AJ23" s="451">
        <v>9576</v>
      </c>
      <c r="AK23" s="451">
        <v>957628</v>
      </c>
      <c r="AL23" s="451">
        <v>202539</v>
      </c>
      <c r="AM23" s="451">
        <v>198489</v>
      </c>
      <c r="AN23" s="451">
        <v>0</v>
      </c>
      <c r="AO23" s="451">
        <v>4051</v>
      </c>
      <c r="AP23" s="451">
        <v>405079</v>
      </c>
      <c r="AQ23" s="451">
        <v>35515</v>
      </c>
      <c r="AR23" s="451">
        <v>34804</v>
      </c>
      <c r="AS23" s="451">
        <v>0</v>
      </c>
      <c r="AT23" s="451">
        <v>710</v>
      </c>
      <c r="AU23" s="451">
        <v>71029</v>
      </c>
      <c r="AV23" s="451">
        <v>238054</v>
      </c>
      <c r="AW23" s="451">
        <v>233293</v>
      </c>
      <c r="AX23" s="451">
        <v>0</v>
      </c>
      <c r="AY23" s="451">
        <v>4761</v>
      </c>
      <c r="AZ23" s="451">
        <v>476108</v>
      </c>
      <c r="BA23" s="451">
        <v>0</v>
      </c>
      <c r="BB23" s="451">
        <v>0</v>
      </c>
      <c r="BC23" s="451">
        <v>0</v>
      </c>
      <c r="BD23" s="451">
        <v>0</v>
      </c>
      <c r="BE23" s="451">
        <v>0</v>
      </c>
      <c r="BF23" s="451">
        <v>515789</v>
      </c>
      <c r="BG23" s="451">
        <v>505474</v>
      </c>
      <c r="BH23" s="451">
        <v>0</v>
      </c>
      <c r="BI23" s="451">
        <v>10316</v>
      </c>
      <c r="BJ23" s="451">
        <v>1031579</v>
      </c>
      <c r="BK23" s="451">
        <v>515789</v>
      </c>
      <c r="BL23" s="451">
        <v>505474</v>
      </c>
      <c r="BM23" s="451">
        <v>0</v>
      </c>
      <c r="BN23" s="451">
        <v>10316</v>
      </c>
      <c r="BO23" s="451">
        <v>1031579</v>
      </c>
      <c r="BP23" s="451">
        <v>0</v>
      </c>
      <c r="BQ23" s="451">
        <v>0</v>
      </c>
      <c r="BR23" s="451">
        <v>0</v>
      </c>
      <c r="BS23" s="451">
        <v>0</v>
      </c>
      <c r="BT23" s="451">
        <v>0</v>
      </c>
      <c r="BU23" s="451">
        <v>1074973</v>
      </c>
      <c r="BV23" s="451">
        <v>1053474</v>
      </c>
      <c r="BW23" s="451">
        <v>0</v>
      </c>
      <c r="BX23" s="451">
        <v>21499</v>
      </c>
      <c r="BY23" s="451">
        <v>2149946</v>
      </c>
      <c r="BZ23" s="451">
        <v>1074973</v>
      </c>
      <c r="CA23" s="451">
        <v>1053474</v>
      </c>
      <c r="CB23" s="451">
        <v>0</v>
      </c>
      <c r="CC23" s="451">
        <v>21499</v>
      </c>
      <c r="CD23" s="451">
        <v>2149946</v>
      </c>
      <c r="CE23" s="104"/>
      <c r="CF23" s="104"/>
      <c r="CG23" s="104"/>
    </row>
    <row r="24" spans="1:85" ht="12.75" x14ac:dyDescent="0.2">
      <c r="A24" s="446">
        <v>17</v>
      </c>
      <c r="B24" s="447" t="s">
        <v>615</v>
      </c>
      <c r="C24" s="448" t="s">
        <v>794</v>
      </c>
      <c r="D24" s="449" t="s">
        <v>1097</v>
      </c>
      <c r="E24" s="450" t="s">
        <v>614</v>
      </c>
      <c r="F24" s="451">
        <v>30573442</v>
      </c>
      <c r="G24" s="451">
        <v>29961974</v>
      </c>
      <c r="H24" s="451">
        <v>0</v>
      </c>
      <c r="I24" s="451">
        <v>611469</v>
      </c>
      <c r="J24" s="451">
        <v>61146885</v>
      </c>
      <c r="K24" s="451">
        <v>0</v>
      </c>
      <c r="L24" s="451">
        <v>0</v>
      </c>
      <c r="M24" s="451">
        <v>30573442</v>
      </c>
      <c r="N24" s="451">
        <v>61146885</v>
      </c>
      <c r="O24" s="451">
        <v>233924</v>
      </c>
      <c r="P24" s="451">
        <v>233924</v>
      </c>
      <c r="Q24" s="451">
        <v>0</v>
      </c>
      <c r="R24" s="451">
        <v>0</v>
      </c>
      <c r="S24" s="451">
        <v>0</v>
      </c>
      <c r="T24" s="451">
        <v>0</v>
      </c>
      <c r="U24" s="451">
        <v>0</v>
      </c>
      <c r="V24" s="451">
        <v>0</v>
      </c>
      <c r="W24" s="451">
        <v>0</v>
      </c>
      <c r="X24" s="451">
        <v>0</v>
      </c>
      <c r="Y24" s="451">
        <v>0</v>
      </c>
      <c r="Z24" s="451">
        <v>0</v>
      </c>
      <c r="AA24" s="451">
        <v>0</v>
      </c>
      <c r="AB24" s="451">
        <v>1072045.67</v>
      </c>
      <c r="AC24" s="451">
        <v>1050605</v>
      </c>
      <c r="AD24" s="451">
        <v>0</v>
      </c>
      <c r="AE24" s="451">
        <v>21441</v>
      </c>
      <c r="AF24" s="451">
        <v>2144091.67</v>
      </c>
      <c r="AG24" s="451">
        <v>186986.97</v>
      </c>
      <c r="AH24" s="451">
        <v>183248</v>
      </c>
      <c r="AI24" s="451">
        <v>0</v>
      </c>
      <c r="AJ24" s="451">
        <v>3740</v>
      </c>
      <c r="AK24" s="451">
        <v>373974.97</v>
      </c>
      <c r="AL24" s="451">
        <v>652225</v>
      </c>
      <c r="AM24" s="451">
        <v>639180</v>
      </c>
      <c r="AN24" s="451">
        <v>0</v>
      </c>
      <c r="AO24" s="451">
        <v>13044</v>
      </c>
      <c r="AP24" s="451">
        <v>1304449</v>
      </c>
      <c r="AQ24" s="451">
        <v>-11871</v>
      </c>
      <c r="AR24" s="451">
        <v>-11633</v>
      </c>
      <c r="AS24" s="451">
        <v>0</v>
      </c>
      <c r="AT24" s="451">
        <v>-237</v>
      </c>
      <c r="AU24" s="451">
        <v>-23741</v>
      </c>
      <c r="AV24" s="451">
        <v>640354</v>
      </c>
      <c r="AW24" s="451">
        <v>627547</v>
      </c>
      <c r="AX24" s="451">
        <v>0</v>
      </c>
      <c r="AY24" s="451">
        <v>12807</v>
      </c>
      <c r="AZ24" s="451">
        <v>1280708</v>
      </c>
      <c r="BA24" s="451">
        <v>0</v>
      </c>
      <c r="BB24" s="451">
        <v>0</v>
      </c>
      <c r="BC24" s="451">
        <v>0</v>
      </c>
      <c r="BD24" s="451">
        <v>0</v>
      </c>
      <c r="BE24" s="451">
        <v>0</v>
      </c>
      <c r="BF24" s="451">
        <v>319000</v>
      </c>
      <c r="BG24" s="451">
        <v>312620</v>
      </c>
      <c r="BH24" s="451">
        <v>0</v>
      </c>
      <c r="BI24" s="451">
        <v>6380</v>
      </c>
      <c r="BJ24" s="451">
        <v>638000</v>
      </c>
      <c r="BK24" s="451">
        <v>319000</v>
      </c>
      <c r="BL24" s="451">
        <v>312620</v>
      </c>
      <c r="BM24" s="451">
        <v>0</v>
      </c>
      <c r="BN24" s="451">
        <v>6380</v>
      </c>
      <c r="BO24" s="451">
        <v>638000</v>
      </c>
      <c r="BP24" s="451">
        <v>0</v>
      </c>
      <c r="BQ24" s="451">
        <v>0</v>
      </c>
      <c r="BR24" s="451">
        <v>0</v>
      </c>
      <c r="BS24" s="451">
        <v>0</v>
      </c>
      <c r="BT24" s="451">
        <v>0</v>
      </c>
      <c r="BU24" s="451">
        <v>781000</v>
      </c>
      <c r="BV24" s="451">
        <v>765380</v>
      </c>
      <c r="BW24" s="451">
        <v>0</v>
      </c>
      <c r="BX24" s="451">
        <v>15620</v>
      </c>
      <c r="BY24" s="451">
        <v>1562000</v>
      </c>
      <c r="BZ24" s="451">
        <v>781000</v>
      </c>
      <c r="CA24" s="451">
        <v>765380</v>
      </c>
      <c r="CB24" s="451">
        <v>0</v>
      </c>
      <c r="CC24" s="451">
        <v>15620</v>
      </c>
      <c r="CD24" s="451">
        <v>1562000</v>
      </c>
      <c r="CE24" s="104"/>
      <c r="CF24" s="104"/>
      <c r="CG24" s="104"/>
    </row>
    <row r="25" spans="1:85" ht="12.75" x14ac:dyDescent="0.2">
      <c r="A25" s="446">
        <v>18</v>
      </c>
      <c r="B25" s="447" t="s">
        <v>617</v>
      </c>
      <c r="C25" s="448" t="s">
        <v>1098</v>
      </c>
      <c r="D25" s="449" t="s">
        <v>1099</v>
      </c>
      <c r="E25" s="450" t="s">
        <v>616</v>
      </c>
      <c r="F25" s="451">
        <v>30756607</v>
      </c>
      <c r="G25" s="451">
        <v>18453965</v>
      </c>
      <c r="H25" s="451">
        <v>12302643</v>
      </c>
      <c r="I25" s="451">
        <v>0</v>
      </c>
      <c r="J25" s="451">
        <v>61513215</v>
      </c>
      <c r="K25" s="451">
        <v>0</v>
      </c>
      <c r="L25" s="451">
        <v>0</v>
      </c>
      <c r="M25" s="451">
        <v>30756607</v>
      </c>
      <c r="N25" s="451">
        <v>61513215</v>
      </c>
      <c r="O25" s="451">
        <v>263898</v>
      </c>
      <c r="P25" s="451">
        <v>263898</v>
      </c>
      <c r="Q25" s="451">
        <v>0</v>
      </c>
      <c r="R25" s="451">
        <v>0</v>
      </c>
      <c r="S25" s="451">
        <v>0</v>
      </c>
      <c r="T25" s="451">
        <v>0</v>
      </c>
      <c r="U25" s="451">
        <v>0</v>
      </c>
      <c r="V25" s="451">
        <v>0</v>
      </c>
      <c r="W25" s="451">
        <v>0</v>
      </c>
      <c r="X25" s="451">
        <v>0</v>
      </c>
      <c r="Y25" s="451">
        <v>0</v>
      </c>
      <c r="Z25" s="451">
        <v>0</v>
      </c>
      <c r="AA25" s="451">
        <v>0</v>
      </c>
      <c r="AB25" s="451">
        <v>1209351</v>
      </c>
      <c r="AC25" s="451">
        <v>725610</v>
      </c>
      <c r="AD25" s="451">
        <v>483740</v>
      </c>
      <c r="AE25" s="451">
        <v>0</v>
      </c>
      <c r="AF25" s="451">
        <v>2418701</v>
      </c>
      <c r="AG25" s="451">
        <v>1519782</v>
      </c>
      <c r="AH25" s="451">
        <v>911870</v>
      </c>
      <c r="AI25" s="451">
        <v>607913</v>
      </c>
      <c r="AJ25" s="451">
        <v>0</v>
      </c>
      <c r="AK25" s="451">
        <v>3039565</v>
      </c>
      <c r="AL25" s="451">
        <v>1108000</v>
      </c>
      <c r="AM25" s="451">
        <v>664800</v>
      </c>
      <c r="AN25" s="451">
        <v>443200</v>
      </c>
      <c r="AO25" s="451">
        <v>0</v>
      </c>
      <c r="AP25" s="451">
        <v>2216000</v>
      </c>
      <c r="AQ25" s="451">
        <v>-79500</v>
      </c>
      <c r="AR25" s="451">
        <v>-47700</v>
      </c>
      <c r="AS25" s="451">
        <v>-31800</v>
      </c>
      <c r="AT25" s="451">
        <v>0</v>
      </c>
      <c r="AU25" s="451">
        <v>-159000</v>
      </c>
      <c r="AV25" s="451">
        <v>1028500</v>
      </c>
      <c r="AW25" s="451">
        <v>617100</v>
      </c>
      <c r="AX25" s="451">
        <v>411400</v>
      </c>
      <c r="AY25" s="451">
        <v>0</v>
      </c>
      <c r="AZ25" s="451">
        <v>2057000</v>
      </c>
      <c r="BA25" s="451">
        <v>0</v>
      </c>
      <c r="BB25" s="451">
        <v>0</v>
      </c>
      <c r="BC25" s="451">
        <v>0</v>
      </c>
      <c r="BD25" s="451">
        <v>0</v>
      </c>
      <c r="BE25" s="451">
        <v>0</v>
      </c>
      <c r="BF25" s="451">
        <v>609826</v>
      </c>
      <c r="BG25" s="451">
        <v>365896</v>
      </c>
      <c r="BH25" s="451">
        <v>243930</v>
      </c>
      <c r="BI25" s="451">
        <v>0</v>
      </c>
      <c r="BJ25" s="451">
        <v>1219652</v>
      </c>
      <c r="BK25" s="451">
        <v>609826</v>
      </c>
      <c r="BL25" s="451">
        <v>365896</v>
      </c>
      <c r="BM25" s="451">
        <v>243930</v>
      </c>
      <c r="BN25" s="451">
        <v>0</v>
      </c>
      <c r="BO25" s="451">
        <v>1219652</v>
      </c>
      <c r="BP25" s="451">
        <v>0</v>
      </c>
      <c r="BQ25" s="451">
        <v>0</v>
      </c>
      <c r="BR25" s="451">
        <v>0</v>
      </c>
      <c r="BS25" s="451">
        <v>0</v>
      </c>
      <c r="BT25" s="451">
        <v>0</v>
      </c>
      <c r="BU25" s="451">
        <v>2108519</v>
      </c>
      <c r="BV25" s="451">
        <v>1265112</v>
      </c>
      <c r="BW25" s="451">
        <v>843408</v>
      </c>
      <c r="BX25" s="451">
        <v>0</v>
      </c>
      <c r="BY25" s="451">
        <v>4217039</v>
      </c>
      <c r="BZ25" s="451">
        <v>2108519</v>
      </c>
      <c r="CA25" s="451">
        <v>1265112</v>
      </c>
      <c r="CB25" s="451">
        <v>843408</v>
      </c>
      <c r="CC25" s="451">
        <v>0</v>
      </c>
      <c r="CD25" s="451">
        <v>4217039</v>
      </c>
      <c r="CE25" s="104"/>
      <c r="CF25" s="104"/>
      <c r="CG25" s="104"/>
    </row>
    <row r="26" spans="1:85" ht="12.75" x14ac:dyDescent="0.2">
      <c r="A26" s="446">
        <v>19</v>
      </c>
      <c r="B26" s="447" t="s">
        <v>619</v>
      </c>
      <c r="C26" s="448" t="s">
        <v>1100</v>
      </c>
      <c r="D26" s="449" t="s">
        <v>1103</v>
      </c>
      <c r="E26" s="450" t="s">
        <v>618</v>
      </c>
      <c r="F26" s="451">
        <v>179727136</v>
      </c>
      <c r="G26" s="451">
        <v>176132593</v>
      </c>
      <c r="H26" s="451">
        <v>0</v>
      </c>
      <c r="I26" s="451">
        <v>3594543</v>
      </c>
      <c r="J26" s="451">
        <v>359454272</v>
      </c>
      <c r="K26" s="451">
        <v>258556</v>
      </c>
      <c r="L26" s="451">
        <v>258556</v>
      </c>
      <c r="M26" s="451">
        <v>179468580</v>
      </c>
      <c r="N26" s="451">
        <v>359195716</v>
      </c>
      <c r="O26" s="451">
        <v>1925174</v>
      </c>
      <c r="P26" s="451">
        <v>1925174</v>
      </c>
      <c r="Q26" s="451">
        <v>270833</v>
      </c>
      <c r="R26" s="451">
        <v>270833</v>
      </c>
      <c r="S26" s="451">
        <v>0</v>
      </c>
      <c r="T26" s="451">
        <v>0</v>
      </c>
      <c r="U26" s="451">
        <v>0</v>
      </c>
      <c r="V26" s="451">
        <v>0</v>
      </c>
      <c r="W26" s="451">
        <v>0</v>
      </c>
      <c r="X26" s="451">
        <v>258556</v>
      </c>
      <c r="Y26" s="451">
        <v>0</v>
      </c>
      <c r="Z26" s="451">
        <v>0</v>
      </c>
      <c r="AA26" s="451">
        <v>258556</v>
      </c>
      <c r="AB26" s="451">
        <v>49059087</v>
      </c>
      <c r="AC26" s="451">
        <v>48077905</v>
      </c>
      <c r="AD26" s="451">
        <v>0</v>
      </c>
      <c r="AE26" s="451">
        <v>981182</v>
      </c>
      <c r="AF26" s="451">
        <v>98118174</v>
      </c>
      <c r="AG26" s="451">
        <v>17098815</v>
      </c>
      <c r="AH26" s="451">
        <v>16756839</v>
      </c>
      <c r="AI26" s="451">
        <v>0</v>
      </c>
      <c r="AJ26" s="451">
        <v>341976</v>
      </c>
      <c r="AK26" s="451">
        <v>34197630</v>
      </c>
      <c r="AL26" s="451">
        <v>25401237</v>
      </c>
      <c r="AM26" s="451">
        <v>24893213</v>
      </c>
      <c r="AN26" s="451">
        <v>0</v>
      </c>
      <c r="AO26" s="451">
        <v>508025</v>
      </c>
      <c r="AP26" s="451">
        <v>50802475</v>
      </c>
      <c r="AQ26" s="451">
        <v>2319582</v>
      </c>
      <c r="AR26" s="451">
        <v>2273191</v>
      </c>
      <c r="AS26" s="451">
        <v>0</v>
      </c>
      <c r="AT26" s="451">
        <v>46392</v>
      </c>
      <c r="AU26" s="451">
        <v>4639165</v>
      </c>
      <c r="AV26" s="451">
        <v>27720819</v>
      </c>
      <c r="AW26" s="451">
        <v>27166404</v>
      </c>
      <c r="AX26" s="451">
        <v>0</v>
      </c>
      <c r="AY26" s="451">
        <v>554417</v>
      </c>
      <c r="AZ26" s="451">
        <v>55441640</v>
      </c>
      <c r="BA26" s="451">
        <v>0</v>
      </c>
      <c r="BB26" s="451">
        <v>0</v>
      </c>
      <c r="BC26" s="451">
        <v>0</v>
      </c>
      <c r="BD26" s="451">
        <v>0</v>
      </c>
      <c r="BE26" s="451">
        <v>0</v>
      </c>
      <c r="BF26" s="451">
        <v>5709480</v>
      </c>
      <c r="BG26" s="451">
        <v>5595291</v>
      </c>
      <c r="BH26" s="451">
        <v>0</v>
      </c>
      <c r="BI26" s="451">
        <v>114190</v>
      </c>
      <c r="BJ26" s="451">
        <v>11418961</v>
      </c>
      <c r="BK26" s="451">
        <v>5709480</v>
      </c>
      <c r="BL26" s="451">
        <v>5595291</v>
      </c>
      <c r="BM26" s="451">
        <v>0</v>
      </c>
      <c r="BN26" s="451">
        <v>114190</v>
      </c>
      <c r="BO26" s="451">
        <v>11418961</v>
      </c>
      <c r="BP26" s="451">
        <v>0</v>
      </c>
      <c r="BQ26" s="451">
        <v>0</v>
      </c>
      <c r="BR26" s="451">
        <v>0</v>
      </c>
      <c r="BS26" s="451">
        <v>0</v>
      </c>
      <c r="BT26" s="451">
        <v>0</v>
      </c>
      <c r="BU26" s="451">
        <v>16000465</v>
      </c>
      <c r="BV26" s="451">
        <v>15680455</v>
      </c>
      <c r="BW26" s="451">
        <v>0</v>
      </c>
      <c r="BX26" s="451">
        <v>320009</v>
      </c>
      <c r="BY26" s="451">
        <v>32000929</v>
      </c>
      <c r="BZ26" s="451">
        <v>16000465</v>
      </c>
      <c r="CA26" s="451">
        <v>15680455</v>
      </c>
      <c r="CB26" s="451">
        <v>0</v>
      </c>
      <c r="CC26" s="451">
        <v>320009</v>
      </c>
      <c r="CD26" s="451">
        <v>32000929</v>
      </c>
      <c r="CE26" s="104"/>
      <c r="CF26" s="104"/>
      <c r="CG26" s="104"/>
    </row>
    <row r="27" spans="1:85" ht="12.75" x14ac:dyDescent="0.2">
      <c r="A27" s="446">
        <v>20</v>
      </c>
      <c r="B27" s="447" t="s">
        <v>621</v>
      </c>
      <c r="C27" s="448" t="s">
        <v>1093</v>
      </c>
      <c r="D27" s="449" t="s">
        <v>1096</v>
      </c>
      <c r="E27" s="450" t="s">
        <v>620</v>
      </c>
      <c r="F27" s="451">
        <v>18464401</v>
      </c>
      <c r="G27" s="451">
        <v>14771520</v>
      </c>
      <c r="H27" s="451">
        <v>3323592</v>
      </c>
      <c r="I27" s="451">
        <v>369288</v>
      </c>
      <c r="J27" s="451">
        <v>36928801</v>
      </c>
      <c r="K27" s="451">
        <v>0</v>
      </c>
      <c r="L27" s="451">
        <v>0</v>
      </c>
      <c r="M27" s="451">
        <v>18464401</v>
      </c>
      <c r="N27" s="451">
        <v>36928801</v>
      </c>
      <c r="O27" s="451">
        <v>101281</v>
      </c>
      <c r="P27" s="451">
        <v>101281</v>
      </c>
      <c r="Q27" s="451">
        <v>0</v>
      </c>
      <c r="R27" s="451">
        <v>0</v>
      </c>
      <c r="S27" s="451">
        <v>0</v>
      </c>
      <c r="T27" s="451">
        <v>0</v>
      </c>
      <c r="U27" s="451">
        <v>0</v>
      </c>
      <c r="V27" s="451">
        <v>0</v>
      </c>
      <c r="W27" s="451">
        <v>0</v>
      </c>
      <c r="X27" s="451">
        <v>0</v>
      </c>
      <c r="Y27" s="451">
        <v>0</v>
      </c>
      <c r="Z27" s="451">
        <v>0</v>
      </c>
      <c r="AA27" s="451">
        <v>0</v>
      </c>
      <c r="AB27" s="451">
        <v>481188</v>
      </c>
      <c r="AC27" s="451">
        <v>384950</v>
      </c>
      <c r="AD27" s="451">
        <v>86614</v>
      </c>
      <c r="AE27" s="451">
        <v>9624</v>
      </c>
      <c r="AF27" s="451">
        <v>962376</v>
      </c>
      <c r="AG27" s="451">
        <v>-244731</v>
      </c>
      <c r="AH27" s="451">
        <v>-195785</v>
      </c>
      <c r="AI27" s="451">
        <v>-44052</v>
      </c>
      <c r="AJ27" s="451">
        <v>-4895</v>
      </c>
      <c r="AK27" s="451">
        <v>-489463</v>
      </c>
      <c r="AL27" s="451">
        <v>224707</v>
      </c>
      <c r="AM27" s="451">
        <v>179765</v>
      </c>
      <c r="AN27" s="451">
        <v>40447</v>
      </c>
      <c r="AO27" s="451">
        <v>4494</v>
      </c>
      <c r="AP27" s="451">
        <v>449413</v>
      </c>
      <c r="AQ27" s="451">
        <v>-103795</v>
      </c>
      <c r="AR27" s="451">
        <v>-83036</v>
      </c>
      <c r="AS27" s="451">
        <v>-18683</v>
      </c>
      <c r="AT27" s="451">
        <v>-2076</v>
      </c>
      <c r="AU27" s="451">
        <v>-207590</v>
      </c>
      <c r="AV27" s="451">
        <v>120912</v>
      </c>
      <c r="AW27" s="451">
        <v>96729</v>
      </c>
      <c r="AX27" s="451">
        <v>21764</v>
      </c>
      <c r="AY27" s="451">
        <v>2418</v>
      </c>
      <c r="AZ27" s="451">
        <v>241823</v>
      </c>
      <c r="BA27" s="451">
        <v>0</v>
      </c>
      <c r="BB27" s="451">
        <v>0</v>
      </c>
      <c r="BC27" s="451">
        <v>0</v>
      </c>
      <c r="BD27" s="451">
        <v>0</v>
      </c>
      <c r="BE27" s="451">
        <v>0</v>
      </c>
      <c r="BF27" s="451">
        <v>397709</v>
      </c>
      <c r="BG27" s="451">
        <v>318166</v>
      </c>
      <c r="BH27" s="451">
        <v>71587</v>
      </c>
      <c r="BI27" s="451">
        <v>7954</v>
      </c>
      <c r="BJ27" s="451">
        <v>795416</v>
      </c>
      <c r="BK27" s="451">
        <v>397709</v>
      </c>
      <c r="BL27" s="451">
        <v>318166</v>
      </c>
      <c r="BM27" s="451">
        <v>71587</v>
      </c>
      <c r="BN27" s="451">
        <v>7954</v>
      </c>
      <c r="BO27" s="451">
        <v>795416</v>
      </c>
      <c r="BP27" s="451">
        <v>0</v>
      </c>
      <c r="BQ27" s="451">
        <v>0</v>
      </c>
      <c r="BR27" s="451">
        <v>0</v>
      </c>
      <c r="BS27" s="451">
        <v>0</v>
      </c>
      <c r="BT27" s="451">
        <v>0</v>
      </c>
      <c r="BU27" s="451">
        <v>988506</v>
      </c>
      <c r="BV27" s="451">
        <v>790804</v>
      </c>
      <c r="BW27" s="451">
        <v>177931</v>
      </c>
      <c r="BX27" s="451">
        <v>19770</v>
      </c>
      <c r="BY27" s="451">
        <v>1977011</v>
      </c>
      <c r="BZ27" s="451">
        <v>988506</v>
      </c>
      <c r="CA27" s="451">
        <v>790804</v>
      </c>
      <c r="CB27" s="451">
        <v>177931</v>
      </c>
      <c r="CC27" s="451">
        <v>19770</v>
      </c>
      <c r="CD27" s="451">
        <v>1977011</v>
      </c>
      <c r="CE27" s="104"/>
      <c r="CF27" s="104"/>
      <c r="CG27" s="104"/>
    </row>
    <row r="28" spans="1:85" ht="12.75" x14ac:dyDescent="0.2">
      <c r="A28" s="446">
        <v>21</v>
      </c>
      <c r="B28" s="447" t="s">
        <v>623</v>
      </c>
      <c r="C28" s="448" t="s">
        <v>794</v>
      </c>
      <c r="D28" s="449" t="s">
        <v>1095</v>
      </c>
      <c r="E28" s="450" t="s">
        <v>709</v>
      </c>
      <c r="F28" s="451">
        <v>21005555</v>
      </c>
      <c r="G28" s="451">
        <v>20585444</v>
      </c>
      <c r="H28" s="451">
        <v>0</v>
      </c>
      <c r="I28" s="451">
        <v>420111</v>
      </c>
      <c r="J28" s="451">
        <v>42011110</v>
      </c>
      <c r="K28" s="451">
        <v>0</v>
      </c>
      <c r="L28" s="451">
        <v>0</v>
      </c>
      <c r="M28" s="451">
        <v>21005555</v>
      </c>
      <c r="N28" s="451">
        <v>42011110</v>
      </c>
      <c r="O28" s="451">
        <v>252639</v>
      </c>
      <c r="P28" s="451">
        <v>252639</v>
      </c>
      <c r="Q28" s="451">
        <v>0</v>
      </c>
      <c r="R28" s="451">
        <v>0</v>
      </c>
      <c r="S28" s="451">
        <v>0</v>
      </c>
      <c r="T28" s="451">
        <v>0</v>
      </c>
      <c r="U28" s="451">
        <v>0</v>
      </c>
      <c r="V28" s="451">
        <v>0</v>
      </c>
      <c r="W28" s="451">
        <v>0</v>
      </c>
      <c r="X28" s="451">
        <v>0</v>
      </c>
      <c r="Y28" s="451">
        <v>0</v>
      </c>
      <c r="Z28" s="451">
        <v>0</v>
      </c>
      <c r="AA28" s="451">
        <v>0</v>
      </c>
      <c r="AB28" s="451">
        <v>1372986</v>
      </c>
      <c r="AC28" s="451">
        <v>1345526</v>
      </c>
      <c r="AD28" s="451">
        <v>0</v>
      </c>
      <c r="AE28" s="451">
        <v>27460</v>
      </c>
      <c r="AF28" s="451">
        <v>2745972</v>
      </c>
      <c r="AG28" s="451">
        <v>298176</v>
      </c>
      <c r="AH28" s="451">
        <v>292212</v>
      </c>
      <c r="AI28" s="451">
        <v>0</v>
      </c>
      <c r="AJ28" s="451">
        <v>5964</v>
      </c>
      <c r="AK28" s="451">
        <v>596352</v>
      </c>
      <c r="AL28" s="451">
        <v>509586</v>
      </c>
      <c r="AM28" s="451">
        <v>499395</v>
      </c>
      <c r="AN28" s="451">
        <v>0</v>
      </c>
      <c r="AO28" s="451">
        <v>10192</v>
      </c>
      <c r="AP28" s="451">
        <v>1019173</v>
      </c>
      <c r="AQ28" s="451">
        <v>211914</v>
      </c>
      <c r="AR28" s="451">
        <v>207675</v>
      </c>
      <c r="AS28" s="451">
        <v>0</v>
      </c>
      <c r="AT28" s="451">
        <v>4238</v>
      </c>
      <c r="AU28" s="451">
        <v>423827</v>
      </c>
      <c r="AV28" s="451">
        <v>721500</v>
      </c>
      <c r="AW28" s="451">
        <v>707070</v>
      </c>
      <c r="AX28" s="451">
        <v>0</v>
      </c>
      <c r="AY28" s="451">
        <v>14430</v>
      </c>
      <c r="AZ28" s="451">
        <v>1443000</v>
      </c>
      <c r="BA28" s="451">
        <v>0</v>
      </c>
      <c r="BB28" s="451">
        <v>0</v>
      </c>
      <c r="BC28" s="451">
        <v>0</v>
      </c>
      <c r="BD28" s="451">
        <v>0</v>
      </c>
      <c r="BE28" s="451">
        <v>0</v>
      </c>
      <c r="BF28" s="451">
        <v>541350</v>
      </c>
      <c r="BG28" s="451">
        <v>530523</v>
      </c>
      <c r="BH28" s="451">
        <v>0</v>
      </c>
      <c r="BI28" s="451">
        <v>10827</v>
      </c>
      <c r="BJ28" s="451">
        <v>1082700</v>
      </c>
      <c r="BK28" s="451">
        <v>541350</v>
      </c>
      <c r="BL28" s="451">
        <v>530523</v>
      </c>
      <c r="BM28" s="451">
        <v>0</v>
      </c>
      <c r="BN28" s="451">
        <v>10827</v>
      </c>
      <c r="BO28" s="451">
        <v>1082700</v>
      </c>
      <c r="BP28" s="451">
        <v>0</v>
      </c>
      <c r="BQ28" s="451">
        <v>0</v>
      </c>
      <c r="BR28" s="451">
        <v>0</v>
      </c>
      <c r="BS28" s="451">
        <v>0</v>
      </c>
      <c r="BT28" s="451">
        <v>0</v>
      </c>
      <c r="BU28" s="451">
        <v>1248650</v>
      </c>
      <c r="BV28" s="451">
        <v>1223677</v>
      </c>
      <c r="BW28" s="451">
        <v>0</v>
      </c>
      <c r="BX28" s="451">
        <v>24973</v>
      </c>
      <c r="BY28" s="451">
        <v>2497300</v>
      </c>
      <c r="BZ28" s="451">
        <v>1248650</v>
      </c>
      <c r="CA28" s="451">
        <v>1223677</v>
      </c>
      <c r="CB28" s="451">
        <v>0</v>
      </c>
      <c r="CC28" s="451">
        <v>24973</v>
      </c>
      <c r="CD28" s="451">
        <v>2497300</v>
      </c>
      <c r="CE28" s="104"/>
      <c r="CF28" s="104"/>
      <c r="CG28" s="104"/>
    </row>
    <row r="29" spans="1:85" ht="12.75" x14ac:dyDescent="0.2">
      <c r="A29" s="446">
        <v>22</v>
      </c>
      <c r="B29" s="447" t="s">
        <v>625</v>
      </c>
      <c r="C29" s="448" t="s">
        <v>794</v>
      </c>
      <c r="D29" s="449" t="s">
        <v>1095</v>
      </c>
      <c r="E29" s="450" t="s">
        <v>710</v>
      </c>
      <c r="F29" s="451">
        <v>21529856</v>
      </c>
      <c r="G29" s="451">
        <v>21099258</v>
      </c>
      <c r="H29" s="451">
        <v>0</v>
      </c>
      <c r="I29" s="451">
        <v>430597</v>
      </c>
      <c r="J29" s="451">
        <v>43059711</v>
      </c>
      <c r="K29" s="451">
        <v>0</v>
      </c>
      <c r="L29" s="451">
        <v>0</v>
      </c>
      <c r="M29" s="451">
        <v>21529856</v>
      </c>
      <c r="N29" s="451">
        <v>43059711</v>
      </c>
      <c r="O29" s="451">
        <v>279753</v>
      </c>
      <c r="P29" s="451">
        <v>279753</v>
      </c>
      <c r="Q29" s="451">
        <v>0</v>
      </c>
      <c r="R29" s="451">
        <v>0</v>
      </c>
      <c r="S29" s="451">
        <v>0</v>
      </c>
      <c r="T29" s="451">
        <v>0</v>
      </c>
      <c r="U29" s="451">
        <v>0</v>
      </c>
      <c r="V29" s="451">
        <v>0</v>
      </c>
      <c r="W29" s="451">
        <v>0</v>
      </c>
      <c r="X29" s="451">
        <v>0</v>
      </c>
      <c r="Y29" s="451">
        <v>0</v>
      </c>
      <c r="Z29" s="451">
        <v>0</v>
      </c>
      <c r="AA29" s="451">
        <v>0</v>
      </c>
      <c r="AB29" s="451">
        <v>2318735</v>
      </c>
      <c r="AC29" s="451">
        <v>2272361</v>
      </c>
      <c r="AD29" s="451">
        <v>0</v>
      </c>
      <c r="AE29" s="451">
        <v>46375</v>
      </c>
      <c r="AF29" s="451">
        <v>4637471</v>
      </c>
      <c r="AG29" s="451">
        <v>228170</v>
      </c>
      <c r="AH29" s="451">
        <v>223607</v>
      </c>
      <c r="AI29" s="451">
        <v>0</v>
      </c>
      <c r="AJ29" s="451">
        <v>4563</v>
      </c>
      <c r="AK29" s="451">
        <v>456340</v>
      </c>
      <c r="AL29" s="451">
        <v>0</v>
      </c>
      <c r="AM29" s="451">
        <v>0</v>
      </c>
      <c r="AN29" s="451">
        <v>0</v>
      </c>
      <c r="AO29" s="451">
        <v>0</v>
      </c>
      <c r="AP29" s="451">
        <v>0</v>
      </c>
      <c r="AQ29" s="451">
        <v>797616</v>
      </c>
      <c r="AR29" s="451">
        <v>781663</v>
      </c>
      <c r="AS29" s="451">
        <v>0</v>
      </c>
      <c r="AT29" s="451">
        <v>15952</v>
      </c>
      <c r="AU29" s="451">
        <v>1595231</v>
      </c>
      <c r="AV29" s="451">
        <v>797616</v>
      </c>
      <c r="AW29" s="451">
        <v>781663</v>
      </c>
      <c r="AX29" s="451">
        <v>0</v>
      </c>
      <c r="AY29" s="451">
        <v>15952</v>
      </c>
      <c r="AZ29" s="451">
        <v>1595231</v>
      </c>
      <c r="BA29" s="451">
        <v>0</v>
      </c>
      <c r="BB29" s="451">
        <v>0</v>
      </c>
      <c r="BC29" s="451">
        <v>0</v>
      </c>
      <c r="BD29" s="451">
        <v>0</v>
      </c>
      <c r="BE29" s="451">
        <v>0</v>
      </c>
      <c r="BF29" s="451">
        <v>642036</v>
      </c>
      <c r="BG29" s="451">
        <v>629196</v>
      </c>
      <c r="BH29" s="451">
        <v>0</v>
      </c>
      <c r="BI29" s="451">
        <v>12841</v>
      </c>
      <c r="BJ29" s="451">
        <v>1284073</v>
      </c>
      <c r="BK29" s="451">
        <v>642036</v>
      </c>
      <c r="BL29" s="451">
        <v>629196</v>
      </c>
      <c r="BM29" s="451">
        <v>0</v>
      </c>
      <c r="BN29" s="451">
        <v>12841</v>
      </c>
      <c r="BO29" s="451">
        <v>1284073</v>
      </c>
      <c r="BP29" s="451">
        <v>0</v>
      </c>
      <c r="BQ29" s="451">
        <v>0</v>
      </c>
      <c r="BR29" s="451">
        <v>0</v>
      </c>
      <c r="BS29" s="451">
        <v>0</v>
      </c>
      <c r="BT29" s="451">
        <v>0</v>
      </c>
      <c r="BU29" s="451">
        <v>1410422</v>
      </c>
      <c r="BV29" s="451">
        <v>1382213</v>
      </c>
      <c r="BW29" s="451">
        <v>0</v>
      </c>
      <c r="BX29" s="451">
        <v>28208</v>
      </c>
      <c r="BY29" s="451">
        <v>2820843</v>
      </c>
      <c r="BZ29" s="451">
        <v>1410422</v>
      </c>
      <c r="CA29" s="451">
        <v>1382213</v>
      </c>
      <c r="CB29" s="451">
        <v>0</v>
      </c>
      <c r="CC29" s="451">
        <v>28208</v>
      </c>
      <c r="CD29" s="451">
        <v>2820843</v>
      </c>
      <c r="CE29" s="104"/>
      <c r="CF29" s="104"/>
      <c r="CG29" s="104"/>
    </row>
    <row r="30" spans="1:85" ht="12.75" x14ac:dyDescent="0.2">
      <c r="A30" s="446">
        <v>23</v>
      </c>
      <c r="B30" s="447" t="s">
        <v>627</v>
      </c>
      <c r="C30" s="448" t="s">
        <v>1093</v>
      </c>
      <c r="D30" s="449" t="s">
        <v>1096</v>
      </c>
      <c r="E30" s="450" t="s">
        <v>626</v>
      </c>
      <c r="F30" s="451">
        <v>10188206</v>
      </c>
      <c r="G30" s="451">
        <v>8150564</v>
      </c>
      <c r="H30" s="451">
        <v>1833877</v>
      </c>
      <c r="I30" s="451">
        <v>203764</v>
      </c>
      <c r="J30" s="451">
        <v>20376411</v>
      </c>
      <c r="K30" s="451">
        <v>0</v>
      </c>
      <c r="L30" s="451">
        <v>0</v>
      </c>
      <c r="M30" s="451">
        <v>10188206</v>
      </c>
      <c r="N30" s="451">
        <v>20376411</v>
      </c>
      <c r="O30" s="451">
        <v>93264</v>
      </c>
      <c r="P30" s="451">
        <v>93264</v>
      </c>
      <c r="Q30" s="451">
        <v>0</v>
      </c>
      <c r="R30" s="451">
        <v>0</v>
      </c>
      <c r="S30" s="451">
        <v>0</v>
      </c>
      <c r="T30" s="451">
        <v>0</v>
      </c>
      <c r="U30" s="451">
        <v>0</v>
      </c>
      <c r="V30" s="451">
        <v>0</v>
      </c>
      <c r="W30" s="451">
        <v>0</v>
      </c>
      <c r="X30" s="451">
        <v>0</v>
      </c>
      <c r="Y30" s="451">
        <v>0</v>
      </c>
      <c r="Z30" s="451">
        <v>0</v>
      </c>
      <c r="AA30" s="451">
        <v>0</v>
      </c>
      <c r="AB30" s="451">
        <v>255358</v>
      </c>
      <c r="AC30" s="451">
        <v>204286</v>
      </c>
      <c r="AD30" s="451">
        <v>45964</v>
      </c>
      <c r="AE30" s="451">
        <v>5107</v>
      </c>
      <c r="AF30" s="451">
        <v>510715</v>
      </c>
      <c r="AG30" s="451">
        <v>659172</v>
      </c>
      <c r="AH30" s="451">
        <v>527337</v>
      </c>
      <c r="AI30" s="451">
        <v>118651</v>
      </c>
      <c r="AJ30" s="451">
        <v>13183</v>
      </c>
      <c r="AK30" s="451">
        <v>1318343</v>
      </c>
      <c r="AL30" s="451">
        <v>97755</v>
      </c>
      <c r="AM30" s="451">
        <v>78204</v>
      </c>
      <c r="AN30" s="451">
        <v>17596</v>
      </c>
      <c r="AO30" s="451">
        <v>1955</v>
      </c>
      <c r="AP30" s="451">
        <v>195510</v>
      </c>
      <c r="AQ30" s="451">
        <v>48033</v>
      </c>
      <c r="AR30" s="451">
        <v>38427</v>
      </c>
      <c r="AS30" s="451">
        <v>8646</v>
      </c>
      <c r="AT30" s="451">
        <v>961</v>
      </c>
      <c r="AU30" s="451">
        <v>96067</v>
      </c>
      <c r="AV30" s="451">
        <v>145788</v>
      </c>
      <c r="AW30" s="451">
        <v>116631</v>
      </c>
      <c r="AX30" s="451">
        <v>26242</v>
      </c>
      <c r="AY30" s="451">
        <v>2916</v>
      </c>
      <c r="AZ30" s="451">
        <v>291577</v>
      </c>
      <c r="BA30" s="451">
        <v>0</v>
      </c>
      <c r="BB30" s="451">
        <v>0</v>
      </c>
      <c r="BC30" s="451">
        <v>0</v>
      </c>
      <c r="BD30" s="451">
        <v>0</v>
      </c>
      <c r="BE30" s="451">
        <v>0</v>
      </c>
      <c r="BF30" s="451">
        <v>76892</v>
      </c>
      <c r="BG30" s="451">
        <v>61513</v>
      </c>
      <c r="BH30" s="451">
        <v>13840</v>
      </c>
      <c r="BI30" s="451">
        <v>1538</v>
      </c>
      <c r="BJ30" s="451">
        <v>153783</v>
      </c>
      <c r="BK30" s="451">
        <v>76892</v>
      </c>
      <c r="BL30" s="451">
        <v>61513</v>
      </c>
      <c r="BM30" s="451">
        <v>13840</v>
      </c>
      <c r="BN30" s="451">
        <v>1538</v>
      </c>
      <c r="BO30" s="451">
        <v>153783</v>
      </c>
      <c r="BP30" s="451">
        <v>0</v>
      </c>
      <c r="BQ30" s="451">
        <v>0</v>
      </c>
      <c r="BR30" s="451">
        <v>0</v>
      </c>
      <c r="BS30" s="451">
        <v>0</v>
      </c>
      <c r="BT30" s="451">
        <v>0</v>
      </c>
      <c r="BU30" s="451">
        <v>303637</v>
      </c>
      <c r="BV30" s="451">
        <v>242910</v>
      </c>
      <c r="BW30" s="451">
        <v>54655</v>
      </c>
      <c r="BX30" s="451">
        <v>6073</v>
      </c>
      <c r="BY30" s="451">
        <v>607275</v>
      </c>
      <c r="BZ30" s="451">
        <v>303637</v>
      </c>
      <c r="CA30" s="451">
        <v>242910</v>
      </c>
      <c r="CB30" s="451">
        <v>54655</v>
      </c>
      <c r="CC30" s="451">
        <v>6073</v>
      </c>
      <c r="CD30" s="451">
        <v>607275</v>
      </c>
      <c r="CE30" s="104"/>
      <c r="CF30" s="104"/>
      <c r="CG30" s="104"/>
    </row>
    <row r="31" spans="1:85" ht="12.75" x14ac:dyDescent="0.2">
      <c r="A31" s="446">
        <v>24</v>
      </c>
      <c r="B31" s="447" t="s">
        <v>629</v>
      </c>
      <c r="C31" s="448" t="s">
        <v>1100</v>
      </c>
      <c r="D31" s="449" t="s">
        <v>1095</v>
      </c>
      <c r="E31" s="450" t="s">
        <v>628</v>
      </c>
      <c r="F31" s="451">
        <v>35722459</v>
      </c>
      <c r="G31" s="451">
        <v>35008010</v>
      </c>
      <c r="H31" s="451">
        <v>0</v>
      </c>
      <c r="I31" s="451">
        <v>714449</v>
      </c>
      <c r="J31" s="451">
        <v>71444918</v>
      </c>
      <c r="K31" s="451">
        <v>0</v>
      </c>
      <c r="L31" s="451">
        <v>0</v>
      </c>
      <c r="M31" s="451">
        <v>35722459</v>
      </c>
      <c r="N31" s="451">
        <v>71444918</v>
      </c>
      <c r="O31" s="451">
        <v>407353</v>
      </c>
      <c r="P31" s="451">
        <v>407353</v>
      </c>
      <c r="Q31" s="451">
        <v>0</v>
      </c>
      <c r="R31" s="451">
        <v>0</v>
      </c>
      <c r="S31" s="451">
        <v>0</v>
      </c>
      <c r="T31" s="451">
        <v>0</v>
      </c>
      <c r="U31" s="451">
        <v>0</v>
      </c>
      <c r="V31" s="451">
        <v>0</v>
      </c>
      <c r="W31" s="451">
        <v>0</v>
      </c>
      <c r="X31" s="451">
        <v>0</v>
      </c>
      <c r="Y31" s="451">
        <v>0</v>
      </c>
      <c r="Z31" s="451">
        <v>0</v>
      </c>
      <c r="AA31" s="451">
        <v>0</v>
      </c>
      <c r="AB31" s="451">
        <v>3549931</v>
      </c>
      <c r="AC31" s="451">
        <v>3478933</v>
      </c>
      <c r="AD31" s="451">
        <v>0</v>
      </c>
      <c r="AE31" s="451">
        <v>70999</v>
      </c>
      <c r="AF31" s="451">
        <v>7099863</v>
      </c>
      <c r="AG31" s="451">
        <v>155688</v>
      </c>
      <c r="AH31" s="451">
        <v>152574</v>
      </c>
      <c r="AI31" s="451">
        <v>0</v>
      </c>
      <c r="AJ31" s="451">
        <v>3114</v>
      </c>
      <c r="AK31" s="451">
        <v>311376</v>
      </c>
      <c r="AL31" s="451">
        <v>0</v>
      </c>
      <c r="AM31" s="451">
        <v>0</v>
      </c>
      <c r="AN31" s="451">
        <v>0</v>
      </c>
      <c r="AO31" s="451">
        <v>0</v>
      </c>
      <c r="AP31" s="451">
        <v>0</v>
      </c>
      <c r="AQ31" s="451">
        <v>2080573</v>
      </c>
      <c r="AR31" s="451">
        <v>2038961</v>
      </c>
      <c r="AS31" s="451">
        <v>0</v>
      </c>
      <c r="AT31" s="451">
        <v>41611</v>
      </c>
      <c r="AU31" s="451">
        <v>4161145</v>
      </c>
      <c r="AV31" s="451">
        <v>2080573</v>
      </c>
      <c r="AW31" s="451">
        <v>2038961</v>
      </c>
      <c r="AX31" s="451">
        <v>0</v>
      </c>
      <c r="AY31" s="451">
        <v>41611</v>
      </c>
      <c r="AZ31" s="451">
        <v>4161145</v>
      </c>
      <c r="BA31" s="451">
        <v>0</v>
      </c>
      <c r="BB31" s="451">
        <v>0</v>
      </c>
      <c r="BC31" s="451">
        <v>0</v>
      </c>
      <c r="BD31" s="451">
        <v>0</v>
      </c>
      <c r="BE31" s="451">
        <v>0</v>
      </c>
      <c r="BF31" s="451">
        <v>1039079</v>
      </c>
      <c r="BG31" s="451">
        <v>1018298</v>
      </c>
      <c r="BH31" s="451">
        <v>0</v>
      </c>
      <c r="BI31" s="451">
        <v>20782</v>
      </c>
      <c r="BJ31" s="451">
        <v>2078159</v>
      </c>
      <c r="BK31" s="451">
        <v>1039079</v>
      </c>
      <c r="BL31" s="451">
        <v>1018298</v>
      </c>
      <c r="BM31" s="451">
        <v>0</v>
      </c>
      <c r="BN31" s="451">
        <v>20782</v>
      </c>
      <c r="BO31" s="451">
        <v>2078159</v>
      </c>
      <c r="BP31" s="451">
        <v>0</v>
      </c>
      <c r="BQ31" s="451">
        <v>0</v>
      </c>
      <c r="BR31" s="451">
        <v>0</v>
      </c>
      <c r="BS31" s="451">
        <v>0</v>
      </c>
      <c r="BT31" s="451">
        <v>0</v>
      </c>
      <c r="BU31" s="451">
        <v>3041969</v>
      </c>
      <c r="BV31" s="451">
        <v>2981129</v>
      </c>
      <c r="BW31" s="451">
        <v>0</v>
      </c>
      <c r="BX31" s="451">
        <v>60839</v>
      </c>
      <c r="BY31" s="451">
        <v>6083937</v>
      </c>
      <c r="BZ31" s="451">
        <v>3041969</v>
      </c>
      <c r="CA31" s="451">
        <v>2981129</v>
      </c>
      <c r="CB31" s="451">
        <v>0</v>
      </c>
      <c r="CC31" s="451">
        <v>60839</v>
      </c>
      <c r="CD31" s="451">
        <v>6083937</v>
      </c>
      <c r="CE31" s="104"/>
      <c r="CF31" s="104"/>
      <c r="CG31" s="104"/>
    </row>
    <row r="32" spans="1:85" ht="12.75" x14ac:dyDescent="0.2">
      <c r="A32" s="446">
        <v>25</v>
      </c>
      <c r="B32" s="447" t="s">
        <v>631</v>
      </c>
      <c r="C32" s="448" t="s">
        <v>1093</v>
      </c>
      <c r="D32" s="449" t="s">
        <v>1096</v>
      </c>
      <c r="E32" s="450" t="s">
        <v>630</v>
      </c>
      <c r="F32" s="451">
        <v>8325706</v>
      </c>
      <c r="G32" s="451">
        <v>6660565</v>
      </c>
      <c r="H32" s="451">
        <v>1665141</v>
      </c>
      <c r="I32" s="451">
        <v>0</v>
      </c>
      <c r="J32" s="451">
        <v>16651412</v>
      </c>
      <c r="K32" s="451">
        <v>0</v>
      </c>
      <c r="L32" s="451">
        <v>0</v>
      </c>
      <c r="M32" s="451">
        <v>8325706</v>
      </c>
      <c r="N32" s="451">
        <v>16651412</v>
      </c>
      <c r="O32" s="451">
        <v>87470</v>
      </c>
      <c r="P32" s="451">
        <v>87470</v>
      </c>
      <c r="Q32" s="451">
        <v>0</v>
      </c>
      <c r="R32" s="451">
        <v>0</v>
      </c>
      <c r="S32" s="451">
        <v>0</v>
      </c>
      <c r="T32" s="451">
        <v>0</v>
      </c>
      <c r="U32" s="451">
        <v>0</v>
      </c>
      <c r="V32" s="451">
        <v>0</v>
      </c>
      <c r="W32" s="451">
        <v>0</v>
      </c>
      <c r="X32" s="451">
        <v>0</v>
      </c>
      <c r="Y32" s="451">
        <v>0</v>
      </c>
      <c r="Z32" s="451">
        <v>0</v>
      </c>
      <c r="AA32" s="451">
        <v>0</v>
      </c>
      <c r="AB32" s="451">
        <v>533574</v>
      </c>
      <c r="AC32" s="451">
        <v>426859</v>
      </c>
      <c r="AD32" s="451">
        <v>106715</v>
      </c>
      <c r="AE32" s="451">
        <v>0</v>
      </c>
      <c r="AF32" s="451">
        <v>1067148</v>
      </c>
      <c r="AG32" s="451">
        <v>175246.45</v>
      </c>
      <c r="AH32" s="451">
        <v>140197</v>
      </c>
      <c r="AI32" s="451">
        <v>35049</v>
      </c>
      <c r="AJ32" s="451">
        <v>0</v>
      </c>
      <c r="AK32" s="451">
        <v>350492.45</v>
      </c>
      <c r="AL32" s="451">
        <v>0</v>
      </c>
      <c r="AM32" s="451">
        <v>0</v>
      </c>
      <c r="AN32" s="451">
        <v>0</v>
      </c>
      <c r="AO32" s="451">
        <v>0</v>
      </c>
      <c r="AP32" s="451">
        <v>0</v>
      </c>
      <c r="AQ32" s="451">
        <v>165574</v>
      </c>
      <c r="AR32" s="451">
        <v>132459</v>
      </c>
      <c r="AS32" s="451">
        <v>33115</v>
      </c>
      <c r="AT32" s="451">
        <v>0</v>
      </c>
      <c r="AU32" s="451">
        <v>331148</v>
      </c>
      <c r="AV32" s="451">
        <v>165574</v>
      </c>
      <c r="AW32" s="451">
        <v>132459</v>
      </c>
      <c r="AX32" s="451">
        <v>33115</v>
      </c>
      <c r="AY32" s="451">
        <v>0</v>
      </c>
      <c r="AZ32" s="451">
        <v>331148</v>
      </c>
      <c r="BA32" s="451">
        <v>0</v>
      </c>
      <c r="BB32" s="451">
        <v>0</v>
      </c>
      <c r="BC32" s="451">
        <v>0</v>
      </c>
      <c r="BD32" s="451">
        <v>0</v>
      </c>
      <c r="BE32" s="451">
        <v>0</v>
      </c>
      <c r="BF32" s="451">
        <v>153850</v>
      </c>
      <c r="BG32" s="451">
        <v>123080</v>
      </c>
      <c r="BH32" s="451">
        <v>30770</v>
      </c>
      <c r="BI32" s="451">
        <v>0</v>
      </c>
      <c r="BJ32" s="451">
        <v>307700</v>
      </c>
      <c r="BK32" s="451">
        <v>153850</v>
      </c>
      <c r="BL32" s="451">
        <v>123080</v>
      </c>
      <c r="BM32" s="451">
        <v>30770</v>
      </c>
      <c r="BN32" s="451">
        <v>0</v>
      </c>
      <c r="BO32" s="451">
        <v>307700</v>
      </c>
      <c r="BP32" s="451">
        <v>0</v>
      </c>
      <c r="BQ32" s="451">
        <v>0</v>
      </c>
      <c r="BR32" s="451">
        <v>0</v>
      </c>
      <c r="BS32" s="451">
        <v>0</v>
      </c>
      <c r="BT32" s="451">
        <v>0</v>
      </c>
      <c r="BU32" s="451">
        <v>552007</v>
      </c>
      <c r="BV32" s="451">
        <v>441605</v>
      </c>
      <c r="BW32" s="451">
        <v>110401</v>
      </c>
      <c r="BX32" s="451">
        <v>0</v>
      </c>
      <c r="BY32" s="451">
        <v>1104013</v>
      </c>
      <c r="BZ32" s="451">
        <v>552007</v>
      </c>
      <c r="CA32" s="451">
        <v>441605</v>
      </c>
      <c r="CB32" s="451">
        <v>110401</v>
      </c>
      <c r="CC32" s="451">
        <v>0</v>
      </c>
      <c r="CD32" s="451">
        <v>1104013</v>
      </c>
      <c r="CE32" s="104"/>
      <c r="CF32" s="104"/>
      <c r="CG32" s="104"/>
    </row>
    <row r="33" spans="1:85" ht="12.75" x14ac:dyDescent="0.2">
      <c r="A33" s="446">
        <v>26</v>
      </c>
      <c r="B33" s="447" t="s">
        <v>633</v>
      </c>
      <c r="C33" s="448" t="s">
        <v>794</v>
      </c>
      <c r="D33" s="449" t="s">
        <v>1102</v>
      </c>
      <c r="E33" s="450" t="s">
        <v>711</v>
      </c>
      <c r="F33" s="451">
        <v>29675544</v>
      </c>
      <c r="G33" s="451">
        <v>29082033</v>
      </c>
      <c r="H33" s="451">
        <v>0</v>
      </c>
      <c r="I33" s="451">
        <v>593511</v>
      </c>
      <c r="J33" s="451">
        <v>59351088</v>
      </c>
      <c r="K33" s="451">
        <v>0</v>
      </c>
      <c r="L33" s="451">
        <v>0</v>
      </c>
      <c r="M33" s="451">
        <v>29675544</v>
      </c>
      <c r="N33" s="451">
        <v>59351088</v>
      </c>
      <c r="O33" s="451">
        <v>305765</v>
      </c>
      <c r="P33" s="451">
        <v>305765</v>
      </c>
      <c r="Q33" s="451">
        <v>0</v>
      </c>
      <c r="R33" s="451">
        <v>0</v>
      </c>
      <c r="S33" s="451">
        <v>0</v>
      </c>
      <c r="T33" s="451">
        <v>0</v>
      </c>
      <c r="U33" s="451">
        <v>360</v>
      </c>
      <c r="V33" s="451">
        <v>0</v>
      </c>
      <c r="W33" s="451">
        <v>360</v>
      </c>
      <c r="X33" s="451">
        <v>0</v>
      </c>
      <c r="Y33" s="451">
        <v>0</v>
      </c>
      <c r="Z33" s="451">
        <v>0</v>
      </c>
      <c r="AA33" s="451">
        <v>0</v>
      </c>
      <c r="AB33" s="451">
        <v>1477816</v>
      </c>
      <c r="AC33" s="451">
        <v>1448260</v>
      </c>
      <c r="AD33" s="451">
        <v>0</v>
      </c>
      <c r="AE33" s="451">
        <v>29556</v>
      </c>
      <c r="AF33" s="451">
        <v>2955632</v>
      </c>
      <c r="AG33" s="451">
        <v>363494</v>
      </c>
      <c r="AH33" s="451">
        <v>356224</v>
      </c>
      <c r="AI33" s="451">
        <v>0</v>
      </c>
      <c r="AJ33" s="451">
        <v>7270</v>
      </c>
      <c r="AK33" s="451">
        <v>726988</v>
      </c>
      <c r="AL33" s="451">
        <v>815618</v>
      </c>
      <c r="AM33" s="451">
        <v>799306</v>
      </c>
      <c r="AN33" s="451">
        <v>0</v>
      </c>
      <c r="AO33" s="451">
        <v>16312</v>
      </c>
      <c r="AP33" s="451">
        <v>1631236</v>
      </c>
      <c r="AQ33" s="451">
        <v>-108611</v>
      </c>
      <c r="AR33" s="451">
        <v>-106438</v>
      </c>
      <c r="AS33" s="451">
        <v>0</v>
      </c>
      <c r="AT33" s="451">
        <v>-2172</v>
      </c>
      <c r="AU33" s="451">
        <v>-217221</v>
      </c>
      <c r="AV33" s="451">
        <v>707007</v>
      </c>
      <c r="AW33" s="451">
        <v>692868</v>
      </c>
      <c r="AX33" s="451">
        <v>0</v>
      </c>
      <c r="AY33" s="451">
        <v>14140</v>
      </c>
      <c r="AZ33" s="451">
        <v>1414015</v>
      </c>
      <c r="BA33" s="451">
        <v>0</v>
      </c>
      <c r="BB33" s="451">
        <v>0</v>
      </c>
      <c r="BC33" s="451">
        <v>0</v>
      </c>
      <c r="BD33" s="451">
        <v>0</v>
      </c>
      <c r="BE33" s="451">
        <v>0</v>
      </c>
      <c r="BF33" s="451">
        <v>375000</v>
      </c>
      <c r="BG33" s="451">
        <v>367500</v>
      </c>
      <c r="BH33" s="451">
        <v>0</v>
      </c>
      <c r="BI33" s="451">
        <v>7500</v>
      </c>
      <c r="BJ33" s="451">
        <v>750000</v>
      </c>
      <c r="BK33" s="451">
        <v>375000</v>
      </c>
      <c r="BL33" s="451">
        <v>367500</v>
      </c>
      <c r="BM33" s="451">
        <v>0</v>
      </c>
      <c r="BN33" s="451">
        <v>7500</v>
      </c>
      <c r="BO33" s="451">
        <v>750000</v>
      </c>
      <c r="BP33" s="451">
        <v>0</v>
      </c>
      <c r="BQ33" s="451">
        <v>0</v>
      </c>
      <c r="BR33" s="451">
        <v>0</v>
      </c>
      <c r="BS33" s="451">
        <v>0</v>
      </c>
      <c r="BT33" s="451">
        <v>0</v>
      </c>
      <c r="BU33" s="451">
        <v>1000000</v>
      </c>
      <c r="BV33" s="451">
        <v>980000</v>
      </c>
      <c r="BW33" s="451">
        <v>0</v>
      </c>
      <c r="BX33" s="451">
        <v>20000</v>
      </c>
      <c r="BY33" s="451">
        <v>2000000</v>
      </c>
      <c r="BZ33" s="451">
        <v>1000000</v>
      </c>
      <c r="CA33" s="451">
        <v>980000</v>
      </c>
      <c r="CB33" s="451">
        <v>0</v>
      </c>
      <c r="CC33" s="451">
        <v>20000</v>
      </c>
      <c r="CD33" s="451">
        <v>2000000</v>
      </c>
      <c r="CE33" s="104"/>
      <c r="CF33" s="104"/>
      <c r="CG33" s="104"/>
    </row>
    <row r="34" spans="1:85" ht="12.75" x14ac:dyDescent="0.2">
      <c r="A34" s="446">
        <v>27</v>
      </c>
      <c r="B34" s="447" t="s">
        <v>635</v>
      </c>
      <c r="C34" s="448" t="s">
        <v>794</v>
      </c>
      <c r="D34" s="449" t="s">
        <v>1094</v>
      </c>
      <c r="E34" s="450" t="s">
        <v>712</v>
      </c>
      <c r="F34" s="451">
        <v>32691113</v>
      </c>
      <c r="G34" s="451">
        <v>32037291</v>
      </c>
      <c r="H34" s="451">
        <v>0</v>
      </c>
      <c r="I34" s="451">
        <v>653822</v>
      </c>
      <c r="J34" s="451">
        <v>65382226</v>
      </c>
      <c r="K34" s="451">
        <v>0</v>
      </c>
      <c r="L34" s="451">
        <v>0</v>
      </c>
      <c r="M34" s="451">
        <v>32691113</v>
      </c>
      <c r="N34" s="451">
        <v>65382226</v>
      </c>
      <c r="O34" s="451">
        <v>143520</v>
      </c>
      <c r="P34" s="451">
        <v>143520</v>
      </c>
      <c r="Q34" s="451">
        <v>0</v>
      </c>
      <c r="R34" s="451">
        <v>0</v>
      </c>
      <c r="S34" s="451">
        <v>0</v>
      </c>
      <c r="T34" s="451">
        <v>0</v>
      </c>
      <c r="U34" s="451">
        <v>730</v>
      </c>
      <c r="V34" s="451">
        <v>0</v>
      </c>
      <c r="W34" s="451">
        <v>730</v>
      </c>
      <c r="X34" s="451">
        <v>0</v>
      </c>
      <c r="Y34" s="451">
        <v>0</v>
      </c>
      <c r="Z34" s="451">
        <v>0</v>
      </c>
      <c r="AA34" s="451">
        <v>0</v>
      </c>
      <c r="AB34" s="451">
        <v>1368970</v>
      </c>
      <c r="AC34" s="451">
        <v>1341590</v>
      </c>
      <c r="AD34" s="451">
        <v>0</v>
      </c>
      <c r="AE34" s="451">
        <v>27379</v>
      </c>
      <c r="AF34" s="451">
        <v>2737939</v>
      </c>
      <c r="AG34" s="451">
        <v>646825</v>
      </c>
      <c r="AH34" s="451">
        <v>633889</v>
      </c>
      <c r="AI34" s="451">
        <v>0</v>
      </c>
      <c r="AJ34" s="451">
        <v>12937</v>
      </c>
      <c r="AK34" s="451">
        <v>1293651</v>
      </c>
      <c r="AL34" s="451">
        <v>760550</v>
      </c>
      <c r="AM34" s="451">
        <v>745339</v>
      </c>
      <c r="AN34" s="451">
        <v>0</v>
      </c>
      <c r="AO34" s="451">
        <v>15211</v>
      </c>
      <c r="AP34" s="451">
        <v>1521100</v>
      </c>
      <c r="AQ34" s="451">
        <v>-110900</v>
      </c>
      <c r="AR34" s="451">
        <v>-108682</v>
      </c>
      <c r="AS34" s="451">
        <v>0</v>
      </c>
      <c r="AT34" s="451">
        <v>-2218</v>
      </c>
      <c r="AU34" s="451">
        <v>-221800</v>
      </c>
      <c r="AV34" s="451">
        <v>649650</v>
      </c>
      <c r="AW34" s="451">
        <v>636657</v>
      </c>
      <c r="AX34" s="451">
        <v>0</v>
      </c>
      <c r="AY34" s="451">
        <v>12993</v>
      </c>
      <c r="AZ34" s="451">
        <v>1299300</v>
      </c>
      <c r="BA34" s="451">
        <v>0</v>
      </c>
      <c r="BB34" s="451">
        <v>0</v>
      </c>
      <c r="BC34" s="451">
        <v>0</v>
      </c>
      <c r="BD34" s="451">
        <v>0</v>
      </c>
      <c r="BE34" s="451">
        <v>0</v>
      </c>
      <c r="BF34" s="451">
        <v>395594</v>
      </c>
      <c r="BG34" s="451">
        <v>387683</v>
      </c>
      <c r="BH34" s="451">
        <v>0</v>
      </c>
      <c r="BI34" s="451">
        <v>7912</v>
      </c>
      <c r="BJ34" s="451">
        <v>791189</v>
      </c>
      <c r="BK34" s="451">
        <v>395594</v>
      </c>
      <c r="BL34" s="451">
        <v>387683</v>
      </c>
      <c r="BM34" s="451">
        <v>0</v>
      </c>
      <c r="BN34" s="451">
        <v>7912</v>
      </c>
      <c r="BO34" s="451">
        <v>791189</v>
      </c>
      <c r="BP34" s="451">
        <v>0</v>
      </c>
      <c r="BQ34" s="451">
        <v>0</v>
      </c>
      <c r="BR34" s="451">
        <v>0</v>
      </c>
      <c r="BS34" s="451">
        <v>0</v>
      </c>
      <c r="BT34" s="451">
        <v>0</v>
      </c>
      <c r="BU34" s="451">
        <v>1963029</v>
      </c>
      <c r="BV34" s="451">
        <v>1923768</v>
      </c>
      <c r="BW34" s="451">
        <v>0</v>
      </c>
      <c r="BX34" s="451">
        <v>39261</v>
      </c>
      <c r="BY34" s="451">
        <v>3926058</v>
      </c>
      <c r="BZ34" s="451">
        <v>1963029</v>
      </c>
      <c r="CA34" s="451">
        <v>1923768</v>
      </c>
      <c r="CB34" s="451">
        <v>0</v>
      </c>
      <c r="CC34" s="451">
        <v>39261</v>
      </c>
      <c r="CD34" s="451">
        <v>3926058</v>
      </c>
      <c r="CE34" s="104"/>
      <c r="CF34" s="104"/>
      <c r="CG34" s="104"/>
    </row>
    <row r="35" spans="1:85" ht="12.75" x14ac:dyDescent="0.2">
      <c r="A35" s="446">
        <v>28</v>
      </c>
      <c r="B35" s="447" t="s">
        <v>637</v>
      </c>
      <c r="C35" s="448" t="s">
        <v>1100</v>
      </c>
      <c r="D35" s="449" t="s">
        <v>1101</v>
      </c>
      <c r="E35" s="450" t="s">
        <v>636</v>
      </c>
      <c r="F35" s="451">
        <v>61267183</v>
      </c>
      <c r="G35" s="451">
        <v>60041840</v>
      </c>
      <c r="H35" s="451">
        <v>0</v>
      </c>
      <c r="I35" s="451">
        <v>1225344</v>
      </c>
      <c r="J35" s="451">
        <v>122534367</v>
      </c>
      <c r="K35" s="451">
        <v>0</v>
      </c>
      <c r="L35" s="451">
        <v>0</v>
      </c>
      <c r="M35" s="451">
        <v>61267183</v>
      </c>
      <c r="N35" s="451">
        <v>122534367</v>
      </c>
      <c r="O35" s="451">
        <v>734055</v>
      </c>
      <c r="P35" s="451">
        <v>734055</v>
      </c>
      <c r="Q35" s="451">
        <v>0</v>
      </c>
      <c r="R35" s="451">
        <v>0</v>
      </c>
      <c r="S35" s="451">
        <v>0</v>
      </c>
      <c r="T35" s="451">
        <v>0</v>
      </c>
      <c r="U35" s="451">
        <v>0</v>
      </c>
      <c r="V35" s="451">
        <v>0</v>
      </c>
      <c r="W35" s="451">
        <v>0</v>
      </c>
      <c r="X35" s="451">
        <v>0</v>
      </c>
      <c r="Y35" s="451">
        <v>0</v>
      </c>
      <c r="Z35" s="451">
        <v>0</v>
      </c>
      <c r="AA35" s="451">
        <v>0</v>
      </c>
      <c r="AB35" s="451">
        <v>5107571</v>
      </c>
      <c r="AC35" s="451">
        <v>5005420</v>
      </c>
      <c r="AD35" s="451">
        <v>0</v>
      </c>
      <c r="AE35" s="451">
        <v>102151</v>
      </c>
      <c r="AF35" s="451">
        <v>10215142</v>
      </c>
      <c r="AG35" s="451">
        <v>483613</v>
      </c>
      <c r="AH35" s="451">
        <v>473941</v>
      </c>
      <c r="AI35" s="451">
        <v>0</v>
      </c>
      <c r="AJ35" s="451">
        <v>9672</v>
      </c>
      <c r="AK35" s="451">
        <v>967226</v>
      </c>
      <c r="AL35" s="451">
        <v>2187312</v>
      </c>
      <c r="AM35" s="451">
        <v>2143565</v>
      </c>
      <c r="AN35" s="451">
        <v>0</v>
      </c>
      <c r="AO35" s="451">
        <v>43746</v>
      </c>
      <c r="AP35" s="451">
        <v>4374623</v>
      </c>
      <c r="AQ35" s="451">
        <v>323491</v>
      </c>
      <c r="AR35" s="451">
        <v>317021</v>
      </c>
      <c r="AS35" s="451">
        <v>0</v>
      </c>
      <c r="AT35" s="451">
        <v>6470</v>
      </c>
      <c r="AU35" s="451">
        <v>646982</v>
      </c>
      <c r="AV35" s="451">
        <v>2510803</v>
      </c>
      <c r="AW35" s="451">
        <v>2460586</v>
      </c>
      <c r="AX35" s="451">
        <v>0</v>
      </c>
      <c r="AY35" s="451">
        <v>50216</v>
      </c>
      <c r="AZ35" s="451">
        <v>5021605</v>
      </c>
      <c r="BA35" s="451">
        <v>0</v>
      </c>
      <c r="BB35" s="451">
        <v>0</v>
      </c>
      <c r="BC35" s="451">
        <v>0</v>
      </c>
      <c r="BD35" s="451">
        <v>0</v>
      </c>
      <c r="BE35" s="451">
        <v>0</v>
      </c>
      <c r="BF35" s="451">
        <v>1632580</v>
      </c>
      <c r="BG35" s="451">
        <v>1599928</v>
      </c>
      <c r="BH35" s="451">
        <v>0</v>
      </c>
      <c r="BI35" s="451">
        <v>32652</v>
      </c>
      <c r="BJ35" s="451">
        <v>3265160</v>
      </c>
      <c r="BK35" s="451">
        <v>1632580</v>
      </c>
      <c r="BL35" s="451">
        <v>1599928</v>
      </c>
      <c r="BM35" s="451">
        <v>0</v>
      </c>
      <c r="BN35" s="451">
        <v>32652</v>
      </c>
      <c r="BO35" s="451">
        <v>3265160</v>
      </c>
      <c r="BP35" s="451">
        <v>0</v>
      </c>
      <c r="BQ35" s="451">
        <v>0</v>
      </c>
      <c r="BR35" s="451">
        <v>0</v>
      </c>
      <c r="BS35" s="451">
        <v>0</v>
      </c>
      <c r="BT35" s="451">
        <v>0</v>
      </c>
      <c r="BU35" s="451">
        <v>4533765</v>
      </c>
      <c r="BV35" s="451">
        <v>4443090</v>
      </c>
      <c r="BW35" s="451">
        <v>0</v>
      </c>
      <c r="BX35" s="451">
        <v>90675</v>
      </c>
      <c r="BY35" s="451">
        <v>9067530</v>
      </c>
      <c r="BZ35" s="451">
        <v>4533765</v>
      </c>
      <c r="CA35" s="451">
        <v>4443090</v>
      </c>
      <c r="CB35" s="451">
        <v>0</v>
      </c>
      <c r="CC35" s="451">
        <v>90675</v>
      </c>
      <c r="CD35" s="451">
        <v>9067530</v>
      </c>
      <c r="CE35" s="104"/>
      <c r="CF35" s="104"/>
      <c r="CG35" s="104"/>
    </row>
    <row r="36" spans="1:85" ht="12.75" x14ac:dyDescent="0.2">
      <c r="A36" s="446">
        <v>29</v>
      </c>
      <c r="B36" s="447" t="s">
        <v>639</v>
      </c>
      <c r="C36" s="448" t="s">
        <v>1093</v>
      </c>
      <c r="D36" s="449" t="s">
        <v>1097</v>
      </c>
      <c r="E36" s="450" t="s">
        <v>638</v>
      </c>
      <c r="F36" s="451">
        <v>19232677</v>
      </c>
      <c r="G36" s="451">
        <v>15386142</v>
      </c>
      <c r="H36" s="451">
        <v>3461882</v>
      </c>
      <c r="I36" s="451">
        <v>384654</v>
      </c>
      <c r="J36" s="451">
        <v>38465355</v>
      </c>
      <c r="K36" s="451">
        <v>0</v>
      </c>
      <c r="L36" s="451">
        <v>0</v>
      </c>
      <c r="M36" s="451">
        <v>19232677</v>
      </c>
      <c r="N36" s="451">
        <v>38465355</v>
      </c>
      <c r="O36" s="451">
        <v>186394</v>
      </c>
      <c r="P36" s="451">
        <v>186394</v>
      </c>
      <c r="Q36" s="451">
        <v>0</v>
      </c>
      <c r="R36" s="451">
        <v>0</v>
      </c>
      <c r="S36" s="451">
        <v>0</v>
      </c>
      <c r="T36" s="451">
        <v>0</v>
      </c>
      <c r="U36" s="451">
        <v>0</v>
      </c>
      <c r="V36" s="451">
        <v>0</v>
      </c>
      <c r="W36" s="451">
        <v>0</v>
      </c>
      <c r="X36" s="451">
        <v>0</v>
      </c>
      <c r="Y36" s="451">
        <v>0</v>
      </c>
      <c r="Z36" s="451">
        <v>0</v>
      </c>
      <c r="AA36" s="451">
        <v>0</v>
      </c>
      <c r="AB36" s="451">
        <v>660489</v>
      </c>
      <c r="AC36" s="451">
        <v>528391</v>
      </c>
      <c r="AD36" s="451">
        <v>118888</v>
      </c>
      <c r="AE36" s="451">
        <v>13210</v>
      </c>
      <c r="AF36" s="451">
        <v>1320978</v>
      </c>
      <c r="AG36" s="451">
        <v>353625</v>
      </c>
      <c r="AH36" s="451">
        <v>282899</v>
      </c>
      <c r="AI36" s="451">
        <v>63652</v>
      </c>
      <c r="AJ36" s="451">
        <v>7072</v>
      </c>
      <c r="AK36" s="451">
        <v>707248</v>
      </c>
      <c r="AL36" s="451">
        <v>210911</v>
      </c>
      <c r="AM36" s="451">
        <v>168728</v>
      </c>
      <c r="AN36" s="451">
        <v>37964</v>
      </c>
      <c r="AO36" s="451">
        <v>4218</v>
      </c>
      <c r="AP36" s="451">
        <v>421821</v>
      </c>
      <c r="AQ36" s="451">
        <v>-8971</v>
      </c>
      <c r="AR36" s="451">
        <v>-7176</v>
      </c>
      <c r="AS36" s="451">
        <v>-1615</v>
      </c>
      <c r="AT36" s="451">
        <v>-179</v>
      </c>
      <c r="AU36" s="451">
        <v>-17941</v>
      </c>
      <c r="AV36" s="451">
        <v>201940</v>
      </c>
      <c r="AW36" s="451">
        <v>161552</v>
      </c>
      <c r="AX36" s="451">
        <v>36349</v>
      </c>
      <c r="AY36" s="451">
        <v>4039</v>
      </c>
      <c r="AZ36" s="451">
        <v>403880</v>
      </c>
      <c r="BA36" s="451">
        <v>0</v>
      </c>
      <c r="BB36" s="451">
        <v>0</v>
      </c>
      <c r="BC36" s="451">
        <v>0</v>
      </c>
      <c r="BD36" s="451">
        <v>0</v>
      </c>
      <c r="BE36" s="451">
        <v>0</v>
      </c>
      <c r="BF36" s="451">
        <v>196500</v>
      </c>
      <c r="BG36" s="451">
        <v>157200</v>
      </c>
      <c r="BH36" s="451">
        <v>35370</v>
      </c>
      <c r="BI36" s="451">
        <v>3930</v>
      </c>
      <c r="BJ36" s="451">
        <v>393000</v>
      </c>
      <c r="BK36" s="451">
        <v>196500</v>
      </c>
      <c r="BL36" s="451">
        <v>157200</v>
      </c>
      <c r="BM36" s="451">
        <v>35370</v>
      </c>
      <c r="BN36" s="451">
        <v>3930</v>
      </c>
      <c r="BO36" s="451">
        <v>393000</v>
      </c>
      <c r="BP36" s="451">
        <v>0</v>
      </c>
      <c r="BQ36" s="451">
        <v>0</v>
      </c>
      <c r="BR36" s="451">
        <v>0</v>
      </c>
      <c r="BS36" s="451">
        <v>0</v>
      </c>
      <c r="BT36" s="451">
        <v>0</v>
      </c>
      <c r="BU36" s="451">
        <v>478500</v>
      </c>
      <c r="BV36" s="451">
        <v>382800</v>
      </c>
      <c r="BW36" s="451">
        <v>86130</v>
      </c>
      <c r="BX36" s="451">
        <v>9570</v>
      </c>
      <c r="BY36" s="451">
        <v>957000</v>
      </c>
      <c r="BZ36" s="451">
        <v>478500</v>
      </c>
      <c r="CA36" s="451">
        <v>382800</v>
      </c>
      <c r="CB36" s="451">
        <v>86130</v>
      </c>
      <c r="CC36" s="451">
        <v>9570</v>
      </c>
      <c r="CD36" s="451">
        <v>957000</v>
      </c>
      <c r="CE36" s="104"/>
      <c r="CF36" s="104"/>
      <c r="CG36" s="104"/>
    </row>
    <row r="37" spans="1:85" ht="12.75" x14ac:dyDescent="0.2">
      <c r="A37" s="446">
        <v>30</v>
      </c>
      <c r="B37" s="447" t="s">
        <v>641</v>
      </c>
      <c r="C37" s="448" t="s">
        <v>1093</v>
      </c>
      <c r="D37" s="449" t="s">
        <v>1097</v>
      </c>
      <c r="E37" s="450" t="s">
        <v>640</v>
      </c>
      <c r="F37" s="451">
        <v>13715639</v>
      </c>
      <c r="G37" s="451">
        <v>10972511</v>
      </c>
      <c r="H37" s="451">
        <v>2743128</v>
      </c>
      <c r="I37" s="451">
        <v>0</v>
      </c>
      <c r="J37" s="451">
        <v>27431278</v>
      </c>
      <c r="K37" s="451">
        <v>0</v>
      </c>
      <c r="L37" s="451">
        <v>0</v>
      </c>
      <c r="M37" s="451">
        <v>13715639</v>
      </c>
      <c r="N37" s="451">
        <v>27431278</v>
      </c>
      <c r="O37" s="451">
        <v>167038</v>
      </c>
      <c r="P37" s="451">
        <v>167038</v>
      </c>
      <c r="Q37" s="451">
        <v>0</v>
      </c>
      <c r="R37" s="451">
        <v>0</v>
      </c>
      <c r="S37" s="451">
        <v>0</v>
      </c>
      <c r="T37" s="451">
        <v>0</v>
      </c>
      <c r="U37" s="451">
        <v>29673</v>
      </c>
      <c r="V37" s="451">
        <v>0</v>
      </c>
      <c r="W37" s="451">
        <v>29673</v>
      </c>
      <c r="X37" s="451">
        <v>0</v>
      </c>
      <c r="Y37" s="451">
        <v>0</v>
      </c>
      <c r="Z37" s="451">
        <v>0</v>
      </c>
      <c r="AA37" s="451">
        <v>0</v>
      </c>
      <c r="AB37" s="451">
        <v>384489.1</v>
      </c>
      <c r="AC37" s="451">
        <v>307591</v>
      </c>
      <c r="AD37" s="451">
        <v>76898</v>
      </c>
      <c r="AE37" s="451">
        <v>0</v>
      </c>
      <c r="AF37" s="451">
        <v>768978.1</v>
      </c>
      <c r="AG37" s="451">
        <v>45185.84</v>
      </c>
      <c r="AH37" s="451">
        <v>36148</v>
      </c>
      <c r="AI37" s="451">
        <v>9037</v>
      </c>
      <c r="AJ37" s="451">
        <v>0</v>
      </c>
      <c r="AK37" s="451">
        <v>90370.84</v>
      </c>
      <c r="AL37" s="451">
        <v>100522</v>
      </c>
      <c r="AM37" s="451">
        <v>80418</v>
      </c>
      <c r="AN37" s="451">
        <v>20104</v>
      </c>
      <c r="AO37" s="451">
        <v>0</v>
      </c>
      <c r="AP37" s="451">
        <v>201044</v>
      </c>
      <c r="AQ37" s="451">
        <v>23354.54</v>
      </c>
      <c r="AR37" s="451">
        <v>18683</v>
      </c>
      <c r="AS37" s="451">
        <v>4671</v>
      </c>
      <c r="AT37" s="451">
        <v>0</v>
      </c>
      <c r="AU37" s="451">
        <v>46708.54</v>
      </c>
      <c r="AV37" s="451">
        <v>123876.54</v>
      </c>
      <c r="AW37" s="451">
        <v>99101</v>
      </c>
      <c r="AX37" s="451">
        <v>24775</v>
      </c>
      <c r="AY37" s="451">
        <v>0</v>
      </c>
      <c r="AZ37" s="451">
        <v>247752.54</v>
      </c>
      <c r="BA37" s="451">
        <v>0</v>
      </c>
      <c r="BB37" s="451">
        <v>0</v>
      </c>
      <c r="BC37" s="451">
        <v>0</v>
      </c>
      <c r="BD37" s="451">
        <v>0</v>
      </c>
      <c r="BE37" s="451">
        <v>0</v>
      </c>
      <c r="BF37" s="451">
        <v>259852</v>
      </c>
      <c r="BG37" s="451">
        <v>207882</v>
      </c>
      <c r="BH37" s="451">
        <v>51970</v>
      </c>
      <c r="BI37" s="451">
        <v>0</v>
      </c>
      <c r="BJ37" s="451">
        <v>519704</v>
      </c>
      <c r="BK37" s="451">
        <v>259852</v>
      </c>
      <c r="BL37" s="451">
        <v>207882</v>
      </c>
      <c r="BM37" s="451">
        <v>51970</v>
      </c>
      <c r="BN37" s="451">
        <v>0</v>
      </c>
      <c r="BO37" s="451">
        <v>519704</v>
      </c>
      <c r="BP37" s="451">
        <v>0</v>
      </c>
      <c r="BQ37" s="451">
        <v>0</v>
      </c>
      <c r="BR37" s="451">
        <v>0</v>
      </c>
      <c r="BS37" s="451">
        <v>0</v>
      </c>
      <c r="BT37" s="451">
        <v>0</v>
      </c>
      <c r="BU37" s="451">
        <v>632308</v>
      </c>
      <c r="BV37" s="451">
        <v>505847</v>
      </c>
      <c r="BW37" s="451">
        <v>126462</v>
      </c>
      <c r="BX37" s="451">
        <v>0</v>
      </c>
      <c r="BY37" s="451">
        <v>1264617</v>
      </c>
      <c r="BZ37" s="451">
        <v>632308</v>
      </c>
      <c r="CA37" s="451">
        <v>505847</v>
      </c>
      <c r="CB37" s="451">
        <v>126462</v>
      </c>
      <c r="CC37" s="451">
        <v>0</v>
      </c>
      <c r="CD37" s="451">
        <v>1264617</v>
      </c>
      <c r="CE37" s="104"/>
      <c r="CF37" s="104"/>
      <c r="CG37" s="104"/>
    </row>
    <row r="38" spans="1:85" ht="12.75" x14ac:dyDescent="0.2">
      <c r="A38" s="446">
        <v>31</v>
      </c>
      <c r="B38" s="447" t="s">
        <v>643</v>
      </c>
      <c r="C38" s="448" t="s">
        <v>1098</v>
      </c>
      <c r="D38" s="449" t="s">
        <v>1099</v>
      </c>
      <c r="E38" s="450" t="s">
        <v>642</v>
      </c>
      <c r="F38" s="451">
        <v>50586367</v>
      </c>
      <c r="G38" s="451">
        <v>30351820</v>
      </c>
      <c r="H38" s="451">
        <v>20234547</v>
      </c>
      <c r="I38" s="451">
        <v>0</v>
      </c>
      <c r="J38" s="451">
        <v>101172734</v>
      </c>
      <c r="K38" s="451">
        <v>0</v>
      </c>
      <c r="L38" s="451">
        <v>0</v>
      </c>
      <c r="M38" s="451">
        <v>50586367</v>
      </c>
      <c r="N38" s="451">
        <v>101172734</v>
      </c>
      <c r="O38" s="451">
        <v>416951</v>
      </c>
      <c r="P38" s="451">
        <v>416951</v>
      </c>
      <c r="Q38" s="451">
        <v>0</v>
      </c>
      <c r="R38" s="451">
        <v>0</v>
      </c>
      <c r="S38" s="451">
        <v>0</v>
      </c>
      <c r="T38" s="451">
        <v>0</v>
      </c>
      <c r="U38" s="451">
        <v>0</v>
      </c>
      <c r="V38" s="451">
        <v>0</v>
      </c>
      <c r="W38" s="451">
        <v>0</v>
      </c>
      <c r="X38" s="451">
        <v>0</v>
      </c>
      <c r="Y38" s="451">
        <v>0</v>
      </c>
      <c r="Z38" s="451">
        <v>0</v>
      </c>
      <c r="AA38" s="451">
        <v>0</v>
      </c>
      <c r="AB38" s="451">
        <v>2795052</v>
      </c>
      <c r="AC38" s="451">
        <v>1677032</v>
      </c>
      <c r="AD38" s="451">
        <v>1118021</v>
      </c>
      <c r="AE38" s="451">
        <v>0</v>
      </c>
      <c r="AF38" s="451">
        <v>5590105</v>
      </c>
      <c r="AG38" s="451">
        <v>1475462</v>
      </c>
      <c r="AH38" s="451">
        <v>885277</v>
      </c>
      <c r="AI38" s="451">
        <v>590185</v>
      </c>
      <c r="AJ38" s="451">
        <v>0</v>
      </c>
      <c r="AK38" s="451">
        <v>2950924</v>
      </c>
      <c r="AL38" s="451">
        <v>0</v>
      </c>
      <c r="AM38" s="451">
        <v>0</v>
      </c>
      <c r="AN38" s="451">
        <v>0</v>
      </c>
      <c r="AO38" s="451">
        <v>0</v>
      </c>
      <c r="AP38" s="451">
        <v>0</v>
      </c>
      <c r="AQ38" s="451">
        <v>-95689</v>
      </c>
      <c r="AR38" s="451">
        <v>-57413</v>
      </c>
      <c r="AS38" s="451">
        <v>-38276</v>
      </c>
      <c r="AT38" s="451">
        <v>0</v>
      </c>
      <c r="AU38" s="451">
        <v>-191378</v>
      </c>
      <c r="AV38" s="451">
        <v>-95689</v>
      </c>
      <c r="AW38" s="451">
        <v>-57413</v>
      </c>
      <c r="AX38" s="451">
        <v>-38276</v>
      </c>
      <c r="AY38" s="451">
        <v>0</v>
      </c>
      <c r="AZ38" s="451">
        <v>-191378</v>
      </c>
      <c r="BA38" s="451">
        <v>0</v>
      </c>
      <c r="BB38" s="451">
        <v>0</v>
      </c>
      <c r="BC38" s="451">
        <v>0</v>
      </c>
      <c r="BD38" s="451">
        <v>0</v>
      </c>
      <c r="BE38" s="451">
        <v>0</v>
      </c>
      <c r="BF38" s="451">
        <v>807337</v>
      </c>
      <c r="BG38" s="451">
        <v>484402</v>
      </c>
      <c r="BH38" s="451">
        <v>322935</v>
      </c>
      <c r="BI38" s="451">
        <v>0</v>
      </c>
      <c r="BJ38" s="451">
        <v>1614674</v>
      </c>
      <c r="BK38" s="451">
        <v>807337</v>
      </c>
      <c r="BL38" s="451">
        <v>484402</v>
      </c>
      <c r="BM38" s="451">
        <v>322935</v>
      </c>
      <c r="BN38" s="451">
        <v>0</v>
      </c>
      <c r="BO38" s="451">
        <v>1614674</v>
      </c>
      <c r="BP38" s="451">
        <v>0</v>
      </c>
      <c r="BQ38" s="451">
        <v>0</v>
      </c>
      <c r="BR38" s="451">
        <v>0</v>
      </c>
      <c r="BS38" s="451">
        <v>0</v>
      </c>
      <c r="BT38" s="451">
        <v>0</v>
      </c>
      <c r="BU38" s="451">
        <v>2241167</v>
      </c>
      <c r="BV38" s="451">
        <v>1344700</v>
      </c>
      <c r="BW38" s="451">
        <v>896467</v>
      </c>
      <c r="BX38" s="451">
        <v>0</v>
      </c>
      <c r="BY38" s="451">
        <v>4482334</v>
      </c>
      <c r="BZ38" s="451">
        <v>2241167</v>
      </c>
      <c r="CA38" s="451">
        <v>1344700</v>
      </c>
      <c r="CB38" s="451">
        <v>896467</v>
      </c>
      <c r="CC38" s="451">
        <v>0</v>
      </c>
      <c r="CD38" s="451">
        <v>4482334</v>
      </c>
      <c r="CE38" s="104"/>
      <c r="CF38" s="104"/>
      <c r="CG38" s="104"/>
    </row>
    <row r="39" spans="1:85" ht="12.75" x14ac:dyDescent="0.2">
      <c r="A39" s="446">
        <v>32</v>
      </c>
      <c r="B39" s="447" t="s">
        <v>645</v>
      </c>
      <c r="C39" s="448" t="s">
        <v>1093</v>
      </c>
      <c r="D39" s="449" t="s">
        <v>1097</v>
      </c>
      <c r="E39" s="450" t="s">
        <v>644</v>
      </c>
      <c r="F39" s="451">
        <v>13352752</v>
      </c>
      <c r="G39" s="451">
        <v>10682202</v>
      </c>
      <c r="H39" s="451">
        <v>2403495</v>
      </c>
      <c r="I39" s="451">
        <v>267055</v>
      </c>
      <c r="J39" s="451">
        <v>26705504</v>
      </c>
      <c r="K39" s="451">
        <v>0</v>
      </c>
      <c r="L39" s="451">
        <v>0</v>
      </c>
      <c r="M39" s="451">
        <v>13352752</v>
      </c>
      <c r="N39" s="451">
        <v>26705504</v>
      </c>
      <c r="O39" s="451">
        <v>104553</v>
      </c>
      <c r="P39" s="451">
        <v>104553</v>
      </c>
      <c r="Q39" s="451">
        <v>0</v>
      </c>
      <c r="R39" s="451">
        <v>0</v>
      </c>
      <c r="S39" s="451">
        <v>0</v>
      </c>
      <c r="T39" s="451">
        <v>0</v>
      </c>
      <c r="U39" s="451">
        <v>0</v>
      </c>
      <c r="V39" s="451">
        <v>0</v>
      </c>
      <c r="W39" s="451">
        <v>0</v>
      </c>
      <c r="X39" s="451">
        <v>0</v>
      </c>
      <c r="Y39" s="451">
        <v>0</v>
      </c>
      <c r="Z39" s="451">
        <v>0</v>
      </c>
      <c r="AA39" s="451">
        <v>0</v>
      </c>
      <c r="AB39" s="451">
        <v>1069645</v>
      </c>
      <c r="AC39" s="451">
        <v>855716</v>
      </c>
      <c r="AD39" s="451">
        <v>192536</v>
      </c>
      <c r="AE39" s="451">
        <v>21393</v>
      </c>
      <c r="AF39" s="451">
        <v>2139290</v>
      </c>
      <c r="AG39" s="451">
        <v>224080</v>
      </c>
      <c r="AH39" s="451">
        <v>179264</v>
      </c>
      <c r="AI39" s="451">
        <v>40334</v>
      </c>
      <c r="AJ39" s="451">
        <v>4482</v>
      </c>
      <c r="AK39" s="451">
        <v>448160</v>
      </c>
      <c r="AL39" s="451">
        <v>0</v>
      </c>
      <c r="AM39" s="451">
        <v>0</v>
      </c>
      <c r="AN39" s="451">
        <v>0</v>
      </c>
      <c r="AO39" s="451">
        <v>0</v>
      </c>
      <c r="AP39" s="451">
        <v>0</v>
      </c>
      <c r="AQ39" s="451">
        <v>151044</v>
      </c>
      <c r="AR39" s="451">
        <v>120835</v>
      </c>
      <c r="AS39" s="451">
        <v>27188</v>
      </c>
      <c r="AT39" s="451">
        <v>3021</v>
      </c>
      <c r="AU39" s="451">
        <v>302088</v>
      </c>
      <c r="AV39" s="451">
        <v>151044</v>
      </c>
      <c r="AW39" s="451">
        <v>120835</v>
      </c>
      <c r="AX39" s="451">
        <v>27188</v>
      </c>
      <c r="AY39" s="451">
        <v>3021</v>
      </c>
      <c r="AZ39" s="451">
        <v>302088</v>
      </c>
      <c r="BA39" s="451">
        <v>0</v>
      </c>
      <c r="BB39" s="451">
        <v>0</v>
      </c>
      <c r="BC39" s="451">
        <v>0</v>
      </c>
      <c r="BD39" s="451">
        <v>0</v>
      </c>
      <c r="BE39" s="451">
        <v>0</v>
      </c>
      <c r="BF39" s="451">
        <v>274161</v>
      </c>
      <c r="BG39" s="451">
        <v>219328</v>
      </c>
      <c r="BH39" s="451">
        <v>49349</v>
      </c>
      <c r="BI39" s="451">
        <v>5483</v>
      </c>
      <c r="BJ39" s="451">
        <v>548321</v>
      </c>
      <c r="BK39" s="451">
        <v>274161</v>
      </c>
      <c r="BL39" s="451">
        <v>219328</v>
      </c>
      <c r="BM39" s="451">
        <v>49349</v>
      </c>
      <c r="BN39" s="451">
        <v>5483</v>
      </c>
      <c r="BO39" s="451">
        <v>548321</v>
      </c>
      <c r="BP39" s="451">
        <v>0</v>
      </c>
      <c r="BQ39" s="451">
        <v>0</v>
      </c>
      <c r="BR39" s="451">
        <v>0</v>
      </c>
      <c r="BS39" s="451">
        <v>0</v>
      </c>
      <c r="BT39" s="451">
        <v>0</v>
      </c>
      <c r="BU39" s="451">
        <v>753007</v>
      </c>
      <c r="BV39" s="451">
        <v>602405</v>
      </c>
      <c r="BW39" s="451">
        <v>135541</v>
      </c>
      <c r="BX39" s="451">
        <v>15060</v>
      </c>
      <c r="BY39" s="451">
        <v>1506013</v>
      </c>
      <c r="BZ39" s="451">
        <v>753007</v>
      </c>
      <c r="CA39" s="451">
        <v>602405</v>
      </c>
      <c r="CB39" s="451">
        <v>135541</v>
      </c>
      <c r="CC39" s="451">
        <v>15060</v>
      </c>
      <c r="CD39" s="451">
        <v>1506013</v>
      </c>
      <c r="CE39" s="104"/>
      <c r="CF39" s="104"/>
      <c r="CG39" s="104"/>
    </row>
    <row r="40" spans="1:85" ht="12.75" x14ac:dyDescent="0.2">
      <c r="A40" s="446">
        <v>33</v>
      </c>
      <c r="B40" s="447" t="s">
        <v>647</v>
      </c>
      <c r="C40" s="448" t="s">
        <v>794</v>
      </c>
      <c r="D40" s="449" t="s">
        <v>1094</v>
      </c>
      <c r="E40" s="450" t="s">
        <v>1111</v>
      </c>
      <c r="F40" s="451">
        <v>48769944</v>
      </c>
      <c r="G40" s="451">
        <v>47794545</v>
      </c>
      <c r="H40" s="451">
        <v>0</v>
      </c>
      <c r="I40" s="451">
        <v>975399</v>
      </c>
      <c r="J40" s="451">
        <v>97539888</v>
      </c>
      <c r="K40" s="451">
        <v>0</v>
      </c>
      <c r="L40" s="451">
        <v>0</v>
      </c>
      <c r="M40" s="451">
        <v>48769944</v>
      </c>
      <c r="N40" s="451">
        <v>97539888</v>
      </c>
      <c r="O40" s="451">
        <v>417809</v>
      </c>
      <c r="P40" s="451">
        <v>417809</v>
      </c>
      <c r="Q40" s="451">
        <v>0</v>
      </c>
      <c r="R40" s="451">
        <v>0</v>
      </c>
      <c r="S40" s="451">
        <v>0</v>
      </c>
      <c r="T40" s="451">
        <v>0</v>
      </c>
      <c r="U40" s="451">
        <v>0</v>
      </c>
      <c r="V40" s="451">
        <v>0</v>
      </c>
      <c r="W40" s="451">
        <v>0</v>
      </c>
      <c r="X40" s="451">
        <v>0</v>
      </c>
      <c r="Y40" s="451">
        <v>0</v>
      </c>
      <c r="Z40" s="451">
        <v>0</v>
      </c>
      <c r="AA40" s="451">
        <v>0</v>
      </c>
      <c r="AB40" s="451">
        <v>2208426</v>
      </c>
      <c r="AC40" s="451">
        <v>2164258</v>
      </c>
      <c r="AD40" s="451">
        <v>0</v>
      </c>
      <c r="AE40" s="451">
        <v>44169</v>
      </c>
      <c r="AF40" s="451">
        <v>4416853</v>
      </c>
      <c r="AG40" s="451">
        <v>1742575</v>
      </c>
      <c r="AH40" s="451">
        <v>1707723</v>
      </c>
      <c r="AI40" s="451">
        <v>0</v>
      </c>
      <c r="AJ40" s="451">
        <v>34851</v>
      </c>
      <c r="AK40" s="451">
        <v>3485149</v>
      </c>
      <c r="AL40" s="451">
        <v>1057874</v>
      </c>
      <c r="AM40" s="451">
        <v>1036717</v>
      </c>
      <c r="AN40" s="451">
        <v>0</v>
      </c>
      <c r="AO40" s="451">
        <v>21157</v>
      </c>
      <c r="AP40" s="451">
        <v>2115748</v>
      </c>
      <c r="AQ40" s="451">
        <v>88013</v>
      </c>
      <c r="AR40" s="451">
        <v>86252</v>
      </c>
      <c r="AS40" s="451">
        <v>0</v>
      </c>
      <c r="AT40" s="451">
        <v>1760</v>
      </c>
      <c r="AU40" s="451">
        <v>176025</v>
      </c>
      <c r="AV40" s="451">
        <v>1145887</v>
      </c>
      <c r="AW40" s="451">
        <v>1122969</v>
      </c>
      <c r="AX40" s="451">
        <v>0</v>
      </c>
      <c r="AY40" s="451">
        <v>22917</v>
      </c>
      <c r="AZ40" s="451">
        <v>2291773</v>
      </c>
      <c r="BA40" s="451">
        <v>0</v>
      </c>
      <c r="BB40" s="451">
        <v>0</v>
      </c>
      <c r="BC40" s="451">
        <v>0</v>
      </c>
      <c r="BD40" s="451">
        <v>0</v>
      </c>
      <c r="BE40" s="451">
        <v>0</v>
      </c>
      <c r="BF40" s="451">
        <v>1242126</v>
      </c>
      <c r="BG40" s="451">
        <v>1217284</v>
      </c>
      <c r="BH40" s="451">
        <v>0</v>
      </c>
      <c r="BI40" s="451">
        <v>24843</v>
      </c>
      <c r="BJ40" s="451">
        <v>2484253</v>
      </c>
      <c r="BK40" s="451">
        <v>1242126</v>
      </c>
      <c r="BL40" s="451">
        <v>1217284</v>
      </c>
      <c r="BM40" s="451">
        <v>0</v>
      </c>
      <c r="BN40" s="451">
        <v>24843</v>
      </c>
      <c r="BO40" s="451">
        <v>2484253</v>
      </c>
      <c r="BP40" s="451">
        <v>0</v>
      </c>
      <c r="BQ40" s="451">
        <v>0</v>
      </c>
      <c r="BR40" s="451">
        <v>0</v>
      </c>
      <c r="BS40" s="451">
        <v>0</v>
      </c>
      <c r="BT40" s="451">
        <v>0</v>
      </c>
      <c r="BU40" s="451">
        <v>1796824</v>
      </c>
      <c r="BV40" s="451">
        <v>1760888</v>
      </c>
      <c r="BW40" s="451">
        <v>0</v>
      </c>
      <c r="BX40" s="451">
        <v>35936</v>
      </c>
      <c r="BY40" s="451">
        <v>3593648</v>
      </c>
      <c r="BZ40" s="451">
        <v>1796824</v>
      </c>
      <c r="CA40" s="451">
        <v>1760888</v>
      </c>
      <c r="CB40" s="451">
        <v>0</v>
      </c>
      <c r="CC40" s="451">
        <v>35936</v>
      </c>
      <c r="CD40" s="451">
        <v>3593648</v>
      </c>
      <c r="CE40" s="104"/>
      <c r="CF40" s="104"/>
      <c r="CG40" s="104"/>
    </row>
    <row r="41" spans="1:85" ht="12.75" x14ac:dyDescent="0.2">
      <c r="A41" s="446">
        <v>34</v>
      </c>
      <c r="B41" s="447" t="s">
        <v>649</v>
      </c>
      <c r="C41" s="448" t="s">
        <v>794</v>
      </c>
      <c r="D41" s="449" t="s">
        <v>1102</v>
      </c>
      <c r="E41" s="450" t="s">
        <v>648</v>
      </c>
      <c r="F41" s="451">
        <v>95788671</v>
      </c>
      <c r="G41" s="451">
        <v>93872898</v>
      </c>
      <c r="H41" s="451">
        <v>0</v>
      </c>
      <c r="I41" s="451">
        <v>1915773</v>
      </c>
      <c r="J41" s="451">
        <v>191577342</v>
      </c>
      <c r="K41" s="451">
        <v>341768</v>
      </c>
      <c r="L41" s="451">
        <v>341768</v>
      </c>
      <c r="M41" s="451">
        <v>95446903</v>
      </c>
      <c r="N41" s="451">
        <v>191235574</v>
      </c>
      <c r="O41" s="451">
        <v>720617</v>
      </c>
      <c r="P41" s="451">
        <v>720617</v>
      </c>
      <c r="Q41" s="451">
        <v>0</v>
      </c>
      <c r="R41" s="451">
        <v>0</v>
      </c>
      <c r="S41" s="451">
        <v>0</v>
      </c>
      <c r="T41" s="451">
        <v>0</v>
      </c>
      <c r="U41" s="451">
        <v>221</v>
      </c>
      <c r="V41" s="451">
        <v>0</v>
      </c>
      <c r="W41" s="451">
        <v>221</v>
      </c>
      <c r="X41" s="451">
        <v>341768</v>
      </c>
      <c r="Y41" s="451">
        <v>0</v>
      </c>
      <c r="Z41" s="451">
        <v>0</v>
      </c>
      <c r="AA41" s="451">
        <v>341768</v>
      </c>
      <c r="AB41" s="451">
        <v>2192665</v>
      </c>
      <c r="AC41" s="451">
        <v>2148812</v>
      </c>
      <c r="AD41" s="451">
        <v>0</v>
      </c>
      <c r="AE41" s="451">
        <v>43853</v>
      </c>
      <c r="AF41" s="451">
        <v>4385330</v>
      </c>
      <c r="AG41" s="451">
        <v>1924958</v>
      </c>
      <c r="AH41" s="451">
        <v>1886459</v>
      </c>
      <c r="AI41" s="451">
        <v>0</v>
      </c>
      <c r="AJ41" s="451">
        <v>38499</v>
      </c>
      <c r="AK41" s="451">
        <v>3849916</v>
      </c>
      <c r="AL41" s="451">
        <v>730500</v>
      </c>
      <c r="AM41" s="451">
        <v>715890</v>
      </c>
      <c r="AN41" s="451">
        <v>0</v>
      </c>
      <c r="AO41" s="451">
        <v>14610</v>
      </c>
      <c r="AP41" s="451">
        <v>1461000</v>
      </c>
      <c r="AQ41" s="451">
        <v>371500</v>
      </c>
      <c r="AR41" s="451">
        <v>364070</v>
      </c>
      <c r="AS41" s="451">
        <v>0</v>
      </c>
      <c r="AT41" s="451">
        <v>7430</v>
      </c>
      <c r="AU41" s="451">
        <v>743000</v>
      </c>
      <c r="AV41" s="451">
        <v>1102000</v>
      </c>
      <c r="AW41" s="451">
        <v>1079960</v>
      </c>
      <c r="AX41" s="451">
        <v>0</v>
      </c>
      <c r="AY41" s="451">
        <v>22040</v>
      </c>
      <c r="AZ41" s="451">
        <v>2204000</v>
      </c>
      <c r="BA41" s="451">
        <v>0</v>
      </c>
      <c r="BB41" s="451">
        <v>0</v>
      </c>
      <c r="BC41" s="451">
        <v>0</v>
      </c>
      <c r="BD41" s="451">
        <v>0</v>
      </c>
      <c r="BE41" s="451">
        <v>0</v>
      </c>
      <c r="BF41" s="451">
        <v>1921000</v>
      </c>
      <c r="BG41" s="451">
        <v>1882580</v>
      </c>
      <c r="BH41" s="451">
        <v>0</v>
      </c>
      <c r="BI41" s="451">
        <v>38420</v>
      </c>
      <c r="BJ41" s="451">
        <v>3842000</v>
      </c>
      <c r="BK41" s="451">
        <v>1921000</v>
      </c>
      <c r="BL41" s="451">
        <v>1882580</v>
      </c>
      <c r="BM41" s="451">
        <v>0</v>
      </c>
      <c r="BN41" s="451">
        <v>38420</v>
      </c>
      <c r="BO41" s="451">
        <v>3842000</v>
      </c>
      <c r="BP41" s="451">
        <v>0</v>
      </c>
      <c r="BQ41" s="451">
        <v>0</v>
      </c>
      <c r="BR41" s="451">
        <v>0</v>
      </c>
      <c r="BS41" s="451">
        <v>0</v>
      </c>
      <c r="BT41" s="451">
        <v>0</v>
      </c>
      <c r="BU41" s="451">
        <v>5120000</v>
      </c>
      <c r="BV41" s="451">
        <v>5017600</v>
      </c>
      <c r="BW41" s="451">
        <v>0</v>
      </c>
      <c r="BX41" s="451">
        <v>102400</v>
      </c>
      <c r="BY41" s="451">
        <v>10240000</v>
      </c>
      <c r="BZ41" s="451">
        <v>5120000</v>
      </c>
      <c r="CA41" s="451">
        <v>5017600</v>
      </c>
      <c r="CB41" s="451">
        <v>0</v>
      </c>
      <c r="CC41" s="451">
        <v>102400</v>
      </c>
      <c r="CD41" s="451">
        <v>10240000</v>
      </c>
      <c r="CE41" s="104"/>
      <c r="CF41" s="104"/>
      <c r="CG41" s="104"/>
    </row>
    <row r="42" spans="1:85" ht="12.75" x14ac:dyDescent="0.2">
      <c r="A42" s="446">
        <v>35</v>
      </c>
      <c r="B42" s="447" t="s">
        <v>651</v>
      </c>
      <c r="C42" s="448" t="s">
        <v>1093</v>
      </c>
      <c r="D42" s="449" t="s">
        <v>1097</v>
      </c>
      <c r="E42" s="450" t="s">
        <v>650</v>
      </c>
      <c r="F42" s="451">
        <v>14257590</v>
      </c>
      <c r="G42" s="451">
        <v>11406072</v>
      </c>
      <c r="H42" s="451">
        <v>2851518</v>
      </c>
      <c r="I42" s="451">
        <v>0</v>
      </c>
      <c r="J42" s="451">
        <v>28515180</v>
      </c>
      <c r="K42" s="451">
        <v>0</v>
      </c>
      <c r="L42" s="451">
        <v>0</v>
      </c>
      <c r="M42" s="451">
        <v>14257590</v>
      </c>
      <c r="N42" s="451">
        <v>28515180</v>
      </c>
      <c r="O42" s="451">
        <v>136365</v>
      </c>
      <c r="P42" s="451">
        <v>136365</v>
      </c>
      <c r="Q42" s="451">
        <v>0</v>
      </c>
      <c r="R42" s="451">
        <v>0</v>
      </c>
      <c r="S42" s="451">
        <v>0</v>
      </c>
      <c r="T42" s="451">
        <v>0</v>
      </c>
      <c r="U42" s="451">
        <v>0</v>
      </c>
      <c r="V42" s="451">
        <v>0</v>
      </c>
      <c r="W42" s="451">
        <v>0</v>
      </c>
      <c r="X42" s="451">
        <v>0</v>
      </c>
      <c r="Y42" s="451">
        <v>0</v>
      </c>
      <c r="Z42" s="451">
        <v>0</v>
      </c>
      <c r="AA42" s="451">
        <v>0</v>
      </c>
      <c r="AB42" s="451">
        <v>135542</v>
      </c>
      <c r="AC42" s="451">
        <v>108434</v>
      </c>
      <c r="AD42" s="451">
        <v>27109</v>
      </c>
      <c r="AE42" s="451">
        <v>0</v>
      </c>
      <c r="AF42" s="451">
        <v>271085</v>
      </c>
      <c r="AG42" s="451">
        <v>315933</v>
      </c>
      <c r="AH42" s="451">
        <v>252746</v>
      </c>
      <c r="AI42" s="451">
        <v>63187</v>
      </c>
      <c r="AJ42" s="451">
        <v>0</v>
      </c>
      <c r="AK42" s="451">
        <v>631866</v>
      </c>
      <c r="AL42" s="451">
        <v>50487</v>
      </c>
      <c r="AM42" s="451">
        <v>40389</v>
      </c>
      <c r="AN42" s="451">
        <v>10097</v>
      </c>
      <c r="AO42" s="451">
        <v>0</v>
      </c>
      <c r="AP42" s="451">
        <v>100973</v>
      </c>
      <c r="AQ42" s="451">
        <v>6751</v>
      </c>
      <c r="AR42" s="451">
        <v>5400</v>
      </c>
      <c r="AS42" s="451">
        <v>1350</v>
      </c>
      <c r="AT42" s="451">
        <v>0</v>
      </c>
      <c r="AU42" s="451">
        <v>13501</v>
      </c>
      <c r="AV42" s="451">
        <v>57238</v>
      </c>
      <c r="AW42" s="451">
        <v>45789</v>
      </c>
      <c r="AX42" s="451">
        <v>11447</v>
      </c>
      <c r="AY42" s="451">
        <v>0</v>
      </c>
      <c r="AZ42" s="451">
        <v>114474</v>
      </c>
      <c r="BA42" s="451">
        <v>0</v>
      </c>
      <c r="BB42" s="451">
        <v>0</v>
      </c>
      <c r="BC42" s="451">
        <v>0</v>
      </c>
      <c r="BD42" s="451">
        <v>0</v>
      </c>
      <c r="BE42" s="451">
        <v>0</v>
      </c>
      <c r="BF42" s="451">
        <v>113810</v>
      </c>
      <c r="BG42" s="451">
        <v>91048</v>
      </c>
      <c r="BH42" s="451">
        <v>22762</v>
      </c>
      <c r="BI42" s="451">
        <v>0</v>
      </c>
      <c r="BJ42" s="451">
        <v>227620</v>
      </c>
      <c r="BK42" s="451">
        <v>113810</v>
      </c>
      <c r="BL42" s="451">
        <v>91048</v>
      </c>
      <c r="BM42" s="451">
        <v>22762</v>
      </c>
      <c r="BN42" s="451">
        <v>0</v>
      </c>
      <c r="BO42" s="451">
        <v>227620</v>
      </c>
      <c r="BP42" s="451">
        <v>0</v>
      </c>
      <c r="BQ42" s="451">
        <v>0</v>
      </c>
      <c r="BR42" s="451">
        <v>0</v>
      </c>
      <c r="BS42" s="451">
        <v>0</v>
      </c>
      <c r="BT42" s="451">
        <v>0</v>
      </c>
      <c r="BU42" s="451">
        <v>298607</v>
      </c>
      <c r="BV42" s="451">
        <v>238886</v>
      </c>
      <c r="BW42" s="451">
        <v>59721</v>
      </c>
      <c r="BX42" s="451">
        <v>0</v>
      </c>
      <c r="BY42" s="451">
        <v>597214</v>
      </c>
      <c r="BZ42" s="451">
        <v>298607</v>
      </c>
      <c r="CA42" s="451">
        <v>238886</v>
      </c>
      <c r="CB42" s="451">
        <v>59721</v>
      </c>
      <c r="CC42" s="451">
        <v>0</v>
      </c>
      <c r="CD42" s="451">
        <v>597214</v>
      </c>
      <c r="CE42" s="104"/>
      <c r="CF42" s="104"/>
      <c r="CG42" s="104"/>
    </row>
    <row r="43" spans="1:85" ht="12.75" x14ac:dyDescent="0.2">
      <c r="A43" s="446">
        <v>36</v>
      </c>
      <c r="B43" s="447" t="s">
        <v>653</v>
      </c>
      <c r="C43" s="448" t="s">
        <v>1098</v>
      </c>
      <c r="D43" s="449" t="s">
        <v>1099</v>
      </c>
      <c r="E43" s="450" t="s">
        <v>652</v>
      </c>
      <c r="F43" s="451">
        <v>41122464</v>
      </c>
      <c r="G43" s="451">
        <v>24673478</v>
      </c>
      <c r="H43" s="451">
        <v>16448986</v>
      </c>
      <c r="I43" s="451">
        <v>0</v>
      </c>
      <c r="J43" s="451">
        <v>82244928</v>
      </c>
      <c r="K43" s="451">
        <v>0</v>
      </c>
      <c r="L43" s="451">
        <v>0</v>
      </c>
      <c r="M43" s="451">
        <v>41122464</v>
      </c>
      <c r="N43" s="451">
        <v>82244928</v>
      </c>
      <c r="O43" s="451">
        <v>347530</v>
      </c>
      <c r="P43" s="451">
        <v>347530</v>
      </c>
      <c r="Q43" s="451">
        <v>0</v>
      </c>
      <c r="R43" s="451">
        <v>0</v>
      </c>
      <c r="S43" s="451">
        <v>0</v>
      </c>
      <c r="T43" s="451">
        <v>0</v>
      </c>
      <c r="U43" s="451">
        <v>0</v>
      </c>
      <c r="V43" s="451">
        <v>0</v>
      </c>
      <c r="W43" s="451">
        <v>0</v>
      </c>
      <c r="X43" s="451">
        <v>0</v>
      </c>
      <c r="Y43" s="451">
        <v>0</v>
      </c>
      <c r="Z43" s="451">
        <v>0</v>
      </c>
      <c r="AA43" s="451">
        <v>0</v>
      </c>
      <c r="AB43" s="451">
        <v>843604.39</v>
      </c>
      <c r="AC43" s="451">
        <v>506163</v>
      </c>
      <c r="AD43" s="451">
        <v>337442</v>
      </c>
      <c r="AE43" s="451">
        <v>0</v>
      </c>
      <c r="AF43" s="451">
        <v>1687209.39</v>
      </c>
      <c r="AG43" s="451">
        <v>1794662</v>
      </c>
      <c r="AH43" s="451">
        <v>1076797</v>
      </c>
      <c r="AI43" s="451">
        <v>717865</v>
      </c>
      <c r="AJ43" s="451">
        <v>0</v>
      </c>
      <c r="AK43" s="451">
        <v>3589324</v>
      </c>
      <c r="AL43" s="451">
        <v>331751</v>
      </c>
      <c r="AM43" s="451">
        <v>199051</v>
      </c>
      <c r="AN43" s="451">
        <v>132701</v>
      </c>
      <c r="AO43" s="451">
        <v>0</v>
      </c>
      <c r="AP43" s="451">
        <v>663503</v>
      </c>
      <c r="AQ43" s="451">
        <v>11077</v>
      </c>
      <c r="AR43" s="451">
        <v>6647</v>
      </c>
      <c r="AS43" s="451">
        <v>4431</v>
      </c>
      <c r="AT43" s="451">
        <v>0</v>
      </c>
      <c r="AU43" s="451">
        <v>22155</v>
      </c>
      <c r="AV43" s="451">
        <v>342828</v>
      </c>
      <c r="AW43" s="451">
        <v>205698</v>
      </c>
      <c r="AX43" s="451">
        <v>137132</v>
      </c>
      <c r="AY43" s="451">
        <v>0</v>
      </c>
      <c r="AZ43" s="451">
        <v>685658</v>
      </c>
      <c r="BA43" s="451">
        <v>0</v>
      </c>
      <c r="BB43" s="451">
        <v>0</v>
      </c>
      <c r="BC43" s="451">
        <v>0</v>
      </c>
      <c r="BD43" s="451">
        <v>0</v>
      </c>
      <c r="BE43" s="451">
        <v>0</v>
      </c>
      <c r="BF43" s="451">
        <v>42166</v>
      </c>
      <c r="BG43" s="451">
        <v>25300</v>
      </c>
      <c r="BH43" s="451">
        <v>16867</v>
      </c>
      <c r="BI43" s="451">
        <v>0</v>
      </c>
      <c r="BJ43" s="451">
        <v>84333</v>
      </c>
      <c r="BK43" s="451">
        <v>42166</v>
      </c>
      <c r="BL43" s="451">
        <v>25300</v>
      </c>
      <c r="BM43" s="451">
        <v>16867</v>
      </c>
      <c r="BN43" s="451">
        <v>0</v>
      </c>
      <c r="BO43" s="451">
        <v>84333</v>
      </c>
      <c r="BP43" s="451">
        <v>0</v>
      </c>
      <c r="BQ43" s="451">
        <v>0</v>
      </c>
      <c r="BR43" s="451">
        <v>0</v>
      </c>
      <c r="BS43" s="451">
        <v>0</v>
      </c>
      <c r="BT43" s="451">
        <v>0</v>
      </c>
      <c r="BU43" s="451">
        <v>182761</v>
      </c>
      <c r="BV43" s="451">
        <v>109657</v>
      </c>
      <c r="BW43" s="451">
        <v>73104</v>
      </c>
      <c r="BX43" s="451">
        <v>0</v>
      </c>
      <c r="BY43" s="451">
        <v>365522</v>
      </c>
      <c r="BZ43" s="451">
        <v>182761</v>
      </c>
      <c r="CA43" s="451">
        <v>109657</v>
      </c>
      <c r="CB43" s="451">
        <v>73104</v>
      </c>
      <c r="CC43" s="451">
        <v>0</v>
      </c>
      <c r="CD43" s="451">
        <v>365522</v>
      </c>
      <c r="CE43" s="104"/>
      <c r="CF43" s="104"/>
      <c r="CG43" s="104"/>
    </row>
    <row r="44" spans="1:85" ht="12.75" x14ac:dyDescent="0.2">
      <c r="A44" s="446">
        <v>37</v>
      </c>
      <c r="B44" s="447" t="s">
        <v>655</v>
      </c>
      <c r="C44" s="448" t="s">
        <v>1093</v>
      </c>
      <c r="D44" s="449" t="s">
        <v>1103</v>
      </c>
      <c r="E44" s="450" t="s">
        <v>654</v>
      </c>
      <c r="F44" s="451">
        <v>12478979</v>
      </c>
      <c r="G44" s="451">
        <v>9983183</v>
      </c>
      <c r="H44" s="451">
        <v>2246216</v>
      </c>
      <c r="I44" s="451">
        <v>249580</v>
      </c>
      <c r="J44" s="451">
        <v>24957958</v>
      </c>
      <c r="K44" s="451">
        <v>0</v>
      </c>
      <c r="L44" s="451">
        <v>0</v>
      </c>
      <c r="M44" s="451">
        <v>12478979</v>
      </c>
      <c r="N44" s="451">
        <v>24957958</v>
      </c>
      <c r="O44" s="451">
        <v>124548</v>
      </c>
      <c r="P44" s="451">
        <v>124548</v>
      </c>
      <c r="Q44" s="451">
        <v>0</v>
      </c>
      <c r="R44" s="451">
        <v>0</v>
      </c>
      <c r="S44" s="451">
        <v>0</v>
      </c>
      <c r="T44" s="451">
        <v>0</v>
      </c>
      <c r="U44" s="451">
        <v>0</v>
      </c>
      <c r="V44" s="451">
        <v>0</v>
      </c>
      <c r="W44" s="451">
        <v>0</v>
      </c>
      <c r="X44" s="451">
        <v>0</v>
      </c>
      <c r="Y44" s="451">
        <v>0</v>
      </c>
      <c r="Z44" s="451">
        <v>0</v>
      </c>
      <c r="AA44" s="451">
        <v>0</v>
      </c>
      <c r="AB44" s="451">
        <v>602244</v>
      </c>
      <c r="AC44" s="451">
        <v>481795</v>
      </c>
      <c r="AD44" s="451">
        <v>108404</v>
      </c>
      <c r="AE44" s="451">
        <v>12045</v>
      </c>
      <c r="AF44" s="451">
        <v>1204488</v>
      </c>
      <c r="AG44" s="451">
        <v>220507.3</v>
      </c>
      <c r="AH44" s="451">
        <v>176405</v>
      </c>
      <c r="AI44" s="451">
        <v>39691</v>
      </c>
      <c r="AJ44" s="451">
        <v>4410</v>
      </c>
      <c r="AK44" s="451">
        <v>441013.3</v>
      </c>
      <c r="AL44" s="451">
        <v>280956</v>
      </c>
      <c r="AM44" s="451">
        <v>224764</v>
      </c>
      <c r="AN44" s="451">
        <v>50572</v>
      </c>
      <c r="AO44" s="451">
        <v>5619</v>
      </c>
      <c r="AP44" s="451">
        <v>561911</v>
      </c>
      <c r="AQ44" s="451">
        <v>-7744</v>
      </c>
      <c r="AR44" s="451">
        <v>-6196</v>
      </c>
      <c r="AS44" s="451">
        <v>-1394</v>
      </c>
      <c r="AT44" s="451">
        <v>-155</v>
      </c>
      <c r="AU44" s="451">
        <v>-15489</v>
      </c>
      <c r="AV44" s="451">
        <v>273212</v>
      </c>
      <c r="AW44" s="451">
        <v>218568</v>
      </c>
      <c r="AX44" s="451">
        <v>49178</v>
      </c>
      <c r="AY44" s="451">
        <v>5464</v>
      </c>
      <c r="AZ44" s="451">
        <v>546422</v>
      </c>
      <c r="BA44" s="451">
        <v>0</v>
      </c>
      <c r="BB44" s="451">
        <v>0</v>
      </c>
      <c r="BC44" s="451">
        <v>0</v>
      </c>
      <c r="BD44" s="451">
        <v>0</v>
      </c>
      <c r="BE44" s="451">
        <v>0</v>
      </c>
      <c r="BF44" s="451">
        <v>135979</v>
      </c>
      <c r="BG44" s="451">
        <v>108783</v>
      </c>
      <c r="BH44" s="451">
        <v>24476</v>
      </c>
      <c r="BI44" s="451">
        <v>2720</v>
      </c>
      <c r="BJ44" s="451">
        <v>271958</v>
      </c>
      <c r="BK44" s="451">
        <v>135979</v>
      </c>
      <c r="BL44" s="451">
        <v>108783</v>
      </c>
      <c r="BM44" s="451">
        <v>24476</v>
      </c>
      <c r="BN44" s="451">
        <v>2720</v>
      </c>
      <c r="BO44" s="451">
        <v>271958</v>
      </c>
      <c r="BP44" s="451">
        <v>0</v>
      </c>
      <c r="BQ44" s="451">
        <v>0</v>
      </c>
      <c r="BR44" s="451">
        <v>0</v>
      </c>
      <c r="BS44" s="451">
        <v>0</v>
      </c>
      <c r="BT44" s="451">
        <v>0</v>
      </c>
      <c r="BU44" s="451">
        <v>325519</v>
      </c>
      <c r="BV44" s="451">
        <v>260414</v>
      </c>
      <c r="BW44" s="451">
        <v>58593</v>
      </c>
      <c r="BX44" s="451">
        <v>6510</v>
      </c>
      <c r="BY44" s="451">
        <v>651036</v>
      </c>
      <c r="BZ44" s="451">
        <v>325519</v>
      </c>
      <c r="CA44" s="451">
        <v>260414</v>
      </c>
      <c r="CB44" s="451">
        <v>58593</v>
      </c>
      <c r="CC44" s="451">
        <v>6510</v>
      </c>
      <c r="CD44" s="451">
        <v>651036</v>
      </c>
      <c r="CE44" s="104"/>
      <c r="CF44" s="104"/>
      <c r="CG44" s="104"/>
    </row>
    <row r="45" spans="1:85" ht="12.75" x14ac:dyDescent="0.2">
      <c r="A45" s="446">
        <v>38</v>
      </c>
      <c r="B45" s="447" t="s">
        <v>657</v>
      </c>
      <c r="C45" s="448" t="s">
        <v>1093</v>
      </c>
      <c r="D45" s="449" t="s">
        <v>1097</v>
      </c>
      <c r="E45" s="450" t="s">
        <v>656</v>
      </c>
      <c r="F45" s="451">
        <v>19292701</v>
      </c>
      <c r="G45" s="451">
        <v>15434161</v>
      </c>
      <c r="H45" s="451">
        <v>3858540</v>
      </c>
      <c r="I45" s="451">
        <v>0</v>
      </c>
      <c r="J45" s="451">
        <v>38585402</v>
      </c>
      <c r="K45" s="451">
        <v>0</v>
      </c>
      <c r="L45" s="451">
        <v>0</v>
      </c>
      <c r="M45" s="451">
        <v>19292701</v>
      </c>
      <c r="N45" s="451">
        <v>38585402</v>
      </c>
      <c r="O45" s="451">
        <v>116696</v>
      </c>
      <c r="P45" s="451">
        <v>116696</v>
      </c>
      <c r="Q45" s="451">
        <v>0</v>
      </c>
      <c r="R45" s="451">
        <v>0</v>
      </c>
      <c r="S45" s="451">
        <v>0</v>
      </c>
      <c r="T45" s="451">
        <v>0</v>
      </c>
      <c r="U45" s="451">
        <v>0</v>
      </c>
      <c r="V45" s="451">
        <v>0</v>
      </c>
      <c r="W45" s="451">
        <v>0</v>
      </c>
      <c r="X45" s="451">
        <v>0</v>
      </c>
      <c r="Y45" s="451">
        <v>0</v>
      </c>
      <c r="Z45" s="451">
        <v>0</v>
      </c>
      <c r="AA45" s="451">
        <v>0</v>
      </c>
      <c r="AB45" s="451">
        <v>690272</v>
      </c>
      <c r="AC45" s="451">
        <v>552218</v>
      </c>
      <c r="AD45" s="451">
        <v>138054</v>
      </c>
      <c r="AE45" s="451">
        <v>0</v>
      </c>
      <c r="AF45" s="451">
        <v>1380544</v>
      </c>
      <c r="AG45" s="451">
        <v>47172</v>
      </c>
      <c r="AH45" s="451">
        <v>37738</v>
      </c>
      <c r="AI45" s="451">
        <v>9434</v>
      </c>
      <c r="AJ45" s="451">
        <v>0</v>
      </c>
      <c r="AK45" s="451">
        <v>94344</v>
      </c>
      <c r="AL45" s="451">
        <v>0</v>
      </c>
      <c r="AM45" s="451">
        <v>0</v>
      </c>
      <c r="AN45" s="451">
        <v>0</v>
      </c>
      <c r="AO45" s="451">
        <v>0</v>
      </c>
      <c r="AP45" s="451">
        <v>0</v>
      </c>
      <c r="AQ45" s="451">
        <v>96762</v>
      </c>
      <c r="AR45" s="451">
        <v>77410</v>
      </c>
      <c r="AS45" s="451">
        <v>19353</v>
      </c>
      <c r="AT45" s="451">
        <v>0</v>
      </c>
      <c r="AU45" s="451">
        <v>193525</v>
      </c>
      <c r="AV45" s="451">
        <v>96762</v>
      </c>
      <c r="AW45" s="451">
        <v>77410</v>
      </c>
      <c r="AX45" s="451">
        <v>19353</v>
      </c>
      <c r="AY45" s="451">
        <v>0</v>
      </c>
      <c r="AZ45" s="451">
        <v>193525</v>
      </c>
      <c r="BA45" s="451">
        <v>0</v>
      </c>
      <c r="BB45" s="451">
        <v>0</v>
      </c>
      <c r="BC45" s="451">
        <v>0</v>
      </c>
      <c r="BD45" s="451">
        <v>0</v>
      </c>
      <c r="BE45" s="451">
        <v>0</v>
      </c>
      <c r="BF45" s="451">
        <v>296941</v>
      </c>
      <c r="BG45" s="451">
        <v>237552</v>
      </c>
      <c r="BH45" s="451">
        <v>59388</v>
      </c>
      <c r="BI45" s="451">
        <v>0</v>
      </c>
      <c r="BJ45" s="451">
        <v>593881</v>
      </c>
      <c r="BK45" s="451">
        <v>296941</v>
      </c>
      <c r="BL45" s="451">
        <v>237552</v>
      </c>
      <c r="BM45" s="451">
        <v>59388</v>
      </c>
      <c r="BN45" s="451">
        <v>0</v>
      </c>
      <c r="BO45" s="451">
        <v>593881</v>
      </c>
      <c r="BP45" s="451">
        <v>0</v>
      </c>
      <c r="BQ45" s="451">
        <v>0</v>
      </c>
      <c r="BR45" s="451">
        <v>0</v>
      </c>
      <c r="BS45" s="451">
        <v>0</v>
      </c>
      <c r="BT45" s="451">
        <v>0</v>
      </c>
      <c r="BU45" s="451">
        <v>634281</v>
      </c>
      <c r="BV45" s="451">
        <v>507425</v>
      </c>
      <c r="BW45" s="451">
        <v>126856</v>
      </c>
      <c r="BX45" s="451">
        <v>0</v>
      </c>
      <c r="BY45" s="451">
        <v>1268562</v>
      </c>
      <c r="BZ45" s="451">
        <v>634281</v>
      </c>
      <c r="CA45" s="451">
        <v>507425</v>
      </c>
      <c r="CB45" s="451">
        <v>126856</v>
      </c>
      <c r="CC45" s="451">
        <v>0</v>
      </c>
      <c r="CD45" s="451">
        <v>1268562</v>
      </c>
      <c r="CE45" s="104"/>
      <c r="CF45" s="104"/>
      <c r="CG45" s="104"/>
    </row>
    <row r="46" spans="1:85" ht="12.75" x14ac:dyDescent="0.2">
      <c r="A46" s="446">
        <v>39</v>
      </c>
      <c r="B46" s="447" t="s">
        <v>659</v>
      </c>
      <c r="C46" s="448" t="s">
        <v>1093</v>
      </c>
      <c r="D46" s="449" t="s">
        <v>1096</v>
      </c>
      <c r="E46" s="450" t="s">
        <v>658</v>
      </c>
      <c r="F46" s="451">
        <v>11268486</v>
      </c>
      <c r="G46" s="451">
        <v>9014789</v>
      </c>
      <c r="H46" s="451">
        <v>2028327</v>
      </c>
      <c r="I46" s="451">
        <v>225370</v>
      </c>
      <c r="J46" s="451">
        <v>22536972</v>
      </c>
      <c r="K46" s="451">
        <v>0</v>
      </c>
      <c r="L46" s="451">
        <v>0</v>
      </c>
      <c r="M46" s="451">
        <v>11268486</v>
      </c>
      <c r="N46" s="451">
        <v>22536972</v>
      </c>
      <c r="O46" s="451">
        <v>108209</v>
      </c>
      <c r="P46" s="451">
        <v>108209</v>
      </c>
      <c r="Q46" s="451">
        <v>0</v>
      </c>
      <c r="R46" s="451">
        <v>0</v>
      </c>
      <c r="S46" s="451">
        <v>0</v>
      </c>
      <c r="T46" s="451">
        <v>0</v>
      </c>
      <c r="U46" s="451">
        <v>0</v>
      </c>
      <c r="V46" s="451">
        <v>0</v>
      </c>
      <c r="W46" s="451">
        <v>0</v>
      </c>
      <c r="X46" s="451">
        <v>0</v>
      </c>
      <c r="Y46" s="451">
        <v>0</v>
      </c>
      <c r="Z46" s="451">
        <v>0</v>
      </c>
      <c r="AA46" s="451">
        <v>0</v>
      </c>
      <c r="AB46" s="451">
        <v>729725.6</v>
      </c>
      <c r="AC46" s="451">
        <v>583779</v>
      </c>
      <c r="AD46" s="451">
        <v>131350</v>
      </c>
      <c r="AE46" s="451">
        <v>14594</v>
      </c>
      <c r="AF46" s="451">
        <v>1459448.6</v>
      </c>
      <c r="AG46" s="451">
        <v>250154.25</v>
      </c>
      <c r="AH46" s="451">
        <v>200124</v>
      </c>
      <c r="AI46" s="451">
        <v>45028</v>
      </c>
      <c r="AJ46" s="451">
        <v>5003</v>
      </c>
      <c r="AK46" s="451">
        <v>500309.25</v>
      </c>
      <c r="AL46" s="451">
        <v>0</v>
      </c>
      <c r="AM46" s="451">
        <v>0</v>
      </c>
      <c r="AN46" s="451">
        <v>0</v>
      </c>
      <c r="AO46" s="451">
        <v>0</v>
      </c>
      <c r="AP46" s="451">
        <v>0</v>
      </c>
      <c r="AQ46" s="451">
        <v>262799</v>
      </c>
      <c r="AR46" s="451">
        <v>210239</v>
      </c>
      <c r="AS46" s="451">
        <v>47304</v>
      </c>
      <c r="AT46" s="451">
        <v>5256</v>
      </c>
      <c r="AU46" s="451">
        <v>525598</v>
      </c>
      <c r="AV46" s="451">
        <v>262799</v>
      </c>
      <c r="AW46" s="451">
        <v>210239</v>
      </c>
      <c r="AX46" s="451">
        <v>47304</v>
      </c>
      <c r="AY46" s="451">
        <v>5256</v>
      </c>
      <c r="AZ46" s="451">
        <v>525598</v>
      </c>
      <c r="BA46" s="451">
        <v>0</v>
      </c>
      <c r="BB46" s="451">
        <v>0</v>
      </c>
      <c r="BC46" s="451">
        <v>0</v>
      </c>
      <c r="BD46" s="451">
        <v>0</v>
      </c>
      <c r="BE46" s="451">
        <v>0</v>
      </c>
      <c r="BF46" s="451">
        <v>154941</v>
      </c>
      <c r="BG46" s="451">
        <v>123952</v>
      </c>
      <c r="BH46" s="451">
        <v>27889</v>
      </c>
      <c r="BI46" s="451">
        <v>3099</v>
      </c>
      <c r="BJ46" s="451">
        <v>309881</v>
      </c>
      <c r="BK46" s="451">
        <v>154941</v>
      </c>
      <c r="BL46" s="451">
        <v>123952</v>
      </c>
      <c r="BM46" s="451">
        <v>27889</v>
      </c>
      <c r="BN46" s="451">
        <v>3099</v>
      </c>
      <c r="BO46" s="451">
        <v>309881</v>
      </c>
      <c r="BP46" s="451">
        <v>0</v>
      </c>
      <c r="BQ46" s="451">
        <v>0</v>
      </c>
      <c r="BR46" s="451">
        <v>0</v>
      </c>
      <c r="BS46" s="451">
        <v>0</v>
      </c>
      <c r="BT46" s="451">
        <v>0</v>
      </c>
      <c r="BU46" s="451">
        <v>429293</v>
      </c>
      <c r="BV46" s="451">
        <v>343435</v>
      </c>
      <c r="BW46" s="451">
        <v>77273</v>
      </c>
      <c r="BX46" s="451">
        <v>8586</v>
      </c>
      <c r="BY46" s="451">
        <v>858587</v>
      </c>
      <c r="BZ46" s="451">
        <v>429293</v>
      </c>
      <c r="CA46" s="451">
        <v>343435</v>
      </c>
      <c r="CB46" s="451">
        <v>77273</v>
      </c>
      <c r="CC46" s="451">
        <v>8586</v>
      </c>
      <c r="CD46" s="451">
        <v>858587</v>
      </c>
      <c r="CE46" s="104"/>
      <c r="CF46" s="104"/>
      <c r="CG46" s="104"/>
    </row>
    <row r="47" spans="1:85" ht="12.75" x14ac:dyDescent="0.2">
      <c r="A47" s="446">
        <v>40</v>
      </c>
      <c r="B47" s="447" t="s">
        <v>661</v>
      </c>
      <c r="C47" s="448" t="s">
        <v>1093</v>
      </c>
      <c r="D47" s="449" t="s">
        <v>1095</v>
      </c>
      <c r="E47" s="450" t="s">
        <v>660</v>
      </c>
      <c r="F47" s="451">
        <v>12793136</v>
      </c>
      <c r="G47" s="451">
        <v>10234508</v>
      </c>
      <c r="H47" s="451">
        <v>2302764</v>
      </c>
      <c r="I47" s="451">
        <v>255863</v>
      </c>
      <c r="J47" s="451">
        <v>25586271</v>
      </c>
      <c r="K47" s="451">
        <v>0</v>
      </c>
      <c r="L47" s="451">
        <v>0</v>
      </c>
      <c r="M47" s="451">
        <v>12793136</v>
      </c>
      <c r="N47" s="451">
        <v>25586271</v>
      </c>
      <c r="O47" s="451">
        <v>147506</v>
      </c>
      <c r="P47" s="451">
        <v>147506</v>
      </c>
      <c r="Q47" s="451">
        <v>0</v>
      </c>
      <c r="R47" s="451">
        <v>0</v>
      </c>
      <c r="S47" s="451">
        <v>0</v>
      </c>
      <c r="T47" s="451">
        <v>0</v>
      </c>
      <c r="U47" s="451">
        <v>0</v>
      </c>
      <c r="V47" s="451">
        <v>0</v>
      </c>
      <c r="W47" s="451">
        <v>0</v>
      </c>
      <c r="X47" s="451">
        <v>0</v>
      </c>
      <c r="Y47" s="451">
        <v>0</v>
      </c>
      <c r="Z47" s="451">
        <v>0</v>
      </c>
      <c r="AA47" s="451">
        <v>0</v>
      </c>
      <c r="AB47" s="451">
        <v>859650</v>
      </c>
      <c r="AC47" s="451">
        <v>687720</v>
      </c>
      <c r="AD47" s="451">
        <v>154737</v>
      </c>
      <c r="AE47" s="451">
        <v>17193</v>
      </c>
      <c r="AF47" s="451">
        <v>1719300</v>
      </c>
      <c r="AG47" s="451">
        <v>348267</v>
      </c>
      <c r="AH47" s="451">
        <v>278614</v>
      </c>
      <c r="AI47" s="451">
        <v>62688</v>
      </c>
      <c r="AJ47" s="451">
        <v>6965</v>
      </c>
      <c r="AK47" s="451">
        <v>696534</v>
      </c>
      <c r="AL47" s="451">
        <v>314090.34000000003</v>
      </c>
      <c r="AM47" s="451">
        <v>251273</v>
      </c>
      <c r="AN47" s="451">
        <v>56536</v>
      </c>
      <c r="AO47" s="451">
        <v>6282</v>
      </c>
      <c r="AP47" s="451">
        <v>628181.34</v>
      </c>
      <c r="AQ47" s="451">
        <v>148842</v>
      </c>
      <c r="AR47" s="451">
        <v>119074</v>
      </c>
      <c r="AS47" s="451">
        <v>26792</v>
      </c>
      <c r="AT47" s="451">
        <v>2977</v>
      </c>
      <c r="AU47" s="451">
        <v>297685</v>
      </c>
      <c r="AV47" s="451">
        <v>462932.34</v>
      </c>
      <c r="AW47" s="451">
        <v>370347</v>
      </c>
      <c r="AX47" s="451">
        <v>83328</v>
      </c>
      <c r="AY47" s="451">
        <v>9259</v>
      </c>
      <c r="AZ47" s="451">
        <v>925866.34</v>
      </c>
      <c r="BA47" s="451">
        <v>0</v>
      </c>
      <c r="BB47" s="451">
        <v>0</v>
      </c>
      <c r="BC47" s="451">
        <v>0</v>
      </c>
      <c r="BD47" s="451">
        <v>0</v>
      </c>
      <c r="BE47" s="451">
        <v>0</v>
      </c>
      <c r="BF47" s="451">
        <v>151998</v>
      </c>
      <c r="BG47" s="451">
        <v>121598</v>
      </c>
      <c r="BH47" s="451">
        <v>27360</v>
      </c>
      <c r="BI47" s="451">
        <v>3040</v>
      </c>
      <c r="BJ47" s="451">
        <v>303996</v>
      </c>
      <c r="BK47" s="451">
        <v>151998</v>
      </c>
      <c r="BL47" s="451">
        <v>121598</v>
      </c>
      <c r="BM47" s="451">
        <v>27360</v>
      </c>
      <c r="BN47" s="451">
        <v>3040</v>
      </c>
      <c r="BO47" s="451">
        <v>303996</v>
      </c>
      <c r="BP47" s="451">
        <v>0</v>
      </c>
      <c r="BQ47" s="451">
        <v>0</v>
      </c>
      <c r="BR47" s="451">
        <v>0</v>
      </c>
      <c r="BS47" s="451">
        <v>0</v>
      </c>
      <c r="BT47" s="451">
        <v>0</v>
      </c>
      <c r="BU47" s="451">
        <v>665279</v>
      </c>
      <c r="BV47" s="451">
        <v>532223</v>
      </c>
      <c r="BW47" s="451">
        <v>119750</v>
      </c>
      <c r="BX47" s="451">
        <v>13306</v>
      </c>
      <c r="BY47" s="451">
        <v>1330558</v>
      </c>
      <c r="BZ47" s="451">
        <v>665279</v>
      </c>
      <c r="CA47" s="451">
        <v>532223</v>
      </c>
      <c r="CB47" s="451">
        <v>119750</v>
      </c>
      <c r="CC47" s="451">
        <v>13306</v>
      </c>
      <c r="CD47" s="451">
        <v>1330558</v>
      </c>
      <c r="CE47" s="104"/>
      <c r="CF47" s="104"/>
      <c r="CG47" s="104"/>
    </row>
    <row r="48" spans="1:85" ht="12.75" x14ac:dyDescent="0.2">
      <c r="A48" s="446">
        <v>41</v>
      </c>
      <c r="B48" s="447" t="s">
        <v>663</v>
      </c>
      <c r="C48" s="448" t="s">
        <v>1100</v>
      </c>
      <c r="D48" s="449" t="s">
        <v>1095</v>
      </c>
      <c r="E48" s="450" t="s">
        <v>662</v>
      </c>
      <c r="F48" s="451">
        <v>23509472</v>
      </c>
      <c r="G48" s="451">
        <v>23039283</v>
      </c>
      <c r="H48" s="451">
        <v>0</v>
      </c>
      <c r="I48" s="451">
        <v>470189</v>
      </c>
      <c r="J48" s="451">
        <v>47018944</v>
      </c>
      <c r="K48" s="451">
        <v>0</v>
      </c>
      <c r="L48" s="451">
        <v>0</v>
      </c>
      <c r="M48" s="451">
        <v>23509472</v>
      </c>
      <c r="N48" s="451">
        <v>47018944</v>
      </c>
      <c r="O48" s="451">
        <v>240185</v>
      </c>
      <c r="P48" s="451">
        <v>240185</v>
      </c>
      <c r="Q48" s="451">
        <v>0</v>
      </c>
      <c r="R48" s="451">
        <v>0</v>
      </c>
      <c r="S48" s="451">
        <v>0</v>
      </c>
      <c r="T48" s="451">
        <v>0</v>
      </c>
      <c r="U48" s="451">
        <v>0</v>
      </c>
      <c r="V48" s="451">
        <v>0</v>
      </c>
      <c r="W48" s="451">
        <v>0</v>
      </c>
      <c r="X48" s="451">
        <v>0</v>
      </c>
      <c r="Y48" s="451">
        <v>0</v>
      </c>
      <c r="Z48" s="451">
        <v>0</v>
      </c>
      <c r="AA48" s="451">
        <v>0</v>
      </c>
      <c r="AB48" s="451">
        <v>0</v>
      </c>
      <c r="AC48" s="451">
        <v>0</v>
      </c>
      <c r="AD48" s="451">
        <v>0</v>
      </c>
      <c r="AE48" s="451">
        <v>0</v>
      </c>
      <c r="AF48" s="451">
        <v>0</v>
      </c>
      <c r="AG48" s="451">
        <v>0</v>
      </c>
      <c r="AH48" s="451">
        <v>0</v>
      </c>
      <c r="AI48" s="451">
        <v>0</v>
      </c>
      <c r="AJ48" s="451">
        <v>0</v>
      </c>
      <c r="AK48" s="451">
        <v>0</v>
      </c>
      <c r="AL48" s="451">
        <v>0</v>
      </c>
      <c r="AM48" s="451">
        <v>0</v>
      </c>
      <c r="AN48" s="451">
        <v>0</v>
      </c>
      <c r="AO48" s="451">
        <v>0</v>
      </c>
      <c r="AP48" s="451">
        <v>0</v>
      </c>
      <c r="AQ48" s="451">
        <v>362801</v>
      </c>
      <c r="AR48" s="451">
        <v>355544</v>
      </c>
      <c r="AS48" s="451">
        <v>0</v>
      </c>
      <c r="AT48" s="451">
        <v>7256</v>
      </c>
      <c r="AU48" s="451">
        <v>725601</v>
      </c>
      <c r="AV48" s="451">
        <v>362801</v>
      </c>
      <c r="AW48" s="451">
        <v>355544</v>
      </c>
      <c r="AX48" s="451">
        <v>0</v>
      </c>
      <c r="AY48" s="451">
        <v>7256</v>
      </c>
      <c r="AZ48" s="451">
        <v>725601</v>
      </c>
      <c r="BA48" s="451">
        <v>0</v>
      </c>
      <c r="BB48" s="451">
        <v>0</v>
      </c>
      <c r="BC48" s="451">
        <v>0</v>
      </c>
      <c r="BD48" s="451">
        <v>0</v>
      </c>
      <c r="BE48" s="451">
        <v>0</v>
      </c>
      <c r="BF48" s="451">
        <v>500000</v>
      </c>
      <c r="BG48" s="451">
        <v>490000</v>
      </c>
      <c r="BH48" s="451">
        <v>0</v>
      </c>
      <c r="BI48" s="451">
        <v>10000</v>
      </c>
      <c r="BJ48" s="451">
        <v>1000000</v>
      </c>
      <c r="BK48" s="451">
        <v>500000</v>
      </c>
      <c r="BL48" s="451">
        <v>490000</v>
      </c>
      <c r="BM48" s="451">
        <v>0</v>
      </c>
      <c r="BN48" s="451">
        <v>10000</v>
      </c>
      <c r="BO48" s="451">
        <v>1000000</v>
      </c>
      <c r="BP48" s="451">
        <v>0</v>
      </c>
      <c r="BQ48" s="451">
        <v>0</v>
      </c>
      <c r="BR48" s="451">
        <v>0</v>
      </c>
      <c r="BS48" s="451">
        <v>0</v>
      </c>
      <c r="BT48" s="451">
        <v>0</v>
      </c>
      <c r="BU48" s="451">
        <v>0</v>
      </c>
      <c r="BV48" s="451">
        <v>0</v>
      </c>
      <c r="BW48" s="451">
        <v>0</v>
      </c>
      <c r="BX48" s="451">
        <v>0</v>
      </c>
      <c r="BY48" s="451">
        <v>0</v>
      </c>
      <c r="BZ48" s="451">
        <v>0</v>
      </c>
      <c r="CA48" s="451">
        <v>0</v>
      </c>
      <c r="CB48" s="451">
        <v>0</v>
      </c>
      <c r="CC48" s="451">
        <v>0</v>
      </c>
      <c r="CD48" s="451">
        <v>0</v>
      </c>
      <c r="CE48" s="104"/>
      <c r="CF48" s="104"/>
      <c r="CG48" s="104"/>
    </row>
    <row r="49" spans="1:85" ht="12.75" x14ac:dyDescent="0.2">
      <c r="A49" s="446">
        <v>42</v>
      </c>
      <c r="B49" s="447" t="s">
        <v>665</v>
      </c>
      <c r="C49" s="448" t="s">
        <v>1100</v>
      </c>
      <c r="D49" s="449" t="s">
        <v>1101</v>
      </c>
      <c r="E49" s="450" t="s">
        <v>664</v>
      </c>
      <c r="F49" s="451">
        <v>27777126</v>
      </c>
      <c r="G49" s="451">
        <v>27221583</v>
      </c>
      <c r="H49" s="451">
        <v>0</v>
      </c>
      <c r="I49" s="451">
        <v>555543</v>
      </c>
      <c r="J49" s="451">
        <v>55554252</v>
      </c>
      <c r="K49" s="451">
        <v>0</v>
      </c>
      <c r="L49" s="451">
        <v>0</v>
      </c>
      <c r="M49" s="451">
        <v>27777126</v>
      </c>
      <c r="N49" s="451">
        <v>55554252</v>
      </c>
      <c r="O49" s="451">
        <v>350658</v>
      </c>
      <c r="P49" s="451">
        <v>350658</v>
      </c>
      <c r="Q49" s="451">
        <v>0</v>
      </c>
      <c r="R49" s="451">
        <v>0</v>
      </c>
      <c r="S49" s="451">
        <v>0</v>
      </c>
      <c r="T49" s="451">
        <v>0</v>
      </c>
      <c r="U49" s="451">
        <v>0</v>
      </c>
      <c r="V49" s="451">
        <v>0</v>
      </c>
      <c r="W49" s="451">
        <v>0</v>
      </c>
      <c r="X49" s="451">
        <v>0</v>
      </c>
      <c r="Y49" s="451">
        <v>0</v>
      </c>
      <c r="Z49" s="451">
        <v>0</v>
      </c>
      <c r="AA49" s="451">
        <v>0</v>
      </c>
      <c r="AB49" s="451">
        <v>3297461</v>
      </c>
      <c r="AC49" s="451">
        <v>3231511</v>
      </c>
      <c r="AD49" s="451">
        <v>0</v>
      </c>
      <c r="AE49" s="451">
        <v>65949</v>
      </c>
      <c r="AF49" s="451">
        <v>6594921</v>
      </c>
      <c r="AG49" s="451">
        <v>734756</v>
      </c>
      <c r="AH49" s="451">
        <v>720060</v>
      </c>
      <c r="AI49" s="451">
        <v>0</v>
      </c>
      <c r="AJ49" s="451">
        <v>14695</v>
      </c>
      <c r="AK49" s="451">
        <v>1469511</v>
      </c>
      <c r="AL49" s="451">
        <v>0</v>
      </c>
      <c r="AM49" s="451">
        <v>0</v>
      </c>
      <c r="AN49" s="451">
        <v>0</v>
      </c>
      <c r="AO49" s="451">
        <v>0</v>
      </c>
      <c r="AP49" s="451">
        <v>0</v>
      </c>
      <c r="AQ49" s="451">
        <v>554916</v>
      </c>
      <c r="AR49" s="451">
        <v>543818</v>
      </c>
      <c r="AS49" s="451">
        <v>0</v>
      </c>
      <c r="AT49" s="451">
        <v>11098</v>
      </c>
      <c r="AU49" s="451">
        <v>1109832</v>
      </c>
      <c r="AV49" s="451">
        <v>554916</v>
      </c>
      <c r="AW49" s="451">
        <v>543818</v>
      </c>
      <c r="AX49" s="451">
        <v>0</v>
      </c>
      <c r="AY49" s="451">
        <v>11098</v>
      </c>
      <c r="AZ49" s="451">
        <v>1109832</v>
      </c>
      <c r="BA49" s="451">
        <v>0</v>
      </c>
      <c r="BB49" s="451">
        <v>0</v>
      </c>
      <c r="BC49" s="451">
        <v>0</v>
      </c>
      <c r="BD49" s="451">
        <v>0</v>
      </c>
      <c r="BE49" s="451">
        <v>0</v>
      </c>
      <c r="BF49" s="451">
        <v>295424</v>
      </c>
      <c r="BG49" s="451">
        <v>289516</v>
      </c>
      <c r="BH49" s="451">
        <v>0</v>
      </c>
      <c r="BI49" s="451">
        <v>5908</v>
      </c>
      <c r="BJ49" s="451">
        <v>590848</v>
      </c>
      <c r="BK49" s="451">
        <v>295424</v>
      </c>
      <c r="BL49" s="451">
        <v>289516</v>
      </c>
      <c r="BM49" s="451">
        <v>0</v>
      </c>
      <c r="BN49" s="451">
        <v>5908</v>
      </c>
      <c r="BO49" s="451">
        <v>590848</v>
      </c>
      <c r="BP49" s="451">
        <v>0</v>
      </c>
      <c r="BQ49" s="451">
        <v>0</v>
      </c>
      <c r="BR49" s="451">
        <v>0</v>
      </c>
      <c r="BS49" s="451">
        <v>0</v>
      </c>
      <c r="BT49" s="451">
        <v>0</v>
      </c>
      <c r="BU49" s="451">
        <v>830142</v>
      </c>
      <c r="BV49" s="451">
        <v>813539</v>
      </c>
      <c r="BW49" s="451">
        <v>0</v>
      </c>
      <c r="BX49" s="451">
        <v>16603</v>
      </c>
      <c r="BY49" s="451">
        <v>1660284</v>
      </c>
      <c r="BZ49" s="451">
        <v>830142</v>
      </c>
      <c r="CA49" s="451">
        <v>813539</v>
      </c>
      <c r="CB49" s="451">
        <v>0</v>
      </c>
      <c r="CC49" s="451">
        <v>16603</v>
      </c>
      <c r="CD49" s="451">
        <v>1660284</v>
      </c>
      <c r="CE49" s="104" t="s">
        <v>1120</v>
      </c>
      <c r="CF49" s="104"/>
      <c r="CG49" s="104"/>
    </row>
    <row r="50" spans="1:85" ht="12.75" x14ac:dyDescent="0.2">
      <c r="A50" s="446">
        <v>43</v>
      </c>
      <c r="B50" s="447" t="s">
        <v>667</v>
      </c>
      <c r="C50" s="448" t="s">
        <v>1093</v>
      </c>
      <c r="D50" s="449" t="s">
        <v>1097</v>
      </c>
      <c r="E50" s="450" t="s">
        <v>666</v>
      </c>
      <c r="F50" s="451">
        <v>42380097</v>
      </c>
      <c r="G50" s="451">
        <v>33904078</v>
      </c>
      <c r="H50" s="451">
        <v>7628417</v>
      </c>
      <c r="I50" s="451">
        <v>847602</v>
      </c>
      <c r="J50" s="451">
        <v>84760194</v>
      </c>
      <c r="K50" s="451">
        <v>0</v>
      </c>
      <c r="L50" s="451">
        <v>0</v>
      </c>
      <c r="M50" s="451">
        <v>42380097</v>
      </c>
      <c r="N50" s="451">
        <v>84760194</v>
      </c>
      <c r="O50" s="451">
        <v>227587</v>
      </c>
      <c r="P50" s="451">
        <v>227587</v>
      </c>
      <c r="Q50" s="451">
        <v>0</v>
      </c>
      <c r="R50" s="451">
        <v>0</v>
      </c>
      <c r="S50" s="451">
        <v>0</v>
      </c>
      <c r="T50" s="451">
        <v>0</v>
      </c>
      <c r="U50" s="451">
        <v>0</v>
      </c>
      <c r="V50" s="451">
        <v>0</v>
      </c>
      <c r="W50" s="451">
        <v>0</v>
      </c>
      <c r="X50" s="451">
        <v>0</v>
      </c>
      <c r="Y50" s="451">
        <v>0</v>
      </c>
      <c r="Z50" s="451">
        <v>0</v>
      </c>
      <c r="AA50" s="451">
        <v>0</v>
      </c>
      <c r="AB50" s="451">
        <v>613063</v>
      </c>
      <c r="AC50" s="451">
        <v>490450</v>
      </c>
      <c r="AD50" s="451">
        <v>110351</v>
      </c>
      <c r="AE50" s="451">
        <v>12261</v>
      </c>
      <c r="AF50" s="451">
        <v>1226125</v>
      </c>
      <c r="AG50" s="451">
        <v>746027</v>
      </c>
      <c r="AH50" s="451">
        <v>596822</v>
      </c>
      <c r="AI50" s="451">
        <v>134285</v>
      </c>
      <c r="AJ50" s="451">
        <v>14921</v>
      </c>
      <c r="AK50" s="451">
        <v>1492055</v>
      </c>
      <c r="AL50" s="451">
        <v>107680</v>
      </c>
      <c r="AM50" s="451">
        <v>86145</v>
      </c>
      <c r="AN50" s="451">
        <v>19383</v>
      </c>
      <c r="AO50" s="451">
        <v>2154</v>
      </c>
      <c r="AP50" s="451">
        <v>215362</v>
      </c>
      <c r="AQ50" s="451">
        <v>28949</v>
      </c>
      <c r="AR50" s="451">
        <v>23160</v>
      </c>
      <c r="AS50" s="451">
        <v>5211</v>
      </c>
      <c r="AT50" s="451">
        <v>579</v>
      </c>
      <c r="AU50" s="451">
        <v>57899</v>
      </c>
      <c r="AV50" s="451">
        <v>136629</v>
      </c>
      <c r="AW50" s="451">
        <v>109305</v>
      </c>
      <c r="AX50" s="451">
        <v>24594</v>
      </c>
      <c r="AY50" s="451">
        <v>2733</v>
      </c>
      <c r="AZ50" s="451">
        <v>273261</v>
      </c>
      <c r="BA50" s="451">
        <v>0</v>
      </c>
      <c r="BB50" s="451">
        <v>0</v>
      </c>
      <c r="BC50" s="451">
        <v>0</v>
      </c>
      <c r="BD50" s="451">
        <v>0</v>
      </c>
      <c r="BE50" s="451">
        <v>0</v>
      </c>
      <c r="BF50" s="451">
        <v>1155419</v>
      </c>
      <c r="BG50" s="451">
        <v>924336</v>
      </c>
      <c r="BH50" s="451">
        <v>207976</v>
      </c>
      <c r="BI50" s="451">
        <v>23108</v>
      </c>
      <c r="BJ50" s="451">
        <v>2310839</v>
      </c>
      <c r="BK50" s="451">
        <v>1155419</v>
      </c>
      <c r="BL50" s="451">
        <v>924336</v>
      </c>
      <c r="BM50" s="451">
        <v>207976</v>
      </c>
      <c r="BN50" s="451">
        <v>23108</v>
      </c>
      <c r="BO50" s="451">
        <v>2310839</v>
      </c>
      <c r="BP50" s="451">
        <v>0</v>
      </c>
      <c r="BQ50" s="451">
        <v>0</v>
      </c>
      <c r="BR50" s="451">
        <v>0</v>
      </c>
      <c r="BS50" s="451">
        <v>0</v>
      </c>
      <c r="BT50" s="451">
        <v>0</v>
      </c>
      <c r="BU50" s="451">
        <v>2892043</v>
      </c>
      <c r="BV50" s="451">
        <v>2313634</v>
      </c>
      <c r="BW50" s="451">
        <v>520568</v>
      </c>
      <c r="BX50" s="451">
        <v>57841</v>
      </c>
      <c r="BY50" s="451">
        <v>5784086</v>
      </c>
      <c r="BZ50" s="451">
        <v>2892043</v>
      </c>
      <c r="CA50" s="451">
        <v>2313634</v>
      </c>
      <c r="CB50" s="451">
        <v>520568</v>
      </c>
      <c r="CC50" s="451">
        <v>57841</v>
      </c>
      <c r="CD50" s="451">
        <v>5784086</v>
      </c>
      <c r="CE50" s="104"/>
      <c r="CF50" s="104"/>
      <c r="CG50" s="104"/>
    </row>
    <row r="51" spans="1:85" ht="12.75" x14ac:dyDescent="0.2">
      <c r="A51" s="446">
        <v>44</v>
      </c>
      <c r="B51" s="447" t="s">
        <v>669</v>
      </c>
      <c r="C51" s="448" t="s">
        <v>1104</v>
      </c>
      <c r="D51" s="449" t="s">
        <v>1099</v>
      </c>
      <c r="E51" s="450" t="s">
        <v>668</v>
      </c>
      <c r="F51" s="451">
        <v>226664274</v>
      </c>
      <c r="G51" s="451">
        <v>135998564</v>
      </c>
      <c r="H51" s="451">
        <v>90665709</v>
      </c>
      <c r="I51" s="451">
        <v>0</v>
      </c>
      <c r="J51" s="451">
        <v>453328547</v>
      </c>
      <c r="K51" s="451">
        <v>0</v>
      </c>
      <c r="L51" s="451">
        <v>0</v>
      </c>
      <c r="M51" s="451">
        <v>226664274</v>
      </c>
      <c r="N51" s="451">
        <v>453328547</v>
      </c>
      <c r="O51" s="451">
        <v>1202147</v>
      </c>
      <c r="P51" s="451">
        <v>1202147</v>
      </c>
      <c r="Q51" s="451">
        <v>0</v>
      </c>
      <c r="R51" s="451">
        <v>0</v>
      </c>
      <c r="S51" s="451">
        <v>0</v>
      </c>
      <c r="T51" s="451">
        <v>0</v>
      </c>
      <c r="U51" s="451">
        <v>0</v>
      </c>
      <c r="V51" s="451">
        <v>0</v>
      </c>
      <c r="W51" s="451">
        <v>0</v>
      </c>
      <c r="X51" s="451">
        <v>0</v>
      </c>
      <c r="Y51" s="451">
        <v>0</v>
      </c>
      <c r="Z51" s="451">
        <v>0</v>
      </c>
      <c r="AA51" s="451">
        <v>0</v>
      </c>
      <c r="AB51" s="451">
        <v>3781319</v>
      </c>
      <c r="AC51" s="451">
        <v>2268791</v>
      </c>
      <c r="AD51" s="451">
        <v>1512528</v>
      </c>
      <c r="AE51" s="451">
        <v>0</v>
      </c>
      <c r="AF51" s="451">
        <v>7562638</v>
      </c>
      <c r="AG51" s="451">
        <v>-3513942</v>
      </c>
      <c r="AH51" s="451">
        <v>-2108365</v>
      </c>
      <c r="AI51" s="451">
        <v>-1405577</v>
      </c>
      <c r="AJ51" s="451">
        <v>0</v>
      </c>
      <c r="AK51" s="451">
        <v>-7027884</v>
      </c>
      <c r="AL51" s="451">
        <v>0</v>
      </c>
      <c r="AM51" s="451">
        <v>0</v>
      </c>
      <c r="AN51" s="451">
        <v>0</v>
      </c>
      <c r="AO51" s="451">
        <v>0</v>
      </c>
      <c r="AP51" s="451">
        <v>0</v>
      </c>
      <c r="AQ51" s="451">
        <v>1116504</v>
      </c>
      <c r="AR51" s="451">
        <v>669903</v>
      </c>
      <c r="AS51" s="451">
        <v>446602</v>
      </c>
      <c r="AT51" s="451">
        <v>0</v>
      </c>
      <c r="AU51" s="451">
        <v>2233009</v>
      </c>
      <c r="AV51" s="451">
        <v>1116504</v>
      </c>
      <c r="AW51" s="451">
        <v>669903</v>
      </c>
      <c r="AX51" s="451">
        <v>446602</v>
      </c>
      <c r="AY51" s="451">
        <v>0</v>
      </c>
      <c r="AZ51" s="451">
        <v>2233009</v>
      </c>
      <c r="BA51" s="451">
        <v>0</v>
      </c>
      <c r="BB51" s="451">
        <v>0</v>
      </c>
      <c r="BC51" s="451">
        <v>0</v>
      </c>
      <c r="BD51" s="451">
        <v>0</v>
      </c>
      <c r="BE51" s="451">
        <v>0</v>
      </c>
      <c r="BF51" s="451">
        <v>3596247</v>
      </c>
      <c r="BG51" s="451">
        <v>2157749</v>
      </c>
      <c r="BH51" s="451">
        <v>1438499</v>
      </c>
      <c r="BI51" s="451">
        <v>0</v>
      </c>
      <c r="BJ51" s="451">
        <v>7192495</v>
      </c>
      <c r="BK51" s="451">
        <v>3596247</v>
      </c>
      <c r="BL51" s="451">
        <v>2157749</v>
      </c>
      <c r="BM51" s="451">
        <v>1438499</v>
      </c>
      <c r="BN51" s="451">
        <v>0</v>
      </c>
      <c r="BO51" s="451">
        <v>7192495</v>
      </c>
      <c r="BP51" s="451">
        <v>0</v>
      </c>
      <c r="BQ51" s="451">
        <v>0</v>
      </c>
      <c r="BR51" s="451">
        <v>0</v>
      </c>
      <c r="BS51" s="451">
        <v>0</v>
      </c>
      <c r="BT51" s="451">
        <v>0</v>
      </c>
      <c r="BU51" s="451">
        <v>9964126</v>
      </c>
      <c r="BV51" s="451">
        <v>5978475</v>
      </c>
      <c r="BW51" s="451">
        <v>3985650</v>
      </c>
      <c r="BX51" s="451">
        <v>0</v>
      </c>
      <c r="BY51" s="451">
        <v>19928251</v>
      </c>
      <c r="BZ51" s="451">
        <v>9964126</v>
      </c>
      <c r="CA51" s="451">
        <v>5978475</v>
      </c>
      <c r="CB51" s="451">
        <v>3985650</v>
      </c>
      <c r="CC51" s="451">
        <v>0</v>
      </c>
      <c r="CD51" s="451">
        <v>19928251</v>
      </c>
      <c r="CE51" s="104"/>
      <c r="CF51" s="104"/>
      <c r="CG51" s="104"/>
    </row>
    <row r="52" spans="1:85" ht="12.75" x14ac:dyDescent="0.2">
      <c r="A52" s="446">
        <v>45</v>
      </c>
      <c r="B52" s="447" t="s">
        <v>671</v>
      </c>
      <c r="C52" s="448" t="s">
        <v>1093</v>
      </c>
      <c r="D52" s="449" t="s">
        <v>1103</v>
      </c>
      <c r="E52" s="450" t="s">
        <v>670</v>
      </c>
      <c r="F52" s="451">
        <v>16186825</v>
      </c>
      <c r="G52" s="451">
        <v>12949459</v>
      </c>
      <c r="H52" s="451">
        <v>2913628</v>
      </c>
      <c r="I52" s="451">
        <v>323736</v>
      </c>
      <c r="J52" s="451">
        <v>32373648</v>
      </c>
      <c r="K52" s="451">
        <v>0</v>
      </c>
      <c r="L52" s="451">
        <v>0</v>
      </c>
      <c r="M52" s="451">
        <v>16186825</v>
      </c>
      <c r="N52" s="451">
        <v>32373648</v>
      </c>
      <c r="O52" s="451">
        <v>138250</v>
      </c>
      <c r="P52" s="451">
        <v>138250</v>
      </c>
      <c r="Q52" s="451">
        <v>0</v>
      </c>
      <c r="R52" s="451">
        <v>0</v>
      </c>
      <c r="S52" s="451">
        <v>0</v>
      </c>
      <c r="T52" s="451">
        <v>0</v>
      </c>
      <c r="U52" s="451">
        <v>0</v>
      </c>
      <c r="V52" s="451">
        <v>0</v>
      </c>
      <c r="W52" s="451">
        <v>0</v>
      </c>
      <c r="X52" s="451">
        <v>0</v>
      </c>
      <c r="Y52" s="451">
        <v>0</v>
      </c>
      <c r="Z52" s="451">
        <v>0</v>
      </c>
      <c r="AA52" s="451">
        <v>0</v>
      </c>
      <c r="AB52" s="451">
        <v>1268796</v>
      </c>
      <c r="AC52" s="451">
        <v>1015037</v>
      </c>
      <c r="AD52" s="451">
        <v>228383</v>
      </c>
      <c r="AE52" s="451">
        <v>25376</v>
      </c>
      <c r="AF52" s="451">
        <v>2537592</v>
      </c>
      <c r="AG52" s="451">
        <v>329835</v>
      </c>
      <c r="AH52" s="451">
        <v>263868</v>
      </c>
      <c r="AI52" s="451">
        <v>59370</v>
      </c>
      <c r="AJ52" s="451">
        <v>6597</v>
      </c>
      <c r="AK52" s="451">
        <v>659670</v>
      </c>
      <c r="AL52" s="451">
        <v>339841</v>
      </c>
      <c r="AM52" s="451">
        <v>271873</v>
      </c>
      <c r="AN52" s="451">
        <v>61171</v>
      </c>
      <c r="AO52" s="451">
        <v>6797</v>
      </c>
      <c r="AP52" s="451">
        <v>679682</v>
      </c>
      <c r="AQ52" s="451">
        <v>507424</v>
      </c>
      <c r="AR52" s="451">
        <v>405938</v>
      </c>
      <c r="AS52" s="451">
        <v>91336</v>
      </c>
      <c r="AT52" s="451">
        <v>10148</v>
      </c>
      <c r="AU52" s="451">
        <v>1014846</v>
      </c>
      <c r="AV52" s="451">
        <v>847265</v>
      </c>
      <c r="AW52" s="451">
        <v>677811</v>
      </c>
      <c r="AX52" s="451">
        <v>152507</v>
      </c>
      <c r="AY52" s="451">
        <v>16945</v>
      </c>
      <c r="AZ52" s="451">
        <v>1694528</v>
      </c>
      <c r="BA52" s="451">
        <v>0</v>
      </c>
      <c r="BB52" s="451">
        <v>0</v>
      </c>
      <c r="BC52" s="451">
        <v>0</v>
      </c>
      <c r="BD52" s="451">
        <v>0</v>
      </c>
      <c r="BE52" s="451">
        <v>0</v>
      </c>
      <c r="BF52" s="451">
        <v>205915</v>
      </c>
      <c r="BG52" s="451">
        <v>164732</v>
      </c>
      <c r="BH52" s="451">
        <v>37065</v>
      </c>
      <c r="BI52" s="451">
        <v>4118</v>
      </c>
      <c r="BJ52" s="451">
        <v>411830</v>
      </c>
      <c r="BK52" s="451">
        <v>205915</v>
      </c>
      <c r="BL52" s="451">
        <v>164732</v>
      </c>
      <c r="BM52" s="451">
        <v>37065</v>
      </c>
      <c r="BN52" s="451">
        <v>4118</v>
      </c>
      <c r="BO52" s="451">
        <v>411830</v>
      </c>
      <c r="BP52" s="451">
        <v>0</v>
      </c>
      <c r="BQ52" s="451">
        <v>0</v>
      </c>
      <c r="BR52" s="451">
        <v>0</v>
      </c>
      <c r="BS52" s="451">
        <v>0</v>
      </c>
      <c r="BT52" s="451">
        <v>0</v>
      </c>
      <c r="BU52" s="451">
        <v>617752</v>
      </c>
      <c r="BV52" s="451">
        <v>494201</v>
      </c>
      <c r="BW52" s="451">
        <v>111195</v>
      </c>
      <c r="BX52" s="451">
        <v>12355</v>
      </c>
      <c r="BY52" s="451">
        <v>1235503</v>
      </c>
      <c r="BZ52" s="451">
        <v>617752</v>
      </c>
      <c r="CA52" s="451">
        <v>494201</v>
      </c>
      <c r="CB52" s="451">
        <v>111195</v>
      </c>
      <c r="CC52" s="451">
        <v>12355</v>
      </c>
      <c r="CD52" s="451">
        <v>1235503</v>
      </c>
      <c r="CE52" s="104"/>
      <c r="CF52" s="104"/>
      <c r="CG52" s="104"/>
    </row>
    <row r="53" spans="1:85" ht="12.75" x14ac:dyDescent="0.2">
      <c r="A53" s="446">
        <v>46</v>
      </c>
      <c r="B53" s="447" t="s">
        <v>673</v>
      </c>
      <c r="C53" s="448" t="s">
        <v>1093</v>
      </c>
      <c r="D53" s="449" t="s">
        <v>1094</v>
      </c>
      <c r="E53" s="450" t="s">
        <v>672</v>
      </c>
      <c r="F53" s="451">
        <v>24739636</v>
      </c>
      <c r="G53" s="451">
        <v>19791709</v>
      </c>
      <c r="H53" s="451">
        <v>4453134</v>
      </c>
      <c r="I53" s="451">
        <v>494793</v>
      </c>
      <c r="J53" s="451">
        <v>49479272</v>
      </c>
      <c r="K53" s="451">
        <v>0</v>
      </c>
      <c r="L53" s="451">
        <v>0</v>
      </c>
      <c r="M53" s="451">
        <v>24739636</v>
      </c>
      <c r="N53" s="451">
        <v>49479272</v>
      </c>
      <c r="O53" s="451">
        <v>229695</v>
      </c>
      <c r="P53" s="451">
        <v>229695</v>
      </c>
      <c r="Q53" s="451">
        <v>0</v>
      </c>
      <c r="R53" s="451">
        <v>0</v>
      </c>
      <c r="S53" s="451">
        <v>0</v>
      </c>
      <c r="T53" s="451">
        <v>0</v>
      </c>
      <c r="U53" s="451">
        <v>0</v>
      </c>
      <c r="V53" s="451">
        <v>0</v>
      </c>
      <c r="W53" s="451">
        <v>0</v>
      </c>
      <c r="X53" s="451">
        <v>0</v>
      </c>
      <c r="Y53" s="451">
        <v>0</v>
      </c>
      <c r="Z53" s="451">
        <v>0</v>
      </c>
      <c r="AA53" s="451">
        <v>0</v>
      </c>
      <c r="AB53" s="451">
        <v>713064</v>
      </c>
      <c r="AC53" s="451">
        <v>570451</v>
      </c>
      <c r="AD53" s="451">
        <v>128351</v>
      </c>
      <c r="AE53" s="451">
        <v>14261</v>
      </c>
      <c r="AF53" s="451">
        <v>1426127</v>
      </c>
      <c r="AG53" s="451">
        <v>-623378</v>
      </c>
      <c r="AH53" s="451">
        <v>-498702</v>
      </c>
      <c r="AI53" s="451">
        <v>-112208</v>
      </c>
      <c r="AJ53" s="451">
        <v>-12468</v>
      </c>
      <c r="AK53" s="451">
        <v>-1246756</v>
      </c>
      <c r="AL53" s="451">
        <v>217716</v>
      </c>
      <c r="AM53" s="451">
        <v>174173</v>
      </c>
      <c r="AN53" s="451">
        <v>39189</v>
      </c>
      <c r="AO53" s="451">
        <v>4354</v>
      </c>
      <c r="AP53" s="451">
        <v>435432</v>
      </c>
      <c r="AQ53" s="451">
        <v>110383</v>
      </c>
      <c r="AR53" s="451">
        <v>88306</v>
      </c>
      <c r="AS53" s="451">
        <v>19869</v>
      </c>
      <c r="AT53" s="451">
        <v>2208</v>
      </c>
      <c r="AU53" s="451">
        <v>220766</v>
      </c>
      <c r="AV53" s="451">
        <v>328099</v>
      </c>
      <c r="AW53" s="451">
        <v>262479</v>
      </c>
      <c r="AX53" s="451">
        <v>59058</v>
      </c>
      <c r="AY53" s="451">
        <v>6562</v>
      </c>
      <c r="AZ53" s="451">
        <v>656198</v>
      </c>
      <c r="BA53" s="451">
        <v>0</v>
      </c>
      <c r="BB53" s="451">
        <v>0</v>
      </c>
      <c r="BC53" s="451">
        <v>0</v>
      </c>
      <c r="BD53" s="451">
        <v>0</v>
      </c>
      <c r="BE53" s="451">
        <v>0</v>
      </c>
      <c r="BF53" s="451">
        <v>231943</v>
      </c>
      <c r="BG53" s="451">
        <v>185555</v>
      </c>
      <c r="BH53" s="451">
        <v>41750</v>
      </c>
      <c r="BI53" s="451">
        <v>4639</v>
      </c>
      <c r="BJ53" s="451">
        <v>463887</v>
      </c>
      <c r="BK53" s="451">
        <v>231943</v>
      </c>
      <c r="BL53" s="451">
        <v>185555</v>
      </c>
      <c r="BM53" s="451">
        <v>41750</v>
      </c>
      <c r="BN53" s="451">
        <v>4639</v>
      </c>
      <c r="BO53" s="451">
        <v>463887</v>
      </c>
      <c r="BP53" s="451">
        <v>0</v>
      </c>
      <c r="BQ53" s="451">
        <v>0</v>
      </c>
      <c r="BR53" s="451">
        <v>0</v>
      </c>
      <c r="BS53" s="451">
        <v>0</v>
      </c>
      <c r="BT53" s="451">
        <v>0</v>
      </c>
      <c r="BU53" s="451">
        <v>342387</v>
      </c>
      <c r="BV53" s="451">
        <v>273910</v>
      </c>
      <c r="BW53" s="451">
        <v>61630</v>
      </c>
      <c r="BX53" s="451">
        <v>6848</v>
      </c>
      <c r="BY53" s="451">
        <v>684775</v>
      </c>
      <c r="BZ53" s="451">
        <v>342387</v>
      </c>
      <c r="CA53" s="451">
        <v>273910</v>
      </c>
      <c r="CB53" s="451">
        <v>61630</v>
      </c>
      <c r="CC53" s="451">
        <v>6848</v>
      </c>
      <c r="CD53" s="451">
        <v>684775</v>
      </c>
      <c r="CE53" s="104"/>
      <c r="CF53" s="104"/>
      <c r="CG53" s="104"/>
    </row>
    <row r="54" spans="1:85" ht="12.75" x14ac:dyDescent="0.2">
      <c r="A54" s="446">
        <v>47</v>
      </c>
      <c r="B54" s="447" t="s">
        <v>675</v>
      </c>
      <c r="C54" s="448" t="s">
        <v>1093</v>
      </c>
      <c r="D54" s="449" t="s">
        <v>1095</v>
      </c>
      <c r="E54" s="450" t="s">
        <v>674</v>
      </c>
      <c r="F54" s="451">
        <v>19252207</v>
      </c>
      <c r="G54" s="451">
        <v>15401766</v>
      </c>
      <c r="H54" s="451">
        <v>3850442</v>
      </c>
      <c r="I54" s="451">
        <v>0</v>
      </c>
      <c r="J54" s="451">
        <v>38504415</v>
      </c>
      <c r="K54" s="451">
        <v>0</v>
      </c>
      <c r="L54" s="451">
        <v>0</v>
      </c>
      <c r="M54" s="451">
        <v>19252207</v>
      </c>
      <c r="N54" s="451">
        <v>38504415</v>
      </c>
      <c r="O54" s="451">
        <v>180543</v>
      </c>
      <c r="P54" s="451">
        <v>180543</v>
      </c>
      <c r="Q54" s="451">
        <v>0</v>
      </c>
      <c r="R54" s="451">
        <v>0</v>
      </c>
      <c r="S54" s="451">
        <v>0</v>
      </c>
      <c r="T54" s="451">
        <v>0</v>
      </c>
      <c r="U54" s="451">
        <v>0</v>
      </c>
      <c r="V54" s="451">
        <v>0</v>
      </c>
      <c r="W54" s="451">
        <v>0</v>
      </c>
      <c r="X54" s="451">
        <v>0</v>
      </c>
      <c r="Y54" s="451">
        <v>0</v>
      </c>
      <c r="Z54" s="451">
        <v>0</v>
      </c>
      <c r="AA54" s="451">
        <v>0</v>
      </c>
      <c r="AB54" s="451">
        <v>349470</v>
      </c>
      <c r="AC54" s="451">
        <v>279576</v>
      </c>
      <c r="AD54" s="451">
        <v>69894</v>
      </c>
      <c r="AE54" s="451">
        <v>0</v>
      </c>
      <c r="AF54" s="451">
        <v>698940</v>
      </c>
      <c r="AG54" s="451">
        <v>279858</v>
      </c>
      <c r="AH54" s="451">
        <v>223887</v>
      </c>
      <c r="AI54" s="451">
        <v>55972</v>
      </c>
      <c r="AJ54" s="451">
        <v>0</v>
      </c>
      <c r="AK54" s="451">
        <v>559717</v>
      </c>
      <c r="AL54" s="451">
        <v>106939</v>
      </c>
      <c r="AM54" s="451">
        <v>85552</v>
      </c>
      <c r="AN54" s="451">
        <v>21388</v>
      </c>
      <c r="AO54" s="451">
        <v>0</v>
      </c>
      <c r="AP54" s="451">
        <v>213879</v>
      </c>
      <c r="AQ54" s="451">
        <v>29998</v>
      </c>
      <c r="AR54" s="451">
        <v>23998</v>
      </c>
      <c r="AS54" s="451">
        <v>6000</v>
      </c>
      <c r="AT54" s="451">
        <v>0</v>
      </c>
      <c r="AU54" s="451">
        <v>59996</v>
      </c>
      <c r="AV54" s="451">
        <v>136937</v>
      </c>
      <c r="AW54" s="451">
        <v>109550</v>
      </c>
      <c r="AX54" s="451">
        <v>27388</v>
      </c>
      <c r="AY54" s="451">
        <v>0</v>
      </c>
      <c r="AZ54" s="451">
        <v>273875</v>
      </c>
      <c r="BA54" s="451">
        <v>0</v>
      </c>
      <c r="BB54" s="451">
        <v>0</v>
      </c>
      <c r="BC54" s="451">
        <v>0</v>
      </c>
      <c r="BD54" s="451">
        <v>0</v>
      </c>
      <c r="BE54" s="451">
        <v>0</v>
      </c>
      <c r="BF54" s="451">
        <v>304658</v>
      </c>
      <c r="BG54" s="451">
        <v>243727</v>
      </c>
      <c r="BH54" s="451">
        <v>60932</v>
      </c>
      <c r="BI54" s="451">
        <v>0</v>
      </c>
      <c r="BJ54" s="451">
        <v>609317</v>
      </c>
      <c r="BK54" s="451">
        <v>304658</v>
      </c>
      <c r="BL54" s="451">
        <v>243727</v>
      </c>
      <c r="BM54" s="451">
        <v>60932</v>
      </c>
      <c r="BN54" s="451">
        <v>0</v>
      </c>
      <c r="BO54" s="451">
        <v>609317</v>
      </c>
      <c r="BP54" s="451">
        <v>0</v>
      </c>
      <c r="BQ54" s="451">
        <v>0</v>
      </c>
      <c r="BR54" s="451">
        <v>0</v>
      </c>
      <c r="BS54" s="451">
        <v>0</v>
      </c>
      <c r="BT54" s="451">
        <v>0</v>
      </c>
      <c r="BU54" s="451">
        <v>705682</v>
      </c>
      <c r="BV54" s="451">
        <v>564546</v>
      </c>
      <c r="BW54" s="451">
        <v>141136</v>
      </c>
      <c r="BX54" s="451">
        <v>0</v>
      </c>
      <c r="BY54" s="451">
        <v>1411364</v>
      </c>
      <c r="BZ54" s="451">
        <v>705682</v>
      </c>
      <c r="CA54" s="451">
        <v>564546</v>
      </c>
      <c r="CB54" s="451">
        <v>141136</v>
      </c>
      <c r="CC54" s="451">
        <v>0</v>
      </c>
      <c r="CD54" s="451">
        <v>1411364</v>
      </c>
      <c r="CE54" s="104"/>
      <c r="CF54" s="104"/>
      <c r="CG54" s="104"/>
    </row>
    <row r="55" spans="1:85" ht="12.75" x14ac:dyDescent="0.2">
      <c r="A55" s="446">
        <v>48</v>
      </c>
      <c r="B55" s="447" t="s">
        <v>677</v>
      </c>
      <c r="C55" s="448" t="s">
        <v>1093</v>
      </c>
      <c r="D55" s="449" t="s">
        <v>1097</v>
      </c>
      <c r="E55" s="450" t="s">
        <v>676</v>
      </c>
      <c r="F55" s="451">
        <v>7227374</v>
      </c>
      <c r="G55" s="451">
        <v>5781900</v>
      </c>
      <c r="H55" s="451">
        <v>1300928</v>
      </c>
      <c r="I55" s="451">
        <v>144548</v>
      </c>
      <c r="J55" s="451">
        <v>14454750</v>
      </c>
      <c r="K55" s="451">
        <v>0</v>
      </c>
      <c r="L55" s="451">
        <v>0</v>
      </c>
      <c r="M55" s="451">
        <v>7227374</v>
      </c>
      <c r="N55" s="451">
        <v>14454750</v>
      </c>
      <c r="O55" s="451">
        <v>81864</v>
      </c>
      <c r="P55" s="451">
        <v>81864</v>
      </c>
      <c r="Q55" s="451">
        <v>0</v>
      </c>
      <c r="R55" s="451">
        <v>0</v>
      </c>
      <c r="S55" s="451">
        <v>0</v>
      </c>
      <c r="T55" s="451">
        <v>0</v>
      </c>
      <c r="U55" s="451">
        <v>0</v>
      </c>
      <c r="V55" s="451">
        <v>0</v>
      </c>
      <c r="W55" s="451">
        <v>0</v>
      </c>
      <c r="X55" s="451">
        <v>0</v>
      </c>
      <c r="Y55" s="451">
        <v>0</v>
      </c>
      <c r="Z55" s="451">
        <v>0</v>
      </c>
      <c r="AA55" s="451">
        <v>0</v>
      </c>
      <c r="AB55" s="451">
        <v>125162.45</v>
      </c>
      <c r="AC55" s="451">
        <v>100130</v>
      </c>
      <c r="AD55" s="451">
        <v>22529</v>
      </c>
      <c r="AE55" s="451">
        <v>2503</v>
      </c>
      <c r="AF55" s="451">
        <v>250324.45</v>
      </c>
      <c r="AG55" s="451">
        <v>71610.52</v>
      </c>
      <c r="AH55" s="451">
        <v>57288</v>
      </c>
      <c r="AI55" s="451">
        <v>12890</v>
      </c>
      <c r="AJ55" s="451">
        <v>1432</v>
      </c>
      <c r="AK55" s="451">
        <v>143220.51999999999</v>
      </c>
      <c r="AL55" s="451">
        <v>22712</v>
      </c>
      <c r="AM55" s="451">
        <v>18170</v>
      </c>
      <c r="AN55" s="451">
        <v>4088</v>
      </c>
      <c r="AO55" s="451">
        <v>454</v>
      </c>
      <c r="AP55" s="451">
        <v>45424</v>
      </c>
      <c r="AQ55" s="451">
        <v>55295</v>
      </c>
      <c r="AR55" s="451">
        <v>44236</v>
      </c>
      <c r="AS55" s="451">
        <v>9953</v>
      </c>
      <c r="AT55" s="451">
        <v>1106</v>
      </c>
      <c r="AU55" s="451">
        <v>110590</v>
      </c>
      <c r="AV55" s="451">
        <v>78007</v>
      </c>
      <c r="AW55" s="451">
        <v>62406</v>
      </c>
      <c r="AX55" s="451">
        <v>14041</v>
      </c>
      <c r="AY55" s="451">
        <v>1560</v>
      </c>
      <c r="AZ55" s="451">
        <v>156014</v>
      </c>
      <c r="BA55" s="451">
        <v>0</v>
      </c>
      <c r="BB55" s="451">
        <v>0</v>
      </c>
      <c r="BC55" s="451">
        <v>0</v>
      </c>
      <c r="BD55" s="451">
        <v>0</v>
      </c>
      <c r="BE55" s="451">
        <v>0</v>
      </c>
      <c r="BF55" s="451">
        <v>99351</v>
      </c>
      <c r="BG55" s="451">
        <v>79481</v>
      </c>
      <c r="BH55" s="451">
        <v>17883</v>
      </c>
      <c r="BI55" s="451">
        <v>1987</v>
      </c>
      <c r="BJ55" s="451">
        <v>198702</v>
      </c>
      <c r="BK55" s="451">
        <v>99351</v>
      </c>
      <c r="BL55" s="451">
        <v>79481</v>
      </c>
      <c r="BM55" s="451">
        <v>17883</v>
      </c>
      <c r="BN55" s="451">
        <v>1987</v>
      </c>
      <c r="BO55" s="451">
        <v>198702</v>
      </c>
      <c r="BP55" s="451">
        <v>0</v>
      </c>
      <c r="BQ55" s="451">
        <v>0</v>
      </c>
      <c r="BR55" s="451">
        <v>0</v>
      </c>
      <c r="BS55" s="451">
        <v>0</v>
      </c>
      <c r="BT55" s="451">
        <v>0</v>
      </c>
      <c r="BU55" s="451">
        <v>137199</v>
      </c>
      <c r="BV55" s="451">
        <v>109759</v>
      </c>
      <c r="BW55" s="451">
        <v>24696</v>
      </c>
      <c r="BX55" s="451">
        <v>2744</v>
      </c>
      <c r="BY55" s="451">
        <v>274398</v>
      </c>
      <c r="BZ55" s="451">
        <v>137199</v>
      </c>
      <c r="CA55" s="451">
        <v>109759</v>
      </c>
      <c r="CB55" s="451">
        <v>24696</v>
      </c>
      <c r="CC55" s="451">
        <v>2744</v>
      </c>
      <c r="CD55" s="451">
        <v>274398</v>
      </c>
      <c r="CE55" s="104"/>
      <c r="CF55" s="104"/>
      <c r="CG55" s="104"/>
    </row>
    <row r="56" spans="1:85" ht="12.75" x14ac:dyDescent="0.2">
      <c r="A56" s="446">
        <v>49</v>
      </c>
      <c r="B56" s="447" t="s">
        <v>679</v>
      </c>
      <c r="C56" s="448" t="s">
        <v>794</v>
      </c>
      <c r="D56" s="449" t="s">
        <v>1097</v>
      </c>
      <c r="E56" s="450" t="s">
        <v>678</v>
      </c>
      <c r="F56" s="451">
        <v>35717876</v>
      </c>
      <c r="G56" s="451">
        <v>35003519</v>
      </c>
      <c r="H56" s="451">
        <v>0</v>
      </c>
      <c r="I56" s="451">
        <v>714358</v>
      </c>
      <c r="J56" s="451">
        <v>71435753</v>
      </c>
      <c r="K56" s="451">
        <v>0</v>
      </c>
      <c r="L56" s="451">
        <v>0</v>
      </c>
      <c r="M56" s="451">
        <v>35717876</v>
      </c>
      <c r="N56" s="451">
        <v>71435753</v>
      </c>
      <c r="O56" s="451">
        <v>315029</v>
      </c>
      <c r="P56" s="451">
        <v>315029</v>
      </c>
      <c r="Q56" s="451">
        <v>0</v>
      </c>
      <c r="R56" s="451">
        <v>0</v>
      </c>
      <c r="S56" s="451">
        <v>0</v>
      </c>
      <c r="T56" s="451">
        <v>0</v>
      </c>
      <c r="U56" s="451">
        <v>0</v>
      </c>
      <c r="V56" s="451">
        <v>0</v>
      </c>
      <c r="W56" s="451">
        <v>0</v>
      </c>
      <c r="X56" s="451">
        <v>0</v>
      </c>
      <c r="Y56" s="451">
        <v>0</v>
      </c>
      <c r="Z56" s="451">
        <v>0</v>
      </c>
      <c r="AA56" s="451">
        <v>0</v>
      </c>
      <c r="AB56" s="451">
        <v>2585053</v>
      </c>
      <c r="AC56" s="451">
        <v>2533352</v>
      </c>
      <c r="AD56" s="451">
        <v>0</v>
      </c>
      <c r="AE56" s="451">
        <v>51701</v>
      </c>
      <c r="AF56" s="451">
        <v>5170106</v>
      </c>
      <c r="AG56" s="451">
        <v>321382</v>
      </c>
      <c r="AH56" s="451">
        <v>314955</v>
      </c>
      <c r="AI56" s="451">
        <v>0</v>
      </c>
      <c r="AJ56" s="451">
        <v>6428</v>
      </c>
      <c r="AK56" s="451">
        <v>642765</v>
      </c>
      <c r="AL56" s="451">
        <v>222155</v>
      </c>
      <c r="AM56" s="451">
        <v>217712</v>
      </c>
      <c r="AN56" s="451">
        <v>0</v>
      </c>
      <c r="AO56" s="451">
        <v>4443</v>
      </c>
      <c r="AP56" s="451">
        <v>444310</v>
      </c>
      <c r="AQ56" s="451">
        <v>87324</v>
      </c>
      <c r="AR56" s="451">
        <v>85578</v>
      </c>
      <c r="AS56" s="451">
        <v>0</v>
      </c>
      <c r="AT56" s="451">
        <v>1746</v>
      </c>
      <c r="AU56" s="451">
        <v>174648</v>
      </c>
      <c r="AV56" s="451">
        <v>309479</v>
      </c>
      <c r="AW56" s="451">
        <v>303290</v>
      </c>
      <c r="AX56" s="451">
        <v>0</v>
      </c>
      <c r="AY56" s="451">
        <v>6189</v>
      </c>
      <c r="AZ56" s="451">
        <v>618958</v>
      </c>
      <c r="BA56" s="451">
        <v>0</v>
      </c>
      <c r="BB56" s="451">
        <v>0</v>
      </c>
      <c r="BC56" s="451">
        <v>0</v>
      </c>
      <c r="BD56" s="451">
        <v>0</v>
      </c>
      <c r="BE56" s="451">
        <v>0</v>
      </c>
      <c r="BF56" s="451">
        <v>537170</v>
      </c>
      <c r="BG56" s="451">
        <v>526427</v>
      </c>
      <c r="BH56" s="451">
        <v>0</v>
      </c>
      <c r="BI56" s="451">
        <v>10743</v>
      </c>
      <c r="BJ56" s="451">
        <v>1074340</v>
      </c>
      <c r="BK56" s="451">
        <v>537170</v>
      </c>
      <c r="BL56" s="451">
        <v>526427</v>
      </c>
      <c r="BM56" s="451">
        <v>0</v>
      </c>
      <c r="BN56" s="451">
        <v>10743</v>
      </c>
      <c r="BO56" s="451">
        <v>1074340</v>
      </c>
      <c r="BP56" s="451">
        <v>0</v>
      </c>
      <c r="BQ56" s="451">
        <v>0</v>
      </c>
      <c r="BR56" s="451">
        <v>0</v>
      </c>
      <c r="BS56" s="451">
        <v>0</v>
      </c>
      <c r="BT56" s="451">
        <v>0</v>
      </c>
      <c r="BU56" s="451">
        <v>1490809</v>
      </c>
      <c r="BV56" s="451">
        <v>1460992</v>
      </c>
      <c r="BW56" s="451">
        <v>0</v>
      </c>
      <c r="BX56" s="451">
        <v>29816</v>
      </c>
      <c r="BY56" s="451">
        <v>2981617</v>
      </c>
      <c r="BZ56" s="451">
        <v>1490809</v>
      </c>
      <c r="CA56" s="451">
        <v>1460992</v>
      </c>
      <c r="CB56" s="451">
        <v>0</v>
      </c>
      <c r="CC56" s="451">
        <v>29816</v>
      </c>
      <c r="CD56" s="451">
        <v>2981617</v>
      </c>
      <c r="CE56" s="104"/>
      <c r="CF56" s="104"/>
      <c r="CG56" s="104"/>
    </row>
    <row r="57" spans="1:85" ht="12.75" x14ac:dyDescent="0.2">
      <c r="A57" s="446">
        <v>50</v>
      </c>
      <c r="B57" s="447" t="s">
        <v>681</v>
      </c>
      <c r="C57" s="448" t="s">
        <v>1093</v>
      </c>
      <c r="D57" s="449" t="s">
        <v>1096</v>
      </c>
      <c r="E57" s="450" t="s">
        <v>680</v>
      </c>
      <c r="F57" s="451">
        <v>20074593</v>
      </c>
      <c r="G57" s="451">
        <v>16059675</v>
      </c>
      <c r="H57" s="451">
        <v>3613427</v>
      </c>
      <c r="I57" s="451">
        <v>401492</v>
      </c>
      <c r="J57" s="451">
        <v>40149187</v>
      </c>
      <c r="K57" s="451">
        <v>0</v>
      </c>
      <c r="L57" s="451">
        <v>0</v>
      </c>
      <c r="M57" s="451">
        <v>20074593</v>
      </c>
      <c r="N57" s="451">
        <v>40149187</v>
      </c>
      <c r="O57" s="451">
        <v>194292</v>
      </c>
      <c r="P57" s="451">
        <v>194292</v>
      </c>
      <c r="Q57" s="451">
        <v>0</v>
      </c>
      <c r="R57" s="451">
        <v>0</v>
      </c>
      <c r="S57" s="451">
        <v>0</v>
      </c>
      <c r="T57" s="451">
        <v>0</v>
      </c>
      <c r="U57" s="451">
        <v>121606</v>
      </c>
      <c r="V57" s="451">
        <v>0</v>
      </c>
      <c r="W57" s="451">
        <v>121606</v>
      </c>
      <c r="X57" s="451">
        <v>0</v>
      </c>
      <c r="Y57" s="451">
        <v>0</v>
      </c>
      <c r="Z57" s="451">
        <v>0</v>
      </c>
      <c r="AA57" s="451">
        <v>0</v>
      </c>
      <c r="AB57" s="451">
        <v>535972</v>
      </c>
      <c r="AC57" s="451">
        <v>428778</v>
      </c>
      <c r="AD57" s="451">
        <v>96475</v>
      </c>
      <c r="AE57" s="451">
        <v>10719</v>
      </c>
      <c r="AF57" s="451">
        <v>1071944</v>
      </c>
      <c r="AG57" s="451">
        <v>311257</v>
      </c>
      <c r="AH57" s="451">
        <v>249005</v>
      </c>
      <c r="AI57" s="451">
        <v>56026</v>
      </c>
      <c r="AJ57" s="451">
        <v>6225</v>
      </c>
      <c r="AK57" s="451">
        <v>622513</v>
      </c>
      <c r="AL57" s="451">
        <v>73233</v>
      </c>
      <c r="AM57" s="451">
        <v>58586</v>
      </c>
      <c r="AN57" s="451">
        <v>13182</v>
      </c>
      <c r="AO57" s="451">
        <v>1465</v>
      </c>
      <c r="AP57" s="451">
        <v>146466</v>
      </c>
      <c r="AQ57" s="451">
        <v>22533</v>
      </c>
      <c r="AR57" s="451">
        <v>18027</v>
      </c>
      <c r="AS57" s="451">
        <v>4056</v>
      </c>
      <c r="AT57" s="451">
        <v>451</v>
      </c>
      <c r="AU57" s="451">
        <v>45067</v>
      </c>
      <c r="AV57" s="451">
        <v>95766</v>
      </c>
      <c r="AW57" s="451">
        <v>76613</v>
      </c>
      <c r="AX57" s="451">
        <v>17238</v>
      </c>
      <c r="AY57" s="451">
        <v>1916</v>
      </c>
      <c r="AZ57" s="451">
        <v>191533</v>
      </c>
      <c r="BA57" s="451">
        <v>0</v>
      </c>
      <c r="BB57" s="451">
        <v>0</v>
      </c>
      <c r="BC57" s="451">
        <v>0</v>
      </c>
      <c r="BD57" s="451">
        <v>0</v>
      </c>
      <c r="BE57" s="451">
        <v>0</v>
      </c>
      <c r="BF57" s="451">
        <v>318411</v>
      </c>
      <c r="BG57" s="451">
        <v>254729</v>
      </c>
      <c r="BH57" s="451">
        <v>57314</v>
      </c>
      <c r="BI57" s="451">
        <v>6368</v>
      </c>
      <c r="BJ57" s="451">
        <v>636822</v>
      </c>
      <c r="BK57" s="451">
        <v>318411</v>
      </c>
      <c r="BL57" s="451">
        <v>254729</v>
      </c>
      <c r="BM57" s="451">
        <v>57314</v>
      </c>
      <c r="BN57" s="451">
        <v>6368</v>
      </c>
      <c r="BO57" s="451">
        <v>636822</v>
      </c>
      <c r="BP57" s="451">
        <v>0</v>
      </c>
      <c r="BQ57" s="451">
        <v>0</v>
      </c>
      <c r="BR57" s="451">
        <v>0</v>
      </c>
      <c r="BS57" s="451">
        <v>0</v>
      </c>
      <c r="BT57" s="451">
        <v>0</v>
      </c>
      <c r="BU57" s="451">
        <v>505233</v>
      </c>
      <c r="BV57" s="451">
        <v>404186</v>
      </c>
      <c r="BW57" s="451">
        <v>90942</v>
      </c>
      <c r="BX57" s="451">
        <v>10105</v>
      </c>
      <c r="BY57" s="451">
        <v>1010466</v>
      </c>
      <c r="BZ57" s="451">
        <v>505233</v>
      </c>
      <c r="CA57" s="451">
        <v>404186</v>
      </c>
      <c r="CB57" s="451">
        <v>90942</v>
      </c>
      <c r="CC57" s="451">
        <v>10105</v>
      </c>
      <c r="CD57" s="451">
        <v>1010466</v>
      </c>
      <c r="CE57" s="104"/>
      <c r="CF57" s="104"/>
      <c r="CG57" s="104"/>
    </row>
    <row r="58" spans="1:85" ht="12.75" x14ac:dyDescent="0.2">
      <c r="A58" s="446">
        <v>51</v>
      </c>
      <c r="B58" s="447" t="s">
        <v>683</v>
      </c>
      <c r="C58" s="448" t="s">
        <v>1093</v>
      </c>
      <c r="D58" s="449" t="s">
        <v>1097</v>
      </c>
      <c r="E58" s="450" t="s">
        <v>682</v>
      </c>
      <c r="F58" s="451">
        <v>36020412</v>
      </c>
      <c r="G58" s="451">
        <v>28816329</v>
      </c>
      <c r="H58" s="451">
        <v>6483674</v>
      </c>
      <c r="I58" s="451">
        <v>720408</v>
      </c>
      <c r="J58" s="451">
        <v>72040823</v>
      </c>
      <c r="K58" s="451">
        <v>0</v>
      </c>
      <c r="L58" s="451">
        <v>0</v>
      </c>
      <c r="M58" s="451">
        <v>36020412</v>
      </c>
      <c r="N58" s="451">
        <v>72040823</v>
      </c>
      <c r="O58" s="451">
        <v>224329</v>
      </c>
      <c r="P58" s="451">
        <v>224329</v>
      </c>
      <c r="Q58" s="451">
        <v>0</v>
      </c>
      <c r="R58" s="451">
        <v>0</v>
      </c>
      <c r="S58" s="451">
        <v>0</v>
      </c>
      <c r="T58" s="451">
        <v>0</v>
      </c>
      <c r="U58" s="451">
        <v>0</v>
      </c>
      <c r="V58" s="451">
        <v>0</v>
      </c>
      <c r="W58" s="451">
        <v>0</v>
      </c>
      <c r="X58" s="451">
        <v>0</v>
      </c>
      <c r="Y58" s="451">
        <v>0</v>
      </c>
      <c r="Z58" s="451">
        <v>0</v>
      </c>
      <c r="AA58" s="451">
        <v>0</v>
      </c>
      <c r="AB58" s="451">
        <v>1349107.07</v>
      </c>
      <c r="AC58" s="451">
        <v>1079285</v>
      </c>
      <c r="AD58" s="451">
        <v>242839</v>
      </c>
      <c r="AE58" s="451">
        <v>26982</v>
      </c>
      <c r="AF58" s="451">
        <v>2698213.07</v>
      </c>
      <c r="AG58" s="451">
        <v>875252.94</v>
      </c>
      <c r="AH58" s="451">
        <v>700203</v>
      </c>
      <c r="AI58" s="451">
        <v>157546</v>
      </c>
      <c r="AJ58" s="451">
        <v>17505</v>
      </c>
      <c r="AK58" s="451">
        <v>1750506.94</v>
      </c>
      <c r="AL58" s="451">
        <v>600365.55000000005</v>
      </c>
      <c r="AM58" s="451">
        <v>480293</v>
      </c>
      <c r="AN58" s="451">
        <v>108066</v>
      </c>
      <c r="AO58" s="451">
        <v>12007</v>
      </c>
      <c r="AP58" s="451">
        <v>1200731.55</v>
      </c>
      <c r="AQ58" s="451">
        <v>-94705.9</v>
      </c>
      <c r="AR58" s="451">
        <v>-75765</v>
      </c>
      <c r="AS58" s="451">
        <v>-17047</v>
      </c>
      <c r="AT58" s="451">
        <v>-1894</v>
      </c>
      <c r="AU58" s="451">
        <v>-189411.9</v>
      </c>
      <c r="AV58" s="451">
        <v>505659.65</v>
      </c>
      <c r="AW58" s="451">
        <v>404528</v>
      </c>
      <c r="AX58" s="451">
        <v>91019</v>
      </c>
      <c r="AY58" s="451">
        <v>10113</v>
      </c>
      <c r="AZ58" s="451">
        <v>1011319.65</v>
      </c>
      <c r="BA58" s="451">
        <v>0</v>
      </c>
      <c r="BB58" s="451">
        <v>0</v>
      </c>
      <c r="BC58" s="451">
        <v>0</v>
      </c>
      <c r="BD58" s="451">
        <v>0</v>
      </c>
      <c r="BE58" s="451">
        <v>0</v>
      </c>
      <c r="BF58" s="451">
        <v>423944</v>
      </c>
      <c r="BG58" s="451">
        <v>339156</v>
      </c>
      <c r="BH58" s="451">
        <v>76310</v>
      </c>
      <c r="BI58" s="451">
        <v>8479</v>
      </c>
      <c r="BJ58" s="451">
        <v>847889</v>
      </c>
      <c r="BK58" s="451">
        <v>423944</v>
      </c>
      <c r="BL58" s="451">
        <v>339156</v>
      </c>
      <c r="BM58" s="451">
        <v>76310</v>
      </c>
      <c r="BN58" s="451">
        <v>8479</v>
      </c>
      <c r="BO58" s="451">
        <v>847889</v>
      </c>
      <c r="BP58" s="451">
        <v>0</v>
      </c>
      <c r="BQ58" s="451">
        <v>0</v>
      </c>
      <c r="BR58" s="451">
        <v>0</v>
      </c>
      <c r="BS58" s="451">
        <v>0</v>
      </c>
      <c r="BT58" s="451">
        <v>0</v>
      </c>
      <c r="BU58" s="451">
        <v>917903</v>
      </c>
      <c r="BV58" s="451">
        <v>734322</v>
      </c>
      <c r="BW58" s="451">
        <v>165223</v>
      </c>
      <c r="BX58" s="451">
        <v>18358</v>
      </c>
      <c r="BY58" s="451">
        <v>1835806</v>
      </c>
      <c r="BZ58" s="451">
        <v>917903</v>
      </c>
      <c r="CA58" s="451">
        <v>734322</v>
      </c>
      <c r="CB58" s="451">
        <v>165223</v>
      </c>
      <c r="CC58" s="451">
        <v>18358</v>
      </c>
      <c r="CD58" s="451">
        <v>1835806</v>
      </c>
      <c r="CE58" s="104"/>
      <c r="CF58" s="104"/>
      <c r="CG58" s="104"/>
    </row>
    <row r="59" spans="1:85" ht="12.75" x14ac:dyDescent="0.2">
      <c r="A59" s="446">
        <v>52</v>
      </c>
      <c r="B59" s="447" t="s">
        <v>685</v>
      </c>
      <c r="C59" s="448" t="s">
        <v>1093</v>
      </c>
      <c r="D59" s="449" t="s">
        <v>1102</v>
      </c>
      <c r="E59" s="450" t="s">
        <v>684</v>
      </c>
      <c r="F59" s="451">
        <v>26187697</v>
      </c>
      <c r="G59" s="451">
        <v>20950158</v>
      </c>
      <c r="H59" s="451">
        <v>5237539</v>
      </c>
      <c r="I59" s="451">
        <v>0</v>
      </c>
      <c r="J59" s="451">
        <v>52375394</v>
      </c>
      <c r="K59" s="451">
        <v>0</v>
      </c>
      <c r="L59" s="451">
        <v>0</v>
      </c>
      <c r="M59" s="451">
        <v>26187697</v>
      </c>
      <c r="N59" s="451">
        <v>52375394</v>
      </c>
      <c r="O59" s="451">
        <v>183813</v>
      </c>
      <c r="P59" s="451">
        <v>183813</v>
      </c>
      <c r="Q59" s="451">
        <v>0</v>
      </c>
      <c r="R59" s="451">
        <v>0</v>
      </c>
      <c r="S59" s="451">
        <v>0</v>
      </c>
      <c r="T59" s="451">
        <v>0</v>
      </c>
      <c r="U59" s="451">
        <v>0</v>
      </c>
      <c r="V59" s="451">
        <v>0</v>
      </c>
      <c r="W59" s="451">
        <v>0</v>
      </c>
      <c r="X59" s="451">
        <v>0</v>
      </c>
      <c r="Y59" s="451">
        <v>0</v>
      </c>
      <c r="Z59" s="451">
        <v>0</v>
      </c>
      <c r="AA59" s="451">
        <v>0</v>
      </c>
      <c r="AB59" s="451">
        <v>635577</v>
      </c>
      <c r="AC59" s="451">
        <v>508462</v>
      </c>
      <c r="AD59" s="451">
        <v>127116</v>
      </c>
      <c r="AE59" s="451">
        <v>0</v>
      </c>
      <c r="AF59" s="451">
        <v>1271155</v>
      </c>
      <c r="AG59" s="451">
        <v>2114023</v>
      </c>
      <c r="AH59" s="451">
        <v>1691218</v>
      </c>
      <c r="AI59" s="451">
        <v>422805</v>
      </c>
      <c r="AJ59" s="451">
        <v>0</v>
      </c>
      <c r="AK59" s="451">
        <v>4228046</v>
      </c>
      <c r="AL59" s="451">
        <v>247832</v>
      </c>
      <c r="AM59" s="451">
        <v>198265</v>
      </c>
      <c r="AN59" s="451">
        <v>49566</v>
      </c>
      <c r="AO59" s="451">
        <v>0</v>
      </c>
      <c r="AP59" s="451">
        <v>495663</v>
      </c>
      <c r="AQ59" s="451">
        <v>14819</v>
      </c>
      <c r="AR59" s="451">
        <v>11856</v>
      </c>
      <c r="AS59" s="451">
        <v>2964</v>
      </c>
      <c r="AT59" s="451">
        <v>0</v>
      </c>
      <c r="AU59" s="451">
        <v>29639</v>
      </c>
      <c r="AV59" s="451">
        <v>262651</v>
      </c>
      <c r="AW59" s="451">
        <v>210121</v>
      </c>
      <c r="AX59" s="451">
        <v>52530</v>
      </c>
      <c r="AY59" s="451">
        <v>0</v>
      </c>
      <c r="AZ59" s="451">
        <v>525302</v>
      </c>
      <c r="BA59" s="451">
        <v>0</v>
      </c>
      <c r="BB59" s="451">
        <v>0</v>
      </c>
      <c r="BC59" s="451">
        <v>0</v>
      </c>
      <c r="BD59" s="451">
        <v>0</v>
      </c>
      <c r="BE59" s="451">
        <v>0</v>
      </c>
      <c r="BF59" s="451">
        <v>320000</v>
      </c>
      <c r="BG59" s="451">
        <v>256000</v>
      </c>
      <c r="BH59" s="451">
        <v>64000</v>
      </c>
      <c r="BI59" s="451">
        <v>0</v>
      </c>
      <c r="BJ59" s="451">
        <v>640000</v>
      </c>
      <c r="BK59" s="451">
        <v>320000</v>
      </c>
      <c r="BL59" s="451">
        <v>256000</v>
      </c>
      <c r="BM59" s="451">
        <v>64000</v>
      </c>
      <c r="BN59" s="451">
        <v>0</v>
      </c>
      <c r="BO59" s="451">
        <v>640000</v>
      </c>
      <c r="BP59" s="451">
        <v>0</v>
      </c>
      <c r="BQ59" s="451">
        <v>0</v>
      </c>
      <c r="BR59" s="451">
        <v>0</v>
      </c>
      <c r="BS59" s="451">
        <v>0</v>
      </c>
      <c r="BT59" s="451">
        <v>0</v>
      </c>
      <c r="BU59" s="451">
        <v>322500</v>
      </c>
      <c r="BV59" s="451">
        <v>258000</v>
      </c>
      <c r="BW59" s="451">
        <v>64500</v>
      </c>
      <c r="BX59" s="451">
        <v>0</v>
      </c>
      <c r="BY59" s="451">
        <v>645000</v>
      </c>
      <c r="BZ59" s="451">
        <v>322500</v>
      </c>
      <c r="CA59" s="451">
        <v>258000</v>
      </c>
      <c r="CB59" s="451">
        <v>64500</v>
      </c>
      <c r="CC59" s="451">
        <v>0</v>
      </c>
      <c r="CD59" s="451">
        <v>645000</v>
      </c>
      <c r="CE59" s="104"/>
      <c r="CF59" s="104"/>
      <c r="CG59" s="104"/>
    </row>
    <row r="60" spans="1:85" ht="12.75" x14ac:dyDescent="0.2">
      <c r="A60" s="446">
        <v>53</v>
      </c>
      <c r="B60" s="447" t="s">
        <v>687</v>
      </c>
      <c r="C60" s="448" t="s">
        <v>1093</v>
      </c>
      <c r="D60" s="449" t="s">
        <v>1094</v>
      </c>
      <c r="E60" s="450" t="s">
        <v>686</v>
      </c>
      <c r="F60" s="451">
        <v>33145608</v>
      </c>
      <c r="G60" s="451">
        <v>26516486</v>
      </c>
      <c r="H60" s="451">
        <v>6629122</v>
      </c>
      <c r="I60" s="451">
        <v>0</v>
      </c>
      <c r="J60" s="451">
        <v>66291216</v>
      </c>
      <c r="K60" s="451">
        <v>0</v>
      </c>
      <c r="L60" s="451">
        <v>0</v>
      </c>
      <c r="M60" s="451">
        <v>33145608</v>
      </c>
      <c r="N60" s="451">
        <v>66291216</v>
      </c>
      <c r="O60" s="451">
        <v>218671</v>
      </c>
      <c r="P60" s="451">
        <v>218671</v>
      </c>
      <c r="Q60" s="451">
        <v>0</v>
      </c>
      <c r="R60" s="451">
        <v>0</v>
      </c>
      <c r="S60" s="451">
        <v>0</v>
      </c>
      <c r="T60" s="451">
        <v>0</v>
      </c>
      <c r="U60" s="451">
        <v>19966</v>
      </c>
      <c r="V60" s="451">
        <v>0</v>
      </c>
      <c r="W60" s="451">
        <v>19966</v>
      </c>
      <c r="X60" s="451">
        <v>0</v>
      </c>
      <c r="Y60" s="451">
        <v>0</v>
      </c>
      <c r="Z60" s="451">
        <v>0</v>
      </c>
      <c r="AA60" s="451">
        <v>0</v>
      </c>
      <c r="AB60" s="451">
        <v>764859</v>
      </c>
      <c r="AC60" s="451">
        <v>611887</v>
      </c>
      <c r="AD60" s="451">
        <v>152972</v>
      </c>
      <c r="AE60" s="451">
        <v>0</v>
      </c>
      <c r="AF60" s="451">
        <v>1529718</v>
      </c>
      <c r="AG60" s="451">
        <v>953064</v>
      </c>
      <c r="AH60" s="451">
        <v>762452</v>
      </c>
      <c r="AI60" s="451">
        <v>190613</v>
      </c>
      <c r="AJ60" s="451">
        <v>0</v>
      </c>
      <c r="AK60" s="451">
        <v>1906129</v>
      </c>
      <c r="AL60" s="451">
        <v>96682</v>
      </c>
      <c r="AM60" s="451">
        <v>77346</v>
      </c>
      <c r="AN60" s="451">
        <v>19337</v>
      </c>
      <c r="AO60" s="451">
        <v>0</v>
      </c>
      <c r="AP60" s="451">
        <v>193365</v>
      </c>
      <c r="AQ60" s="451">
        <v>58236</v>
      </c>
      <c r="AR60" s="451">
        <v>46589</v>
      </c>
      <c r="AS60" s="451">
        <v>11647</v>
      </c>
      <c r="AT60" s="451">
        <v>0</v>
      </c>
      <c r="AU60" s="451">
        <v>116472</v>
      </c>
      <c r="AV60" s="451">
        <v>154918</v>
      </c>
      <c r="AW60" s="451">
        <v>123935</v>
      </c>
      <c r="AX60" s="451">
        <v>30984</v>
      </c>
      <c r="AY60" s="451">
        <v>0</v>
      </c>
      <c r="AZ60" s="451">
        <v>309837</v>
      </c>
      <c r="BA60" s="451">
        <v>0</v>
      </c>
      <c r="BB60" s="451">
        <v>0</v>
      </c>
      <c r="BC60" s="451">
        <v>0</v>
      </c>
      <c r="BD60" s="451">
        <v>0</v>
      </c>
      <c r="BE60" s="451">
        <v>0</v>
      </c>
      <c r="BF60" s="451">
        <v>416030</v>
      </c>
      <c r="BG60" s="451">
        <v>332824</v>
      </c>
      <c r="BH60" s="451">
        <v>83206</v>
      </c>
      <c r="BI60" s="451">
        <v>0</v>
      </c>
      <c r="BJ60" s="451">
        <v>832060</v>
      </c>
      <c r="BK60" s="451">
        <v>416030</v>
      </c>
      <c r="BL60" s="451">
        <v>332824</v>
      </c>
      <c r="BM60" s="451">
        <v>83206</v>
      </c>
      <c r="BN60" s="451">
        <v>0</v>
      </c>
      <c r="BO60" s="451">
        <v>832060</v>
      </c>
      <c r="BP60" s="451">
        <v>0</v>
      </c>
      <c r="BQ60" s="451">
        <v>0</v>
      </c>
      <c r="BR60" s="451">
        <v>0</v>
      </c>
      <c r="BS60" s="451">
        <v>0</v>
      </c>
      <c r="BT60" s="451">
        <v>0</v>
      </c>
      <c r="BU60" s="451">
        <v>1259314</v>
      </c>
      <c r="BV60" s="451">
        <v>1007451</v>
      </c>
      <c r="BW60" s="451">
        <v>251863</v>
      </c>
      <c r="BX60" s="451">
        <v>0</v>
      </c>
      <c r="BY60" s="451">
        <v>2518628</v>
      </c>
      <c r="BZ60" s="451">
        <v>1259314</v>
      </c>
      <c r="CA60" s="451">
        <v>1007451</v>
      </c>
      <c r="CB60" s="451">
        <v>251863</v>
      </c>
      <c r="CC60" s="451">
        <v>0</v>
      </c>
      <c r="CD60" s="451">
        <v>2518628</v>
      </c>
      <c r="CE60" s="104"/>
      <c r="CF60" s="104"/>
      <c r="CG60" s="104"/>
    </row>
    <row r="61" spans="1:85" ht="12.75" x14ac:dyDescent="0.2">
      <c r="A61" s="446">
        <v>54</v>
      </c>
      <c r="B61" s="447" t="s">
        <v>689</v>
      </c>
      <c r="C61" s="448" t="s">
        <v>794</v>
      </c>
      <c r="D61" s="449" t="s">
        <v>1095</v>
      </c>
      <c r="E61" s="450" t="s">
        <v>688</v>
      </c>
      <c r="F61" s="451">
        <v>64624690</v>
      </c>
      <c r="G61" s="451">
        <v>63332197</v>
      </c>
      <c r="H61" s="451">
        <v>0</v>
      </c>
      <c r="I61" s="451">
        <v>1292494</v>
      </c>
      <c r="J61" s="451">
        <v>129249381</v>
      </c>
      <c r="K61" s="451">
        <v>0</v>
      </c>
      <c r="L61" s="451">
        <v>0</v>
      </c>
      <c r="M61" s="451">
        <v>64624690</v>
      </c>
      <c r="N61" s="451">
        <v>129249381</v>
      </c>
      <c r="O61" s="451">
        <v>562256</v>
      </c>
      <c r="P61" s="451">
        <v>562256</v>
      </c>
      <c r="Q61" s="451">
        <v>0</v>
      </c>
      <c r="R61" s="451">
        <v>0</v>
      </c>
      <c r="S61" s="451">
        <v>0</v>
      </c>
      <c r="T61" s="451">
        <v>0</v>
      </c>
      <c r="U61" s="451">
        <v>0</v>
      </c>
      <c r="V61" s="451">
        <v>0</v>
      </c>
      <c r="W61" s="451">
        <v>0</v>
      </c>
      <c r="X61" s="451">
        <v>0</v>
      </c>
      <c r="Y61" s="451">
        <v>0</v>
      </c>
      <c r="Z61" s="451">
        <v>0</v>
      </c>
      <c r="AA61" s="451">
        <v>0</v>
      </c>
      <c r="AB61" s="451">
        <v>3152810</v>
      </c>
      <c r="AC61" s="451">
        <v>3089753</v>
      </c>
      <c r="AD61" s="451">
        <v>0</v>
      </c>
      <c r="AE61" s="451">
        <v>63056</v>
      </c>
      <c r="AF61" s="451">
        <v>6305619</v>
      </c>
      <c r="AG61" s="451">
        <v>505102</v>
      </c>
      <c r="AH61" s="451">
        <v>494999</v>
      </c>
      <c r="AI61" s="451">
        <v>0</v>
      </c>
      <c r="AJ61" s="451">
        <v>10102</v>
      </c>
      <c r="AK61" s="451">
        <v>1010203</v>
      </c>
      <c r="AL61" s="451">
        <v>1473805</v>
      </c>
      <c r="AM61" s="451">
        <v>1444329</v>
      </c>
      <c r="AN61" s="451">
        <v>0</v>
      </c>
      <c r="AO61" s="451">
        <v>29476</v>
      </c>
      <c r="AP61" s="451">
        <v>2947610</v>
      </c>
      <c r="AQ61" s="451">
        <v>-790018</v>
      </c>
      <c r="AR61" s="451">
        <v>-774217</v>
      </c>
      <c r="AS61" s="451">
        <v>0</v>
      </c>
      <c r="AT61" s="451">
        <v>-15800</v>
      </c>
      <c r="AU61" s="451">
        <v>-1580035</v>
      </c>
      <c r="AV61" s="451">
        <v>683787</v>
      </c>
      <c r="AW61" s="451">
        <v>670112</v>
      </c>
      <c r="AX61" s="451">
        <v>0</v>
      </c>
      <c r="AY61" s="451">
        <v>13676</v>
      </c>
      <c r="AZ61" s="451">
        <v>1367575</v>
      </c>
      <c r="BA61" s="451">
        <v>0</v>
      </c>
      <c r="BB61" s="451">
        <v>0</v>
      </c>
      <c r="BC61" s="451">
        <v>0</v>
      </c>
      <c r="BD61" s="451">
        <v>0</v>
      </c>
      <c r="BE61" s="451">
        <v>0</v>
      </c>
      <c r="BF61" s="451">
        <v>900723</v>
      </c>
      <c r="BG61" s="451">
        <v>882709</v>
      </c>
      <c r="BH61" s="451">
        <v>0</v>
      </c>
      <c r="BI61" s="451">
        <v>18014</v>
      </c>
      <c r="BJ61" s="451">
        <v>1801446</v>
      </c>
      <c r="BK61" s="451">
        <v>900723</v>
      </c>
      <c r="BL61" s="451">
        <v>882709</v>
      </c>
      <c r="BM61" s="451">
        <v>0</v>
      </c>
      <c r="BN61" s="451">
        <v>18014</v>
      </c>
      <c r="BO61" s="451">
        <v>1801446</v>
      </c>
      <c r="BP61" s="451">
        <v>0</v>
      </c>
      <c r="BQ61" s="451">
        <v>0</v>
      </c>
      <c r="BR61" s="451">
        <v>0</v>
      </c>
      <c r="BS61" s="451">
        <v>0</v>
      </c>
      <c r="BT61" s="451">
        <v>0</v>
      </c>
      <c r="BU61" s="451">
        <v>2450924</v>
      </c>
      <c r="BV61" s="451">
        <v>2401906</v>
      </c>
      <c r="BW61" s="451">
        <v>0</v>
      </c>
      <c r="BX61" s="451">
        <v>49018</v>
      </c>
      <c r="BY61" s="451">
        <v>4901848</v>
      </c>
      <c r="BZ61" s="451">
        <v>2450924</v>
      </c>
      <c r="CA61" s="451">
        <v>2401906</v>
      </c>
      <c r="CB61" s="451">
        <v>0</v>
      </c>
      <c r="CC61" s="451">
        <v>49018</v>
      </c>
      <c r="CD61" s="451">
        <v>4901848</v>
      </c>
      <c r="CE61" s="104"/>
      <c r="CF61" s="104"/>
      <c r="CG61" s="104"/>
    </row>
    <row r="62" spans="1:85" ht="12.75" x14ac:dyDescent="0.2">
      <c r="A62" s="446">
        <v>55</v>
      </c>
      <c r="B62" s="447" t="s">
        <v>691</v>
      </c>
      <c r="C62" s="448" t="s">
        <v>794</v>
      </c>
      <c r="D62" s="449" t="s">
        <v>1095</v>
      </c>
      <c r="E62" s="450" t="s">
        <v>713</v>
      </c>
      <c r="F62" s="451">
        <v>70034144</v>
      </c>
      <c r="G62" s="451">
        <v>68633461</v>
      </c>
      <c r="H62" s="451">
        <v>0</v>
      </c>
      <c r="I62" s="451">
        <v>1400683</v>
      </c>
      <c r="J62" s="451">
        <v>140068288</v>
      </c>
      <c r="K62" s="451">
        <v>0</v>
      </c>
      <c r="L62" s="451">
        <v>0</v>
      </c>
      <c r="M62" s="451">
        <v>70034144</v>
      </c>
      <c r="N62" s="451">
        <v>140068288</v>
      </c>
      <c r="O62" s="451">
        <v>504181</v>
      </c>
      <c r="P62" s="451">
        <v>504181</v>
      </c>
      <c r="Q62" s="451">
        <v>0</v>
      </c>
      <c r="R62" s="451">
        <v>0</v>
      </c>
      <c r="S62" s="451">
        <v>0</v>
      </c>
      <c r="T62" s="451">
        <v>0</v>
      </c>
      <c r="U62" s="451">
        <v>0</v>
      </c>
      <c r="V62" s="451">
        <v>0</v>
      </c>
      <c r="W62" s="451">
        <v>0</v>
      </c>
      <c r="X62" s="451">
        <v>0</v>
      </c>
      <c r="Y62" s="451">
        <v>0</v>
      </c>
      <c r="Z62" s="451">
        <v>0</v>
      </c>
      <c r="AA62" s="451">
        <v>0</v>
      </c>
      <c r="AB62" s="451">
        <v>2272485</v>
      </c>
      <c r="AC62" s="451">
        <v>2227036</v>
      </c>
      <c r="AD62" s="451">
        <v>0</v>
      </c>
      <c r="AE62" s="451">
        <v>45450</v>
      </c>
      <c r="AF62" s="451">
        <v>4544971</v>
      </c>
      <c r="AG62" s="451">
        <v>2127383</v>
      </c>
      <c r="AH62" s="451">
        <v>2084835</v>
      </c>
      <c r="AI62" s="451">
        <v>0</v>
      </c>
      <c r="AJ62" s="451">
        <v>42548</v>
      </c>
      <c r="AK62" s="451">
        <v>4254766</v>
      </c>
      <c r="AL62" s="451">
        <v>0</v>
      </c>
      <c r="AM62" s="451">
        <v>0</v>
      </c>
      <c r="AN62" s="451">
        <v>0</v>
      </c>
      <c r="AO62" s="451">
        <v>0</v>
      </c>
      <c r="AP62" s="451">
        <v>0</v>
      </c>
      <c r="AQ62" s="451">
        <v>189602</v>
      </c>
      <c r="AR62" s="451">
        <v>185810</v>
      </c>
      <c r="AS62" s="451">
        <v>0</v>
      </c>
      <c r="AT62" s="451">
        <v>3792</v>
      </c>
      <c r="AU62" s="451">
        <v>379204</v>
      </c>
      <c r="AV62" s="451">
        <v>189602</v>
      </c>
      <c r="AW62" s="451">
        <v>185810</v>
      </c>
      <c r="AX62" s="451">
        <v>0</v>
      </c>
      <c r="AY62" s="451">
        <v>3792</v>
      </c>
      <c r="AZ62" s="451">
        <v>379204</v>
      </c>
      <c r="BA62" s="451">
        <v>0</v>
      </c>
      <c r="BB62" s="451">
        <v>0</v>
      </c>
      <c r="BC62" s="451">
        <v>0</v>
      </c>
      <c r="BD62" s="451">
        <v>0</v>
      </c>
      <c r="BE62" s="451">
        <v>0</v>
      </c>
      <c r="BF62" s="451">
        <v>1006601</v>
      </c>
      <c r="BG62" s="451">
        <v>986468</v>
      </c>
      <c r="BH62" s="451">
        <v>0</v>
      </c>
      <c r="BI62" s="451">
        <v>20132</v>
      </c>
      <c r="BJ62" s="451">
        <v>2013201</v>
      </c>
      <c r="BK62" s="451">
        <v>1006601</v>
      </c>
      <c r="BL62" s="451">
        <v>986468</v>
      </c>
      <c r="BM62" s="451">
        <v>0</v>
      </c>
      <c r="BN62" s="451">
        <v>20132</v>
      </c>
      <c r="BO62" s="451">
        <v>2013201</v>
      </c>
      <c r="BP62" s="451">
        <v>0</v>
      </c>
      <c r="BQ62" s="451">
        <v>0</v>
      </c>
      <c r="BR62" s="451">
        <v>0</v>
      </c>
      <c r="BS62" s="451">
        <v>0</v>
      </c>
      <c r="BT62" s="451">
        <v>0</v>
      </c>
      <c r="BU62" s="451">
        <v>3244397</v>
      </c>
      <c r="BV62" s="451">
        <v>3179509</v>
      </c>
      <c r="BW62" s="451">
        <v>0</v>
      </c>
      <c r="BX62" s="451">
        <v>64888</v>
      </c>
      <c r="BY62" s="451">
        <v>6488794</v>
      </c>
      <c r="BZ62" s="451">
        <v>3244397</v>
      </c>
      <c r="CA62" s="451">
        <v>3179509</v>
      </c>
      <c r="CB62" s="451">
        <v>0</v>
      </c>
      <c r="CC62" s="451">
        <v>64888</v>
      </c>
      <c r="CD62" s="451">
        <v>6488794</v>
      </c>
      <c r="CE62" s="104"/>
      <c r="CF62" s="104"/>
      <c r="CG62" s="104"/>
    </row>
    <row r="63" spans="1:85" ht="12.75" x14ac:dyDescent="0.2">
      <c r="A63" s="446">
        <v>56</v>
      </c>
      <c r="B63" s="447" t="s">
        <v>693</v>
      </c>
      <c r="C63" s="448" t="s">
        <v>1093</v>
      </c>
      <c r="D63" s="449" t="s">
        <v>1096</v>
      </c>
      <c r="E63" s="450" t="s">
        <v>692</v>
      </c>
      <c r="F63" s="451">
        <v>16618410</v>
      </c>
      <c r="G63" s="451">
        <v>13294728</v>
      </c>
      <c r="H63" s="451">
        <v>2991314</v>
      </c>
      <c r="I63" s="451">
        <v>332368</v>
      </c>
      <c r="J63" s="451">
        <v>33236820</v>
      </c>
      <c r="K63" s="451">
        <v>0</v>
      </c>
      <c r="L63" s="451">
        <v>0</v>
      </c>
      <c r="M63" s="451">
        <v>16618410</v>
      </c>
      <c r="N63" s="451">
        <v>33236820</v>
      </c>
      <c r="O63" s="451">
        <v>165425</v>
      </c>
      <c r="P63" s="451">
        <v>165425</v>
      </c>
      <c r="Q63" s="451">
        <v>0</v>
      </c>
      <c r="R63" s="451">
        <v>0</v>
      </c>
      <c r="S63" s="451">
        <v>0</v>
      </c>
      <c r="T63" s="451">
        <v>0</v>
      </c>
      <c r="U63" s="451">
        <v>0</v>
      </c>
      <c r="V63" s="451">
        <v>0</v>
      </c>
      <c r="W63" s="451">
        <v>0</v>
      </c>
      <c r="X63" s="451">
        <v>0</v>
      </c>
      <c r="Y63" s="451">
        <v>0</v>
      </c>
      <c r="Z63" s="451">
        <v>0</v>
      </c>
      <c r="AA63" s="451">
        <v>0</v>
      </c>
      <c r="AB63" s="451">
        <v>699674</v>
      </c>
      <c r="AC63" s="451">
        <v>559740</v>
      </c>
      <c r="AD63" s="451">
        <v>125942</v>
      </c>
      <c r="AE63" s="451">
        <v>13994</v>
      </c>
      <c r="AF63" s="451">
        <v>1399350</v>
      </c>
      <c r="AG63" s="451">
        <v>254631</v>
      </c>
      <c r="AH63" s="451">
        <v>203704</v>
      </c>
      <c r="AI63" s="451">
        <v>45833</v>
      </c>
      <c r="AJ63" s="451">
        <v>5093</v>
      </c>
      <c r="AK63" s="451">
        <v>509261</v>
      </c>
      <c r="AL63" s="451">
        <v>341492</v>
      </c>
      <c r="AM63" s="451">
        <v>273194</v>
      </c>
      <c r="AN63" s="451">
        <v>61469</v>
      </c>
      <c r="AO63" s="451">
        <v>6830</v>
      </c>
      <c r="AP63" s="451">
        <v>682985</v>
      </c>
      <c r="AQ63" s="451">
        <v>26491</v>
      </c>
      <c r="AR63" s="451">
        <v>21194</v>
      </c>
      <c r="AS63" s="451">
        <v>4769</v>
      </c>
      <c r="AT63" s="451">
        <v>530</v>
      </c>
      <c r="AU63" s="451">
        <v>52984</v>
      </c>
      <c r="AV63" s="451">
        <v>367983</v>
      </c>
      <c r="AW63" s="451">
        <v>294388</v>
      </c>
      <c r="AX63" s="451">
        <v>66238</v>
      </c>
      <c r="AY63" s="451">
        <v>7360</v>
      </c>
      <c r="AZ63" s="451">
        <v>735969</v>
      </c>
      <c r="BA63" s="451">
        <v>0</v>
      </c>
      <c r="BB63" s="451">
        <v>0</v>
      </c>
      <c r="BC63" s="451">
        <v>0</v>
      </c>
      <c r="BD63" s="451">
        <v>0</v>
      </c>
      <c r="BE63" s="451">
        <v>0</v>
      </c>
      <c r="BF63" s="451">
        <v>163625</v>
      </c>
      <c r="BG63" s="451">
        <v>130901</v>
      </c>
      <c r="BH63" s="451">
        <v>29453</v>
      </c>
      <c r="BI63" s="451">
        <v>3273</v>
      </c>
      <c r="BJ63" s="451">
        <v>327252</v>
      </c>
      <c r="BK63" s="451">
        <v>163625</v>
      </c>
      <c r="BL63" s="451">
        <v>130901</v>
      </c>
      <c r="BM63" s="451">
        <v>29453</v>
      </c>
      <c r="BN63" s="451">
        <v>3273</v>
      </c>
      <c r="BO63" s="451">
        <v>327252</v>
      </c>
      <c r="BP63" s="451">
        <v>0</v>
      </c>
      <c r="BQ63" s="451">
        <v>0</v>
      </c>
      <c r="BR63" s="451">
        <v>0</v>
      </c>
      <c r="BS63" s="451">
        <v>0</v>
      </c>
      <c r="BT63" s="451">
        <v>0</v>
      </c>
      <c r="BU63" s="451">
        <v>693786</v>
      </c>
      <c r="BV63" s="451">
        <v>555028</v>
      </c>
      <c r="BW63" s="451">
        <v>124881</v>
      </c>
      <c r="BX63" s="451">
        <v>13876</v>
      </c>
      <c r="BY63" s="451">
        <v>1387571</v>
      </c>
      <c r="BZ63" s="451">
        <v>693786</v>
      </c>
      <c r="CA63" s="451">
        <v>555028</v>
      </c>
      <c r="CB63" s="451">
        <v>124881</v>
      </c>
      <c r="CC63" s="451">
        <v>13876</v>
      </c>
      <c r="CD63" s="451">
        <v>1387571</v>
      </c>
      <c r="CE63" s="104"/>
      <c r="CF63" s="104"/>
      <c r="CG63" s="104"/>
    </row>
    <row r="64" spans="1:85" ht="12.75" x14ac:dyDescent="0.2">
      <c r="A64" s="446">
        <v>57</v>
      </c>
      <c r="B64" s="447" t="s">
        <v>695</v>
      </c>
      <c r="C64" s="448" t="s">
        <v>1093</v>
      </c>
      <c r="D64" s="449" t="s">
        <v>1094</v>
      </c>
      <c r="E64" s="450" t="s">
        <v>694</v>
      </c>
      <c r="F64" s="451">
        <v>20476137</v>
      </c>
      <c r="G64" s="451">
        <v>16380909</v>
      </c>
      <c r="H64" s="451">
        <v>4095227</v>
      </c>
      <c r="I64" s="451">
        <v>0</v>
      </c>
      <c r="J64" s="451">
        <v>40952273</v>
      </c>
      <c r="K64" s="451">
        <v>0</v>
      </c>
      <c r="L64" s="451">
        <v>0</v>
      </c>
      <c r="M64" s="451">
        <v>20476137</v>
      </c>
      <c r="N64" s="451">
        <v>40952273</v>
      </c>
      <c r="O64" s="451">
        <v>191836</v>
      </c>
      <c r="P64" s="451">
        <v>191836</v>
      </c>
      <c r="Q64" s="451">
        <v>0</v>
      </c>
      <c r="R64" s="451">
        <v>0</v>
      </c>
      <c r="S64" s="451">
        <v>0</v>
      </c>
      <c r="T64" s="451">
        <v>0</v>
      </c>
      <c r="U64" s="451">
        <v>0</v>
      </c>
      <c r="V64" s="451">
        <v>0</v>
      </c>
      <c r="W64" s="451">
        <v>0</v>
      </c>
      <c r="X64" s="451">
        <v>0</v>
      </c>
      <c r="Y64" s="451">
        <v>0</v>
      </c>
      <c r="Z64" s="451">
        <v>0</v>
      </c>
      <c r="AA64" s="451">
        <v>0</v>
      </c>
      <c r="AB64" s="451">
        <v>771511</v>
      </c>
      <c r="AC64" s="451">
        <v>617208</v>
      </c>
      <c r="AD64" s="451">
        <v>154302</v>
      </c>
      <c r="AE64" s="451">
        <v>0</v>
      </c>
      <c r="AF64" s="451">
        <v>1543021</v>
      </c>
      <c r="AG64" s="451">
        <v>299780</v>
      </c>
      <c r="AH64" s="451">
        <v>239824</v>
      </c>
      <c r="AI64" s="451">
        <v>59956</v>
      </c>
      <c r="AJ64" s="451">
        <v>0</v>
      </c>
      <c r="AK64" s="451">
        <v>599560</v>
      </c>
      <c r="AL64" s="451">
        <v>302846</v>
      </c>
      <c r="AM64" s="451">
        <v>242277</v>
      </c>
      <c r="AN64" s="451">
        <v>60569</v>
      </c>
      <c r="AO64" s="451">
        <v>0</v>
      </c>
      <c r="AP64" s="451">
        <v>605692</v>
      </c>
      <c r="AQ64" s="451">
        <v>52608</v>
      </c>
      <c r="AR64" s="451">
        <v>42087</v>
      </c>
      <c r="AS64" s="451">
        <v>10522</v>
      </c>
      <c r="AT64" s="451">
        <v>0</v>
      </c>
      <c r="AU64" s="451">
        <v>105217</v>
      </c>
      <c r="AV64" s="451">
        <v>355454</v>
      </c>
      <c r="AW64" s="451">
        <v>284364</v>
      </c>
      <c r="AX64" s="451">
        <v>71091</v>
      </c>
      <c r="AY64" s="451">
        <v>0</v>
      </c>
      <c r="AZ64" s="451">
        <v>710909</v>
      </c>
      <c r="BA64" s="451">
        <v>0</v>
      </c>
      <c r="BB64" s="451">
        <v>0</v>
      </c>
      <c r="BC64" s="451">
        <v>0</v>
      </c>
      <c r="BD64" s="451">
        <v>0</v>
      </c>
      <c r="BE64" s="451">
        <v>0</v>
      </c>
      <c r="BF64" s="451">
        <v>111379</v>
      </c>
      <c r="BG64" s="451">
        <v>89103</v>
      </c>
      <c r="BH64" s="451">
        <v>22276</v>
      </c>
      <c r="BI64" s="451">
        <v>0</v>
      </c>
      <c r="BJ64" s="451">
        <v>222758</v>
      </c>
      <c r="BK64" s="451">
        <v>111379</v>
      </c>
      <c r="BL64" s="451">
        <v>89103</v>
      </c>
      <c r="BM64" s="451">
        <v>22276</v>
      </c>
      <c r="BN64" s="451">
        <v>0</v>
      </c>
      <c r="BO64" s="451">
        <v>222758</v>
      </c>
      <c r="BP64" s="451">
        <v>0</v>
      </c>
      <c r="BQ64" s="451">
        <v>0</v>
      </c>
      <c r="BR64" s="451">
        <v>0</v>
      </c>
      <c r="BS64" s="451">
        <v>0</v>
      </c>
      <c r="BT64" s="451">
        <v>0</v>
      </c>
      <c r="BU64" s="451">
        <v>929258</v>
      </c>
      <c r="BV64" s="451">
        <v>743406</v>
      </c>
      <c r="BW64" s="451">
        <v>185852</v>
      </c>
      <c r="BX64" s="451">
        <v>0</v>
      </c>
      <c r="BY64" s="451">
        <v>1858516</v>
      </c>
      <c r="BZ64" s="451">
        <v>929258</v>
      </c>
      <c r="CA64" s="451">
        <v>743406</v>
      </c>
      <c r="CB64" s="451">
        <v>185852</v>
      </c>
      <c r="CC64" s="451">
        <v>0</v>
      </c>
      <c r="CD64" s="451">
        <v>1858516</v>
      </c>
      <c r="CE64" s="104"/>
      <c r="CF64" s="104"/>
      <c r="CG64" s="104"/>
    </row>
    <row r="65" spans="1:85" ht="12.75" x14ac:dyDescent="0.2">
      <c r="A65" s="446">
        <v>58</v>
      </c>
      <c r="B65" s="447" t="s">
        <v>697</v>
      </c>
      <c r="C65" s="448" t="s">
        <v>1093</v>
      </c>
      <c r="D65" s="449" t="s">
        <v>1094</v>
      </c>
      <c r="E65" s="450" t="s">
        <v>696</v>
      </c>
      <c r="F65" s="451">
        <v>9370330</v>
      </c>
      <c r="G65" s="451">
        <v>7496264</v>
      </c>
      <c r="H65" s="451">
        <v>1686659</v>
      </c>
      <c r="I65" s="451">
        <v>187407</v>
      </c>
      <c r="J65" s="451">
        <v>18740660</v>
      </c>
      <c r="K65" s="451">
        <v>0</v>
      </c>
      <c r="L65" s="451">
        <v>0</v>
      </c>
      <c r="M65" s="451">
        <v>9370330</v>
      </c>
      <c r="N65" s="451">
        <v>18740660</v>
      </c>
      <c r="O65" s="451">
        <v>117534</v>
      </c>
      <c r="P65" s="451">
        <v>117534</v>
      </c>
      <c r="Q65" s="451">
        <v>0</v>
      </c>
      <c r="R65" s="451">
        <v>0</v>
      </c>
      <c r="S65" s="451">
        <v>0</v>
      </c>
      <c r="T65" s="451">
        <v>0</v>
      </c>
      <c r="U65" s="451">
        <v>0</v>
      </c>
      <c r="V65" s="451">
        <v>0</v>
      </c>
      <c r="W65" s="451">
        <v>0</v>
      </c>
      <c r="X65" s="451">
        <v>0</v>
      </c>
      <c r="Y65" s="451">
        <v>0</v>
      </c>
      <c r="Z65" s="451">
        <v>0</v>
      </c>
      <c r="AA65" s="451">
        <v>0</v>
      </c>
      <c r="AB65" s="451">
        <v>334093</v>
      </c>
      <c r="AC65" s="451">
        <v>267274</v>
      </c>
      <c r="AD65" s="451">
        <v>60137</v>
      </c>
      <c r="AE65" s="451">
        <v>6682</v>
      </c>
      <c r="AF65" s="451">
        <v>668186</v>
      </c>
      <c r="AG65" s="451">
        <v>146685</v>
      </c>
      <c r="AH65" s="451">
        <v>117348</v>
      </c>
      <c r="AI65" s="451">
        <v>26403</v>
      </c>
      <c r="AJ65" s="451">
        <v>2934</v>
      </c>
      <c r="AK65" s="451">
        <v>293370</v>
      </c>
      <c r="AL65" s="451">
        <v>73225</v>
      </c>
      <c r="AM65" s="451">
        <v>58579</v>
      </c>
      <c r="AN65" s="451">
        <v>13180</v>
      </c>
      <c r="AO65" s="451">
        <v>1464</v>
      </c>
      <c r="AP65" s="451">
        <v>146448</v>
      </c>
      <c r="AQ65" s="451">
        <v>-3443</v>
      </c>
      <c r="AR65" s="451">
        <v>-2755</v>
      </c>
      <c r="AS65" s="451">
        <v>-620</v>
      </c>
      <c r="AT65" s="451">
        <v>-69</v>
      </c>
      <c r="AU65" s="451">
        <v>-6887</v>
      </c>
      <c r="AV65" s="451">
        <v>69782</v>
      </c>
      <c r="AW65" s="451">
        <v>55824</v>
      </c>
      <c r="AX65" s="451">
        <v>12560</v>
      </c>
      <c r="AY65" s="451">
        <v>1395</v>
      </c>
      <c r="AZ65" s="451">
        <v>139561</v>
      </c>
      <c r="BA65" s="451">
        <v>0</v>
      </c>
      <c r="BB65" s="451">
        <v>0</v>
      </c>
      <c r="BC65" s="451">
        <v>0</v>
      </c>
      <c r="BD65" s="451">
        <v>0</v>
      </c>
      <c r="BE65" s="451">
        <v>0</v>
      </c>
      <c r="BF65" s="451">
        <v>193086</v>
      </c>
      <c r="BG65" s="451">
        <v>154469</v>
      </c>
      <c r="BH65" s="451">
        <v>34755</v>
      </c>
      <c r="BI65" s="451">
        <v>3862</v>
      </c>
      <c r="BJ65" s="451">
        <v>386172</v>
      </c>
      <c r="BK65" s="451">
        <v>193086</v>
      </c>
      <c r="BL65" s="451">
        <v>154469</v>
      </c>
      <c r="BM65" s="451">
        <v>34755</v>
      </c>
      <c r="BN65" s="451">
        <v>3862</v>
      </c>
      <c r="BO65" s="451">
        <v>386172</v>
      </c>
      <c r="BP65" s="451">
        <v>0</v>
      </c>
      <c r="BQ65" s="451">
        <v>0</v>
      </c>
      <c r="BR65" s="451">
        <v>0</v>
      </c>
      <c r="BS65" s="451">
        <v>0</v>
      </c>
      <c r="BT65" s="451">
        <v>0</v>
      </c>
      <c r="BU65" s="451">
        <v>535361</v>
      </c>
      <c r="BV65" s="451">
        <v>428288</v>
      </c>
      <c r="BW65" s="451">
        <v>96365</v>
      </c>
      <c r="BX65" s="451">
        <v>10707</v>
      </c>
      <c r="BY65" s="451">
        <v>1070721</v>
      </c>
      <c r="BZ65" s="451">
        <v>535361</v>
      </c>
      <c r="CA65" s="451">
        <v>428288</v>
      </c>
      <c r="CB65" s="451">
        <v>96365</v>
      </c>
      <c r="CC65" s="451">
        <v>10707</v>
      </c>
      <c r="CD65" s="451">
        <v>1070721</v>
      </c>
      <c r="CE65" s="104"/>
      <c r="CF65" s="104"/>
      <c r="CG65" s="104"/>
    </row>
    <row r="66" spans="1:85" ht="12.75" x14ac:dyDescent="0.2">
      <c r="A66" s="446">
        <v>59</v>
      </c>
      <c r="B66" s="447" t="s">
        <v>699</v>
      </c>
      <c r="C66" s="448" t="s">
        <v>1093</v>
      </c>
      <c r="D66" s="449" t="s">
        <v>1095</v>
      </c>
      <c r="E66" s="450" t="s">
        <v>698</v>
      </c>
      <c r="F66" s="451">
        <v>12378338</v>
      </c>
      <c r="G66" s="451">
        <v>9902670</v>
      </c>
      <c r="H66" s="451">
        <v>2228101</v>
      </c>
      <c r="I66" s="451">
        <v>247567</v>
      </c>
      <c r="J66" s="451">
        <v>24756676</v>
      </c>
      <c r="K66" s="451">
        <v>0</v>
      </c>
      <c r="L66" s="451">
        <v>0</v>
      </c>
      <c r="M66" s="451">
        <v>12378338</v>
      </c>
      <c r="N66" s="451">
        <v>24756676</v>
      </c>
      <c r="O66" s="451">
        <v>133847</v>
      </c>
      <c r="P66" s="451">
        <v>133847</v>
      </c>
      <c r="Q66" s="451">
        <v>0</v>
      </c>
      <c r="R66" s="451">
        <v>0</v>
      </c>
      <c r="S66" s="451">
        <v>0</v>
      </c>
      <c r="T66" s="451">
        <v>0</v>
      </c>
      <c r="U66" s="451">
        <v>0</v>
      </c>
      <c r="V66" s="451">
        <v>0</v>
      </c>
      <c r="W66" s="451">
        <v>0</v>
      </c>
      <c r="X66" s="451">
        <v>0</v>
      </c>
      <c r="Y66" s="451">
        <v>0</v>
      </c>
      <c r="Z66" s="451">
        <v>0</v>
      </c>
      <c r="AA66" s="451">
        <v>0</v>
      </c>
      <c r="AB66" s="451">
        <v>554250</v>
      </c>
      <c r="AC66" s="451">
        <v>443400</v>
      </c>
      <c r="AD66" s="451">
        <v>99765</v>
      </c>
      <c r="AE66" s="451">
        <v>11085</v>
      </c>
      <c r="AF66" s="451">
        <v>1108500</v>
      </c>
      <c r="AG66" s="451">
        <v>164392</v>
      </c>
      <c r="AH66" s="451">
        <v>131514</v>
      </c>
      <c r="AI66" s="451">
        <v>29591</v>
      </c>
      <c r="AJ66" s="451">
        <v>3288</v>
      </c>
      <c r="AK66" s="451">
        <v>328785</v>
      </c>
      <c r="AL66" s="451">
        <v>311938</v>
      </c>
      <c r="AM66" s="451">
        <v>249550</v>
      </c>
      <c r="AN66" s="451">
        <v>56149</v>
      </c>
      <c r="AO66" s="451">
        <v>6239</v>
      </c>
      <c r="AP66" s="451">
        <v>623876</v>
      </c>
      <c r="AQ66" s="451">
        <v>39326</v>
      </c>
      <c r="AR66" s="451">
        <v>31462</v>
      </c>
      <c r="AS66" s="451">
        <v>7079</v>
      </c>
      <c r="AT66" s="451">
        <v>787</v>
      </c>
      <c r="AU66" s="451">
        <v>78654</v>
      </c>
      <c r="AV66" s="451">
        <v>351264</v>
      </c>
      <c r="AW66" s="451">
        <v>281012</v>
      </c>
      <c r="AX66" s="451">
        <v>63228</v>
      </c>
      <c r="AY66" s="451">
        <v>7026</v>
      </c>
      <c r="AZ66" s="451">
        <v>702530</v>
      </c>
      <c r="BA66" s="451">
        <v>0</v>
      </c>
      <c r="BB66" s="451">
        <v>0</v>
      </c>
      <c r="BC66" s="451">
        <v>0</v>
      </c>
      <c r="BD66" s="451">
        <v>0</v>
      </c>
      <c r="BE66" s="451">
        <v>0</v>
      </c>
      <c r="BF66" s="451">
        <v>175000</v>
      </c>
      <c r="BG66" s="451">
        <v>140000</v>
      </c>
      <c r="BH66" s="451">
        <v>31500</v>
      </c>
      <c r="BI66" s="451">
        <v>3500</v>
      </c>
      <c r="BJ66" s="451">
        <v>350000</v>
      </c>
      <c r="BK66" s="451">
        <v>175000</v>
      </c>
      <c r="BL66" s="451">
        <v>140000</v>
      </c>
      <c r="BM66" s="451">
        <v>31500</v>
      </c>
      <c r="BN66" s="451">
        <v>3500</v>
      </c>
      <c r="BO66" s="451">
        <v>350000</v>
      </c>
      <c r="BP66" s="451">
        <v>0</v>
      </c>
      <c r="BQ66" s="451">
        <v>0</v>
      </c>
      <c r="BR66" s="451">
        <v>0</v>
      </c>
      <c r="BS66" s="451">
        <v>0</v>
      </c>
      <c r="BT66" s="451">
        <v>0</v>
      </c>
      <c r="BU66" s="451">
        <v>450000</v>
      </c>
      <c r="BV66" s="451">
        <v>360000</v>
      </c>
      <c r="BW66" s="451">
        <v>81000</v>
      </c>
      <c r="BX66" s="451">
        <v>9000</v>
      </c>
      <c r="BY66" s="451">
        <v>900000</v>
      </c>
      <c r="BZ66" s="451">
        <v>450000</v>
      </c>
      <c r="CA66" s="451">
        <v>360000</v>
      </c>
      <c r="CB66" s="451">
        <v>81000</v>
      </c>
      <c r="CC66" s="451">
        <v>9000</v>
      </c>
      <c r="CD66" s="451">
        <v>900000</v>
      </c>
      <c r="CE66" s="104"/>
      <c r="CF66" s="104"/>
      <c r="CG66" s="104"/>
    </row>
    <row r="67" spans="1:85" ht="12.75" x14ac:dyDescent="0.2">
      <c r="A67" s="446">
        <v>60</v>
      </c>
      <c r="B67" s="447" t="s">
        <v>701</v>
      </c>
      <c r="C67" s="448" t="s">
        <v>1093</v>
      </c>
      <c r="D67" s="449" t="s">
        <v>1102</v>
      </c>
      <c r="E67" s="450" t="s">
        <v>700</v>
      </c>
      <c r="F67" s="451">
        <v>7946646</v>
      </c>
      <c r="G67" s="451">
        <v>6357316</v>
      </c>
      <c r="H67" s="451">
        <v>1430396</v>
      </c>
      <c r="I67" s="451">
        <v>158933</v>
      </c>
      <c r="J67" s="451">
        <v>15893291</v>
      </c>
      <c r="K67" s="451">
        <v>0</v>
      </c>
      <c r="L67" s="451">
        <v>0</v>
      </c>
      <c r="M67" s="451">
        <v>7946646</v>
      </c>
      <c r="N67" s="451">
        <v>15893291</v>
      </c>
      <c r="O67" s="451">
        <v>75078</v>
      </c>
      <c r="P67" s="451">
        <v>75078</v>
      </c>
      <c r="Q67" s="451">
        <v>0</v>
      </c>
      <c r="R67" s="451">
        <v>0</v>
      </c>
      <c r="S67" s="451">
        <v>0</v>
      </c>
      <c r="T67" s="451">
        <v>0</v>
      </c>
      <c r="U67" s="451">
        <v>0</v>
      </c>
      <c r="V67" s="451">
        <v>0</v>
      </c>
      <c r="W67" s="451">
        <v>0</v>
      </c>
      <c r="X67" s="451">
        <v>0</v>
      </c>
      <c r="Y67" s="451">
        <v>0</v>
      </c>
      <c r="Z67" s="451">
        <v>0</v>
      </c>
      <c r="AA67" s="451">
        <v>0</v>
      </c>
      <c r="AB67" s="451">
        <v>350374</v>
      </c>
      <c r="AC67" s="451">
        <v>280300</v>
      </c>
      <c r="AD67" s="451">
        <v>63068</v>
      </c>
      <c r="AE67" s="451">
        <v>7008</v>
      </c>
      <c r="AF67" s="451">
        <v>700750</v>
      </c>
      <c r="AG67" s="451">
        <v>-39147</v>
      </c>
      <c r="AH67" s="451">
        <v>-31318</v>
      </c>
      <c r="AI67" s="451">
        <v>-7046</v>
      </c>
      <c r="AJ67" s="451">
        <v>-783</v>
      </c>
      <c r="AK67" s="451">
        <v>-78294</v>
      </c>
      <c r="AL67" s="451">
        <v>114704</v>
      </c>
      <c r="AM67" s="451">
        <v>91764</v>
      </c>
      <c r="AN67" s="451">
        <v>20647</v>
      </c>
      <c r="AO67" s="451">
        <v>2294</v>
      </c>
      <c r="AP67" s="451">
        <v>229409</v>
      </c>
      <c r="AQ67" s="451">
        <v>54703</v>
      </c>
      <c r="AR67" s="451">
        <v>43762</v>
      </c>
      <c r="AS67" s="451">
        <v>9847</v>
      </c>
      <c r="AT67" s="451">
        <v>1094</v>
      </c>
      <c r="AU67" s="451">
        <v>109406</v>
      </c>
      <c r="AV67" s="451">
        <v>169407</v>
      </c>
      <c r="AW67" s="451">
        <v>135526</v>
      </c>
      <c r="AX67" s="451">
        <v>30494</v>
      </c>
      <c r="AY67" s="451">
        <v>3388</v>
      </c>
      <c r="AZ67" s="451">
        <v>338815</v>
      </c>
      <c r="BA67" s="451">
        <v>0</v>
      </c>
      <c r="BB67" s="451">
        <v>0</v>
      </c>
      <c r="BC67" s="451">
        <v>0</v>
      </c>
      <c r="BD67" s="451">
        <v>0</v>
      </c>
      <c r="BE67" s="451">
        <v>0</v>
      </c>
      <c r="BF67" s="451">
        <v>135416</v>
      </c>
      <c r="BG67" s="451">
        <v>108333</v>
      </c>
      <c r="BH67" s="451">
        <v>24375</v>
      </c>
      <c r="BI67" s="451">
        <v>2708</v>
      </c>
      <c r="BJ67" s="451">
        <v>270832</v>
      </c>
      <c r="BK67" s="451">
        <v>135416</v>
      </c>
      <c r="BL67" s="451">
        <v>108333</v>
      </c>
      <c r="BM67" s="451">
        <v>24375</v>
      </c>
      <c r="BN67" s="451">
        <v>2708</v>
      </c>
      <c r="BO67" s="451">
        <v>270832</v>
      </c>
      <c r="BP67" s="451">
        <v>0</v>
      </c>
      <c r="BQ67" s="451">
        <v>0</v>
      </c>
      <c r="BR67" s="451">
        <v>0</v>
      </c>
      <c r="BS67" s="451">
        <v>0</v>
      </c>
      <c r="BT67" s="451">
        <v>0</v>
      </c>
      <c r="BU67" s="451">
        <v>318110</v>
      </c>
      <c r="BV67" s="451">
        <v>254488</v>
      </c>
      <c r="BW67" s="451">
        <v>57260</v>
      </c>
      <c r="BX67" s="451">
        <v>6362</v>
      </c>
      <c r="BY67" s="451">
        <v>636220</v>
      </c>
      <c r="BZ67" s="451">
        <v>318110</v>
      </c>
      <c r="CA67" s="451">
        <v>254488</v>
      </c>
      <c r="CB67" s="451">
        <v>57260</v>
      </c>
      <c r="CC67" s="451">
        <v>6362</v>
      </c>
      <c r="CD67" s="451">
        <v>636220</v>
      </c>
      <c r="CE67" s="104" t="s">
        <v>1120</v>
      </c>
      <c r="CF67" s="104"/>
      <c r="CG67" s="104"/>
    </row>
    <row r="68" spans="1:85" ht="12.75" x14ac:dyDescent="0.2">
      <c r="A68" s="446">
        <v>61</v>
      </c>
      <c r="B68" s="447" t="s">
        <v>0</v>
      </c>
      <c r="C68" s="448" t="s">
        <v>1104</v>
      </c>
      <c r="D68" s="449" t="s">
        <v>1099</v>
      </c>
      <c r="E68" s="450" t="s">
        <v>702</v>
      </c>
      <c r="F68" s="451">
        <v>332503118</v>
      </c>
      <c r="G68" s="451">
        <v>199501871</v>
      </c>
      <c r="H68" s="451">
        <v>133001247</v>
      </c>
      <c r="I68" s="451">
        <v>0</v>
      </c>
      <c r="J68" s="451">
        <v>665006236</v>
      </c>
      <c r="K68" s="451">
        <v>0</v>
      </c>
      <c r="L68" s="451">
        <v>0</v>
      </c>
      <c r="M68" s="451">
        <v>332503118</v>
      </c>
      <c r="N68" s="451">
        <v>665006236</v>
      </c>
      <c r="O68" s="451">
        <v>1663453</v>
      </c>
      <c r="P68" s="451">
        <v>1663453</v>
      </c>
      <c r="Q68" s="451">
        <v>0</v>
      </c>
      <c r="R68" s="451">
        <v>0</v>
      </c>
      <c r="S68" s="451">
        <v>0</v>
      </c>
      <c r="T68" s="451">
        <v>0</v>
      </c>
      <c r="U68" s="451">
        <v>0</v>
      </c>
      <c r="V68" s="451">
        <v>0</v>
      </c>
      <c r="W68" s="451">
        <v>0</v>
      </c>
      <c r="X68" s="451">
        <v>0</v>
      </c>
      <c r="Y68" s="451">
        <v>0</v>
      </c>
      <c r="Z68" s="451">
        <v>0</v>
      </c>
      <c r="AA68" s="451">
        <v>0</v>
      </c>
      <c r="AB68" s="451">
        <v>8936541</v>
      </c>
      <c r="AC68" s="451">
        <v>5361925</v>
      </c>
      <c r="AD68" s="451">
        <v>3574617</v>
      </c>
      <c r="AE68" s="451">
        <v>0</v>
      </c>
      <c r="AF68" s="451">
        <v>17873083</v>
      </c>
      <c r="AG68" s="451">
        <v>17253922</v>
      </c>
      <c r="AH68" s="451">
        <v>10352353</v>
      </c>
      <c r="AI68" s="451">
        <v>6901569</v>
      </c>
      <c r="AJ68" s="451">
        <v>0</v>
      </c>
      <c r="AK68" s="451">
        <v>34507844</v>
      </c>
      <c r="AL68" s="451">
        <v>4652966</v>
      </c>
      <c r="AM68" s="451">
        <v>2791779</v>
      </c>
      <c r="AN68" s="451">
        <v>1861186</v>
      </c>
      <c r="AO68" s="451">
        <v>0</v>
      </c>
      <c r="AP68" s="451">
        <v>9305931</v>
      </c>
      <c r="AQ68" s="451">
        <v>401776</v>
      </c>
      <c r="AR68" s="451">
        <v>241066</v>
      </c>
      <c r="AS68" s="451">
        <v>160710</v>
      </c>
      <c r="AT68" s="451">
        <v>0</v>
      </c>
      <c r="AU68" s="451">
        <v>803552</v>
      </c>
      <c r="AV68" s="451">
        <v>5054742</v>
      </c>
      <c r="AW68" s="451">
        <v>3032845</v>
      </c>
      <c r="AX68" s="451">
        <v>2021896</v>
      </c>
      <c r="AY68" s="451">
        <v>0</v>
      </c>
      <c r="AZ68" s="451">
        <v>10109483</v>
      </c>
      <c r="BA68" s="451">
        <v>0</v>
      </c>
      <c r="BB68" s="451">
        <v>0</v>
      </c>
      <c r="BC68" s="451">
        <v>0</v>
      </c>
      <c r="BD68" s="451">
        <v>0</v>
      </c>
      <c r="BE68" s="451">
        <v>0</v>
      </c>
      <c r="BF68" s="451">
        <v>16481539</v>
      </c>
      <c r="BG68" s="451">
        <v>9888923</v>
      </c>
      <c r="BH68" s="451">
        <v>6592615</v>
      </c>
      <c r="BI68" s="451">
        <v>0</v>
      </c>
      <c r="BJ68" s="451">
        <v>32963077</v>
      </c>
      <c r="BK68" s="451">
        <v>16481539</v>
      </c>
      <c r="BL68" s="451">
        <v>9888923</v>
      </c>
      <c r="BM68" s="451">
        <v>6592615</v>
      </c>
      <c r="BN68" s="451">
        <v>0</v>
      </c>
      <c r="BO68" s="451">
        <v>32963077</v>
      </c>
      <c r="BP68" s="451">
        <v>0</v>
      </c>
      <c r="BQ68" s="451">
        <v>0</v>
      </c>
      <c r="BR68" s="451">
        <v>0</v>
      </c>
      <c r="BS68" s="451">
        <v>0</v>
      </c>
      <c r="BT68" s="451">
        <v>0</v>
      </c>
      <c r="BU68" s="451">
        <v>40370551</v>
      </c>
      <c r="BV68" s="451">
        <v>24222330</v>
      </c>
      <c r="BW68" s="451">
        <v>16148220</v>
      </c>
      <c r="BX68" s="451">
        <v>0</v>
      </c>
      <c r="BY68" s="451">
        <v>80741101</v>
      </c>
      <c r="BZ68" s="451">
        <v>40370551</v>
      </c>
      <c r="CA68" s="451">
        <v>24222330</v>
      </c>
      <c r="CB68" s="451">
        <v>16148220</v>
      </c>
      <c r="CC68" s="451">
        <v>0</v>
      </c>
      <c r="CD68" s="451">
        <v>80741101</v>
      </c>
      <c r="CE68" s="104"/>
      <c r="CF68" s="104"/>
      <c r="CG68" s="104"/>
    </row>
    <row r="69" spans="1:85" ht="12.75" x14ac:dyDescent="0.2">
      <c r="A69" s="446">
        <v>62</v>
      </c>
      <c r="B69" s="447" t="s">
        <v>2</v>
      </c>
      <c r="C69" s="448" t="s">
        <v>1093</v>
      </c>
      <c r="D69" s="449" t="s">
        <v>1097</v>
      </c>
      <c r="E69" s="450" t="s">
        <v>1</v>
      </c>
      <c r="F69" s="451">
        <v>29104152</v>
      </c>
      <c r="G69" s="451">
        <v>23283322</v>
      </c>
      <c r="H69" s="451">
        <v>5238747</v>
      </c>
      <c r="I69" s="451">
        <v>582083</v>
      </c>
      <c r="J69" s="451">
        <v>58208304</v>
      </c>
      <c r="K69" s="451">
        <v>0</v>
      </c>
      <c r="L69" s="451">
        <v>0</v>
      </c>
      <c r="M69" s="451">
        <v>29104152</v>
      </c>
      <c r="N69" s="451">
        <v>58208304</v>
      </c>
      <c r="O69" s="451">
        <v>240916</v>
      </c>
      <c r="P69" s="451">
        <v>240916</v>
      </c>
      <c r="Q69" s="451">
        <v>0</v>
      </c>
      <c r="R69" s="451">
        <v>0</v>
      </c>
      <c r="S69" s="451">
        <v>0</v>
      </c>
      <c r="T69" s="451">
        <v>0</v>
      </c>
      <c r="U69" s="451">
        <v>0</v>
      </c>
      <c r="V69" s="451">
        <v>0</v>
      </c>
      <c r="W69" s="451">
        <v>0</v>
      </c>
      <c r="X69" s="451">
        <v>0</v>
      </c>
      <c r="Y69" s="451">
        <v>0</v>
      </c>
      <c r="Z69" s="451">
        <v>0</v>
      </c>
      <c r="AA69" s="451">
        <v>0</v>
      </c>
      <c r="AB69" s="451">
        <v>1163331</v>
      </c>
      <c r="AC69" s="451">
        <v>930664</v>
      </c>
      <c r="AD69" s="451">
        <v>209399</v>
      </c>
      <c r="AE69" s="451">
        <v>23267</v>
      </c>
      <c r="AF69" s="451">
        <v>2326661</v>
      </c>
      <c r="AG69" s="451">
        <v>364253</v>
      </c>
      <c r="AH69" s="451">
        <v>291403</v>
      </c>
      <c r="AI69" s="451">
        <v>65566</v>
      </c>
      <c r="AJ69" s="451">
        <v>7285</v>
      </c>
      <c r="AK69" s="451">
        <v>728507</v>
      </c>
      <c r="AL69" s="451">
        <v>238290</v>
      </c>
      <c r="AM69" s="451">
        <v>190632</v>
      </c>
      <c r="AN69" s="451">
        <v>42892</v>
      </c>
      <c r="AO69" s="451">
        <v>4766</v>
      </c>
      <c r="AP69" s="451">
        <v>476580</v>
      </c>
      <c r="AQ69" s="451">
        <v>138992</v>
      </c>
      <c r="AR69" s="451">
        <v>111193</v>
      </c>
      <c r="AS69" s="451">
        <v>25018</v>
      </c>
      <c r="AT69" s="451">
        <v>2780</v>
      </c>
      <c r="AU69" s="451">
        <v>277983</v>
      </c>
      <c r="AV69" s="451">
        <v>377282</v>
      </c>
      <c r="AW69" s="451">
        <v>301825</v>
      </c>
      <c r="AX69" s="451">
        <v>67910</v>
      </c>
      <c r="AY69" s="451">
        <v>7546</v>
      </c>
      <c r="AZ69" s="451">
        <v>754563</v>
      </c>
      <c r="BA69" s="451">
        <v>0</v>
      </c>
      <c r="BB69" s="451">
        <v>0</v>
      </c>
      <c r="BC69" s="451">
        <v>0</v>
      </c>
      <c r="BD69" s="451">
        <v>0</v>
      </c>
      <c r="BE69" s="451">
        <v>0</v>
      </c>
      <c r="BF69" s="451">
        <v>217706</v>
      </c>
      <c r="BG69" s="451">
        <v>174164</v>
      </c>
      <c r="BH69" s="451">
        <v>39187</v>
      </c>
      <c r="BI69" s="451">
        <v>4354</v>
      </c>
      <c r="BJ69" s="451">
        <v>435411</v>
      </c>
      <c r="BK69" s="451">
        <v>217706</v>
      </c>
      <c r="BL69" s="451">
        <v>174164</v>
      </c>
      <c r="BM69" s="451">
        <v>39187</v>
      </c>
      <c r="BN69" s="451">
        <v>4354</v>
      </c>
      <c r="BO69" s="451">
        <v>435411</v>
      </c>
      <c r="BP69" s="451">
        <v>0</v>
      </c>
      <c r="BQ69" s="451">
        <v>0</v>
      </c>
      <c r="BR69" s="451">
        <v>0</v>
      </c>
      <c r="BS69" s="451">
        <v>0</v>
      </c>
      <c r="BT69" s="451">
        <v>0</v>
      </c>
      <c r="BU69" s="451">
        <v>618215</v>
      </c>
      <c r="BV69" s="451">
        <v>494572</v>
      </c>
      <c r="BW69" s="451">
        <v>111279</v>
      </c>
      <c r="BX69" s="451">
        <v>12364</v>
      </c>
      <c r="BY69" s="451">
        <v>1236430</v>
      </c>
      <c r="BZ69" s="451">
        <v>618215</v>
      </c>
      <c r="CA69" s="451">
        <v>494572</v>
      </c>
      <c r="CB69" s="451">
        <v>111279</v>
      </c>
      <c r="CC69" s="451">
        <v>12364</v>
      </c>
      <c r="CD69" s="451">
        <v>1236430</v>
      </c>
      <c r="CE69" s="104"/>
      <c r="CF69" s="104"/>
      <c r="CG69" s="104"/>
    </row>
    <row r="70" spans="1:85" ht="12.75" x14ac:dyDescent="0.2">
      <c r="A70" s="446">
        <v>63</v>
      </c>
      <c r="B70" s="447" t="s">
        <v>4</v>
      </c>
      <c r="C70" s="448" t="s">
        <v>1093</v>
      </c>
      <c r="D70" s="449" t="s">
        <v>1095</v>
      </c>
      <c r="E70" s="450" t="s">
        <v>3</v>
      </c>
      <c r="F70" s="451">
        <v>10086882</v>
      </c>
      <c r="G70" s="451">
        <v>8069506</v>
      </c>
      <c r="H70" s="451">
        <v>2017376</v>
      </c>
      <c r="I70" s="451">
        <v>0</v>
      </c>
      <c r="J70" s="451">
        <v>20173764</v>
      </c>
      <c r="K70" s="451">
        <v>0</v>
      </c>
      <c r="L70" s="451">
        <v>0</v>
      </c>
      <c r="M70" s="451">
        <v>10086882</v>
      </c>
      <c r="N70" s="451">
        <v>20173764</v>
      </c>
      <c r="O70" s="451">
        <v>113008</v>
      </c>
      <c r="P70" s="451">
        <v>113008</v>
      </c>
      <c r="Q70" s="451">
        <v>0</v>
      </c>
      <c r="R70" s="451">
        <v>0</v>
      </c>
      <c r="S70" s="451">
        <v>0</v>
      </c>
      <c r="T70" s="451">
        <v>0</v>
      </c>
      <c r="U70" s="451">
        <v>358</v>
      </c>
      <c r="V70" s="451">
        <v>0</v>
      </c>
      <c r="W70" s="451">
        <v>358</v>
      </c>
      <c r="X70" s="451">
        <v>0</v>
      </c>
      <c r="Y70" s="451">
        <v>0</v>
      </c>
      <c r="Z70" s="451">
        <v>0</v>
      </c>
      <c r="AA70" s="451">
        <v>0</v>
      </c>
      <c r="AB70" s="451">
        <v>399348</v>
      </c>
      <c r="AC70" s="451">
        <v>319479</v>
      </c>
      <c r="AD70" s="451">
        <v>79870</v>
      </c>
      <c r="AE70" s="451">
        <v>0</v>
      </c>
      <c r="AF70" s="451">
        <v>798697</v>
      </c>
      <c r="AG70" s="451">
        <v>92107</v>
      </c>
      <c r="AH70" s="451">
        <v>73686</v>
      </c>
      <c r="AI70" s="451">
        <v>18422</v>
      </c>
      <c r="AJ70" s="451">
        <v>0</v>
      </c>
      <c r="AK70" s="451">
        <v>184215</v>
      </c>
      <c r="AL70" s="451">
        <v>108203</v>
      </c>
      <c r="AM70" s="451">
        <v>86562</v>
      </c>
      <c r="AN70" s="451">
        <v>21641</v>
      </c>
      <c r="AO70" s="451">
        <v>0</v>
      </c>
      <c r="AP70" s="451">
        <v>216406</v>
      </c>
      <c r="AQ70" s="451">
        <v>36358</v>
      </c>
      <c r="AR70" s="451">
        <v>29087</v>
      </c>
      <c r="AS70" s="451">
        <v>7272</v>
      </c>
      <c r="AT70" s="451">
        <v>0</v>
      </c>
      <c r="AU70" s="451">
        <v>72717</v>
      </c>
      <c r="AV70" s="451">
        <v>144561</v>
      </c>
      <c r="AW70" s="451">
        <v>115649</v>
      </c>
      <c r="AX70" s="451">
        <v>28913</v>
      </c>
      <c r="AY70" s="451">
        <v>0</v>
      </c>
      <c r="AZ70" s="451">
        <v>289123</v>
      </c>
      <c r="BA70" s="451">
        <v>0</v>
      </c>
      <c r="BB70" s="451">
        <v>0</v>
      </c>
      <c r="BC70" s="451">
        <v>0</v>
      </c>
      <c r="BD70" s="451">
        <v>0</v>
      </c>
      <c r="BE70" s="451">
        <v>0</v>
      </c>
      <c r="BF70" s="451">
        <v>3117157</v>
      </c>
      <c r="BG70" s="451">
        <v>2493725</v>
      </c>
      <c r="BH70" s="451">
        <v>623431</v>
      </c>
      <c r="BI70" s="451">
        <v>0</v>
      </c>
      <c r="BJ70" s="451">
        <v>6234313</v>
      </c>
      <c r="BK70" s="451">
        <v>3117157</v>
      </c>
      <c r="BL70" s="451">
        <v>2493725</v>
      </c>
      <c r="BM70" s="451">
        <v>623431</v>
      </c>
      <c r="BN70" s="451">
        <v>0</v>
      </c>
      <c r="BO70" s="451">
        <v>6234313</v>
      </c>
      <c r="BP70" s="451">
        <v>0</v>
      </c>
      <c r="BQ70" s="451">
        <v>0</v>
      </c>
      <c r="BR70" s="451">
        <v>0</v>
      </c>
      <c r="BS70" s="451">
        <v>0</v>
      </c>
      <c r="BT70" s="451">
        <v>0</v>
      </c>
      <c r="BU70" s="451">
        <v>7886683</v>
      </c>
      <c r="BV70" s="451">
        <v>6309347</v>
      </c>
      <c r="BW70" s="451">
        <v>1577337</v>
      </c>
      <c r="BX70" s="451">
        <v>0</v>
      </c>
      <c r="BY70" s="451">
        <v>15773367</v>
      </c>
      <c r="BZ70" s="451">
        <v>7886683</v>
      </c>
      <c r="CA70" s="451">
        <v>6309347</v>
      </c>
      <c r="CB70" s="451">
        <v>1577337</v>
      </c>
      <c r="CC70" s="451">
        <v>0</v>
      </c>
      <c r="CD70" s="451">
        <v>15773367</v>
      </c>
      <c r="CE70" s="104"/>
      <c r="CF70" s="104"/>
      <c r="CG70" s="104"/>
    </row>
    <row r="71" spans="1:85" ht="12.75" x14ac:dyDescent="0.2">
      <c r="A71" s="446">
        <v>64</v>
      </c>
      <c r="B71" s="447" t="s">
        <v>6</v>
      </c>
      <c r="C71" s="448" t="s">
        <v>1093</v>
      </c>
      <c r="D71" s="449" t="s">
        <v>1096</v>
      </c>
      <c r="E71" s="450" t="s">
        <v>5</v>
      </c>
      <c r="F71" s="451">
        <v>15590479</v>
      </c>
      <c r="G71" s="451">
        <v>12472383</v>
      </c>
      <c r="H71" s="451">
        <v>3118096</v>
      </c>
      <c r="I71" s="451">
        <v>0</v>
      </c>
      <c r="J71" s="451">
        <v>31180958</v>
      </c>
      <c r="K71" s="451">
        <v>0</v>
      </c>
      <c r="L71" s="451">
        <v>0</v>
      </c>
      <c r="M71" s="451">
        <v>15590479</v>
      </c>
      <c r="N71" s="451">
        <v>31180958</v>
      </c>
      <c r="O71" s="451">
        <v>86849</v>
      </c>
      <c r="P71" s="451">
        <v>86849</v>
      </c>
      <c r="Q71" s="451">
        <v>0</v>
      </c>
      <c r="R71" s="451">
        <v>0</v>
      </c>
      <c r="S71" s="451">
        <v>0</v>
      </c>
      <c r="T71" s="451">
        <v>0</v>
      </c>
      <c r="U71" s="451">
        <v>0</v>
      </c>
      <c r="V71" s="451">
        <v>0</v>
      </c>
      <c r="W71" s="451">
        <v>0</v>
      </c>
      <c r="X71" s="451">
        <v>0</v>
      </c>
      <c r="Y71" s="451">
        <v>0</v>
      </c>
      <c r="Z71" s="451">
        <v>0</v>
      </c>
      <c r="AA71" s="451">
        <v>0</v>
      </c>
      <c r="AB71" s="451">
        <v>1264647</v>
      </c>
      <c r="AC71" s="451">
        <v>1011718</v>
      </c>
      <c r="AD71" s="451">
        <v>252929</v>
      </c>
      <c r="AE71" s="451">
        <v>0</v>
      </c>
      <c r="AF71" s="451">
        <v>2529294</v>
      </c>
      <c r="AG71" s="451">
        <v>426334</v>
      </c>
      <c r="AH71" s="451">
        <v>341068</v>
      </c>
      <c r="AI71" s="451">
        <v>85267</v>
      </c>
      <c r="AJ71" s="451">
        <v>0</v>
      </c>
      <c r="AK71" s="451">
        <v>852669</v>
      </c>
      <c r="AL71" s="451">
        <v>434741.7</v>
      </c>
      <c r="AM71" s="451">
        <v>347793</v>
      </c>
      <c r="AN71" s="451">
        <v>86948</v>
      </c>
      <c r="AO71" s="451">
        <v>0</v>
      </c>
      <c r="AP71" s="451">
        <v>869482.7</v>
      </c>
      <c r="AQ71" s="451">
        <v>78821</v>
      </c>
      <c r="AR71" s="451">
        <v>63056</v>
      </c>
      <c r="AS71" s="451">
        <v>15764</v>
      </c>
      <c r="AT71" s="451">
        <v>0</v>
      </c>
      <c r="AU71" s="451">
        <v>157641</v>
      </c>
      <c r="AV71" s="451">
        <v>513562.7</v>
      </c>
      <c r="AW71" s="451">
        <v>410849</v>
      </c>
      <c r="AX71" s="451">
        <v>102712</v>
      </c>
      <c r="AY71" s="451">
        <v>0</v>
      </c>
      <c r="AZ71" s="451">
        <v>1027123.7</v>
      </c>
      <c r="BA71" s="451">
        <v>0</v>
      </c>
      <c r="BB71" s="451">
        <v>0</v>
      </c>
      <c r="BC71" s="451">
        <v>0</v>
      </c>
      <c r="BD71" s="451">
        <v>0</v>
      </c>
      <c r="BE71" s="451">
        <v>0</v>
      </c>
      <c r="BF71" s="451">
        <v>567</v>
      </c>
      <c r="BG71" s="451">
        <v>454</v>
      </c>
      <c r="BH71" s="451">
        <v>114</v>
      </c>
      <c r="BI71" s="451">
        <v>0</v>
      </c>
      <c r="BJ71" s="451">
        <v>1135</v>
      </c>
      <c r="BK71" s="451">
        <v>567</v>
      </c>
      <c r="BL71" s="451">
        <v>454</v>
      </c>
      <c r="BM71" s="451">
        <v>114</v>
      </c>
      <c r="BN71" s="451">
        <v>0</v>
      </c>
      <c r="BO71" s="451">
        <v>1135</v>
      </c>
      <c r="BP71" s="451">
        <v>0</v>
      </c>
      <c r="BQ71" s="451">
        <v>0</v>
      </c>
      <c r="BR71" s="451">
        <v>0</v>
      </c>
      <c r="BS71" s="451">
        <v>0</v>
      </c>
      <c r="BT71" s="451">
        <v>0</v>
      </c>
      <c r="BU71" s="451">
        <v>578382</v>
      </c>
      <c r="BV71" s="451">
        <v>462706</v>
      </c>
      <c r="BW71" s="451">
        <v>115676</v>
      </c>
      <c r="BX71" s="451">
        <v>0</v>
      </c>
      <c r="BY71" s="451">
        <v>1156764</v>
      </c>
      <c r="BZ71" s="451">
        <v>578382</v>
      </c>
      <c r="CA71" s="451">
        <v>462706</v>
      </c>
      <c r="CB71" s="451">
        <v>115676</v>
      </c>
      <c r="CC71" s="451">
        <v>0</v>
      </c>
      <c r="CD71" s="451">
        <v>1156764</v>
      </c>
      <c r="CE71" s="104"/>
      <c r="CF71" s="104"/>
      <c r="CG71" s="104"/>
    </row>
    <row r="72" spans="1:85" ht="12.75" x14ac:dyDescent="0.2">
      <c r="A72" s="446">
        <v>65</v>
      </c>
      <c r="B72" s="447" t="s">
        <v>8</v>
      </c>
      <c r="C72" s="448" t="s">
        <v>794</v>
      </c>
      <c r="D72" s="449" t="s">
        <v>1102</v>
      </c>
      <c r="E72" s="450" t="s">
        <v>7</v>
      </c>
      <c r="F72" s="451">
        <v>70622393</v>
      </c>
      <c r="G72" s="451">
        <v>70622393</v>
      </c>
      <c r="H72" s="451">
        <v>0</v>
      </c>
      <c r="I72" s="451">
        <v>0</v>
      </c>
      <c r="J72" s="451">
        <v>141244786</v>
      </c>
      <c r="K72" s="451">
        <v>139268</v>
      </c>
      <c r="L72" s="451">
        <v>139268</v>
      </c>
      <c r="M72" s="451">
        <v>70483125</v>
      </c>
      <c r="N72" s="451">
        <v>141105518</v>
      </c>
      <c r="O72" s="451">
        <v>1101516</v>
      </c>
      <c r="P72" s="451">
        <v>1101516</v>
      </c>
      <c r="Q72" s="451">
        <v>0</v>
      </c>
      <c r="R72" s="451">
        <v>0</v>
      </c>
      <c r="S72" s="451">
        <v>0</v>
      </c>
      <c r="T72" s="451">
        <v>0</v>
      </c>
      <c r="U72" s="451">
        <v>136761</v>
      </c>
      <c r="V72" s="451">
        <v>0</v>
      </c>
      <c r="W72" s="451">
        <v>136761</v>
      </c>
      <c r="X72" s="451">
        <v>139268</v>
      </c>
      <c r="Y72" s="451">
        <v>0</v>
      </c>
      <c r="Z72" s="451">
        <v>0</v>
      </c>
      <c r="AA72" s="451">
        <v>139268</v>
      </c>
      <c r="AB72" s="451">
        <v>4438728</v>
      </c>
      <c r="AC72" s="451">
        <v>4438728</v>
      </c>
      <c r="AD72" s="451">
        <v>0</v>
      </c>
      <c r="AE72" s="451">
        <v>0</v>
      </c>
      <c r="AF72" s="451">
        <v>8877456</v>
      </c>
      <c r="AG72" s="451">
        <v>2601794</v>
      </c>
      <c r="AH72" s="451">
        <v>2601794</v>
      </c>
      <c r="AI72" s="451">
        <v>0</v>
      </c>
      <c r="AJ72" s="451">
        <v>0</v>
      </c>
      <c r="AK72" s="451">
        <v>5203588</v>
      </c>
      <c r="AL72" s="451">
        <v>1712303</v>
      </c>
      <c r="AM72" s="451">
        <v>1712304</v>
      </c>
      <c r="AN72" s="451">
        <v>0</v>
      </c>
      <c r="AO72" s="451">
        <v>0</v>
      </c>
      <c r="AP72" s="451">
        <v>3424607</v>
      </c>
      <c r="AQ72" s="451">
        <v>421670</v>
      </c>
      <c r="AR72" s="451">
        <v>421670</v>
      </c>
      <c r="AS72" s="451">
        <v>0</v>
      </c>
      <c r="AT72" s="451">
        <v>0</v>
      </c>
      <c r="AU72" s="451">
        <v>843340</v>
      </c>
      <c r="AV72" s="451">
        <v>2133973</v>
      </c>
      <c r="AW72" s="451">
        <v>2133974</v>
      </c>
      <c r="AX72" s="451">
        <v>0</v>
      </c>
      <c r="AY72" s="451">
        <v>0</v>
      </c>
      <c r="AZ72" s="451">
        <v>4267947</v>
      </c>
      <c r="BA72" s="451">
        <v>0</v>
      </c>
      <c r="BB72" s="451">
        <v>0</v>
      </c>
      <c r="BC72" s="451">
        <v>0</v>
      </c>
      <c r="BD72" s="451">
        <v>0</v>
      </c>
      <c r="BE72" s="451">
        <v>0</v>
      </c>
      <c r="BF72" s="451">
        <v>1042000</v>
      </c>
      <c r="BG72" s="451">
        <v>1042000</v>
      </c>
      <c r="BH72" s="451">
        <v>0</v>
      </c>
      <c r="BI72" s="451">
        <v>0</v>
      </c>
      <c r="BJ72" s="451">
        <v>2084000</v>
      </c>
      <c r="BK72" s="451">
        <v>1042000</v>
      </c>
      <c r="BL72" s="451">
        <v>1042000</v>
      </c>
      <c r="BM72" s="451">
        <v>0</v>
      </c>
      <c r="BN72" s="451">
        <v>0</v>
      </c>
      <c r="BO72" s="451">
        <v>2084000</v>
      </c>
      <c r="BP72" s="451">
        <v>0</v>
      </c>
      <c r="BQ72" s="451">
        <v>0</v>
      </c>
      <c r="BR72" s="451">
        <v>0</v>
      </c>
      <c r="BS72" s="451">
        <v>0</v>
      </c>
      <c r="BT72" s="451">
        <v>0</v>
      </c>
      <c r="BU72" s="451">
        <v>3127000</v>
      </c>
      <c r="BV72" s="451">
        <v>3127000</v>
      </c>
      <c r="BW72" s="451">
        <v>0</v>
      </c>
      <c r="BX72" s="451">
        <v>0</v>
      </c>
      <c r="BY72" s="451">
        <v>6254000</v>
      </c>
      <c r="BZ72" s="451">
        <v>3127000</v>
      </c>
      <c r="CA72" s="451">
        <v>3127000</v>
      </c>
      <c r="CB72" s="451">
        <v>0</v>
      </c>
      <c r="CC72" s="451">
        <v>0</v>
      </c>
      <c r="CD72" s="451">
        <v>6254000</v>
      </c>
      <c r="CE72" s="104"/>
      <c r="CF72" s="104"/>
      <c r="CG72" s="104"/>
    </row>
    <row r="73" spans="1:85" ht="12.75" x14ac:dyDescent="0.2">
      <c r="A73" s="446">
        <v>66</v>
      </c>
      <c r="B73" s="447" t="s">
        <v>10</v>
      </c>
      <c r="C73" s="448" t="s">
        <v>1093</v>
      </c>
      <c r="D73" s="449" t="s">
        <v>1102</v>
      </c>
      <c r="E73" s="450" t="s">
        <v>9</v>
      </c>
      <c r="F73" s="451">
        <v>13535962</v>
      </c>
      <c r="G73" s="451">
        <v>10828769</v>
      </c>
      <c r="H73" s="451">
        <v>2707192</v>
      </c>
      <c r="I73" s="451">
        <v>0</v>
      </c>
      <c r="J73" s="451">
        <v>27071923</v>
      </c>
      <c r="K73" s="451">
        <v>0</v>
      </c>
      <c r="L73" s="451">
        <v>0</v>
      </c>
      <c r="M73" s="451">
        <v>13535962</v>
      </c>
      <c r="N73" s="451">
        <v>27071923</v>
      </c>
      <c r="O73" s="451">
        <v>179896</v>
      </c>
      <c r="P73" s="451">
        <v>179896</v>
      </c>
      <c r="Q73" s="451">
        <v>0</v>
      </c>
      <c r="R73" s="451">
        <v>0</v>
      </c>
      <c r="S73" s="451">
        <v>0</v>
      </c>
      <c r="T73" s="451">
        <v>0</v>
      </c>
      <c r="U73" s="451">
        <v>0</v>
      </c>
      <c r="V73" s="451">
        <v>0</v>
      </c>
      <c r="W73" s="451">
        <v>0</v>
      </c>
      <c r="X73" s="451">
        <v>0</v>
      </c>
      <c r="Y73" s="451">
        <v>0</v>
      </c>
      <c r="Z73" s="451">
        <v>0</v>
      </c>
      <c r="AA73" s="451">
        <v>0</v>
      </c>
      <c r="AB73" s="451">
        <v>362247</v>
      </c>
      <c r="AC73" s="451">
        <v>289798</v>
      </c>
      <c r="AD73" s="451">
        <v>72450</v>
      </c>
      <c r="AE73" s="451">
        <v>0</v>
      </c>
      <c r="AF73" s="451">
        <v>724495</v>
      </c>
      <c r="AG73" s="451">
        <v>180490</v>
      </c>
      <c r="AH73" s="451">
        <v>144392</v>
      </c>
      <c r="AI73" s="451">
        <v>36098</v>
      </c>
      <c r="AJ73" s="451">
        <v>0</v>
      </c>
      <c r="AK73" s="451">
        <v>360980</v>
      </c>
      <c r="AL73" s="451">
        <v>0</v>
      </c>
      <c r="AM73" s="451">
        <v>0</v>
      </c>
      <c r="AN73" s="451">
        <v>0</v>
      </c>
      <c r="AO73" s="451">
        <v>0</v>
      </c>
      <c r="AP73" s="451">
        <v>0</v>
      </c>
      <c r="AQ73" s="451">
        <v>23972</v>
      </c>
      <c r="AR73" s="451">
        <v>19177</v>
      </c>
      <c r="AS73" s="451">
        <v>4794</v>
      </c>
      <c r="AT73" s="451">
        <v>0</v>
      </c>
      <c r="AU73" s="451">
        <v>47943</v>
      </c>
      <c r="AV73" s="451">
        <v>23972</v>
      </c>
      <c r="AW73" s="451">
        <v>19177</v>
      </c>
      <c r="AX73" s="451">
        <v>4794</v>
      </c>
      <c r="AY73" s="451">
        <v>0</v>
      </c>
      <c r="AZ73" s="451">
        <v>47943</v>
      </c>
      <c r="BA73" s="451">
        <v>0</v>
      </c>
      <c r="BB73" s="451">
        <v>0</v>
      </c>
      <c r="BC73" s="451">
        <v>0</v>
      </c>
      <c r="BD73" s="451">
        <v>0</v>
      </c>
      <c r="BE73" s="451">
        <v>0</v>
      </c>
      <c r="BF73" s="451">
        <v>143618</v>
      </c>
      <c r="BG73" s="451">
        <v>114895</v>
      </c>
      <c r="BH73" s="451">
        <v>28724</v>
      </c>
      <c r="BI73" s="451">
        <v>0</v>
      </c>
      <c r="BJ73" s="451">
        <v>287237</v>
      </c>
      <c r="BK73" s="451">
        <v>143618</v>
      </c>
      <c r="BL73" s="451">
        <v>114895</v>
      </c>
      <c r="BM73" s="451">
        <v>28724</v>
      </c>
      <c r="BN73" s="451">
        <v>0</v>
      </c>
      <c r="BO73" s="451">
        <v>287237</v>
      </c>
      <c r="BP73" s="451">
        <v>0</v>
      </c>
      <c r="BQ73" s="451">
        <v>0</v>
      </c>
      <c r="BR73" s="451">
        <v>0</v>
      </c>
      <c r="BS73" s="451">
        <v>0</v>
      </c>
      <c r="BT73" s="451">
        <v>0</v>
      </c>
      <c r="BU73" s="451">
        <v>440227</v>
      </c>
      <c r="BV73" s="451">
        <v>352182</v>
      </c>
      <c r="BW73" s="451">
        <v>88046</v>
      </c>
      <c r="BX73" s="451">
        <v>0</v>
      </c>
      <c r="BY73" s="451">
        <v>880455</v>
      </c>
      <c r="BZ73" s="451">
        <v>440227</v>
      </c>
      <c r="CA73" s="451">
        <v>352182</v>
      </c>
      <c r="CB73" s="451">
        <v>88046</v>
      </c>
      <c r="CC73" s="451">
        <v>0</v>
      </c>
      <c r="CD73" s="451">
        <v>880455</v>
      </c>
      <c r="CE73" s="104"/>
      <c r="CF73" s="104"/>
      <c r="CG73" s="104"/>
    </row>
    <row r="74" spans="1:85" ht="12.75" x14ac:dyDescent="0.2">
      <c r="A74" s="446">
        <v>67</v>
      </c>
      <c r="B74" s="447" t="s">
        <v>12</v>
      </c>
      <c r="C74" s="448" t="s">
        <v>1100</v>
      </c>
      <c r="D74" s="449" t="s">
        <v>1103</v>
      </c>
      <c r="E74" s="450" t="s">
        <v>11</v>
      </c>
      <c r="F74" s="451">
        <v>52133338</v>
      </c>
      <c r="G74" s="451">
        <v>51090671</v>
      </c>
      <c r="H74" s="451">
        <v>0</v>
      </c>
      <c r="I74" s="451">
        <v>1042667</v>
      </c>
      <c r="J74" s="451">
        <v>104266676</v>
      </c>
      <c r="K74" s="451">
        <v>0</v>
      </c>
      <c r="L74" s="451">
        <v>0</v>
      </c>
      <c r="M74" s="451">
        <v>52133338</v>
      </c>
      <c r="N74" s="451">
        <v>104266676</v>
      </c>
      <c r="O74" s="451">
        <v>379768</v>
      </c>
      <c r="P74" s="451">
        <v>379768</v>
      </c>
      <c r="Q74" s="451">
        <v>0</v>
      </c>
      <c r="R74" s="451">
        <v>0</v>
      </c>
      <c r="S74" s="451">
        <v>0</v>
      </c>
      <c r="T74" s="451">
        <v>0</v>
      </c>
      <c r="U74" s="451">
        <v>0</v>
      </c>
      <c r="V74" s="451">
        <v>0</v>
      </c>
      <c r="W74" s="451">
        <v>0</v>
      </c>
      <c r="X74" s="451">
        <v>0</v>
      </c>
      <c r="Y74" s="451">
        <v>0</v>
      </c>
      <c r="Z74" s="451">
        <v>0</v>
      </c>
      <c r="AA74" s="451">
        <v>0</v>
      </c>
      <c r="AB74" s="451">
        <v>3234762</v>
      </c>
      <c r="AC74" s="451">
        <v>3170067</v>
      </c>
      <c r="AD74" s="451">
        <v>0</v>
      </c>
      <c r="AE74" s="451">
        <v>64695</v>
      </c>
      <c r="AF74" s="451">
        <v>6469524</v>
      </c>
      <c r="AG74" s="451">
        <v>1208416</v>
      </c>
      <c r="AH74" s="451">
        <v>1184247</v>
      </c>
      <c r="AI74" s="451">
        <v>0</v>
      </c>
      <c r="AJ74" s="451">
        <v>24168</v>
      </c>
      <c r="AK74" s="451">
        <v>2416831</v>
      </c>
      <c r="AL74" s="451">
        <v>1456511.09</v>
      </c>
      <c r="AM74" s="451">
        <v>1427380</v>
      </c>
      <c r="AN74" s="451">
        <v>0</v>
      </c>
      <c r="AO74" s="451">
        <v>29130</v>
      </c>
      <c r="AP74" s="451">
        <v>2913021.09</v>
      </c>
      <c r="AQ74" s="451">
        <v>154423</v>
      </c>
      <c r="AR74" s="451">
        <v>151334</v>
      </c>
      <c r="AS74" s="451">
        <v>0</v>
      </c>
      <c r="AT74" s="451">
        <v>3088</v>
      </c>
      <c r="AU74" s="451">
        <v>308845</v>
      </c>
      <c r="AV74" s="451">
        <v>1610934.09</v>
      </c>
      <c r="AW74" s="451">
        <v>1578714</v>
      </c>
      <c r="AX74" s="451">
        <v>0</v>
      </c>
      <c r="AY74" s="451">
        <v>32218</v>
      </c>
      <c r="AZ74" s="451">
        <v>3221866.09</v>
      </c>
      <c r="BA74" s="451">
        <v>0</v>
      </c>
      <c r="BB74" s="451">
        <v>0</v>
      </c>
      <c r="BC74" s="451">
        <v>0</v>
      </c>
      <c r="BD74" s="451">
        <v>0</v>
      </c>
      <c r="BE74" s="451">
        <v>0</v>
      </c>
      <c r="BF74" s="451">
        <v>2830030</v>
      </c>
      <c r="BG74" s="451">
        <v>2773430</v>
      </c>
      <c r="BH74" s="451">
        <v>0</v>
      </c>
      <c r="BI74" s="451">
        <v>56601</v>
      </c>
      <c r="BJ74" s="451">
        <v>5660061</v>
      </c>
      <c r="BK74" s="451">
        <v>2830030</v>
      </c>
      <c r="BL74" s="451">
        <v>2773430</v>
      </c>
      <c r="BM74" s="451">
        <v>0</v>
      </c>
      <c r="BN74" s="451">
        <v>56601</v>
      </c>
      <c r="BO74" s="451">
        <v>5660061</v>
      </c>
      <c r="BP74" s="451">
        <v>0</v>
      </c>
      <c r="BQ74" s="451">
        <v>0</v>
      </c>
      <c r="BR74" s="451">
        <v>0</v>
      </c>
      <c r="BS74" s="451">
        <v>0</v>
      </c>
      <c r="BT74" s="451">
        <v>0</v>
      </c>
      <c r="BU74" s="451">
        <v>2264120</v>
      </c>
      <c r="BV74" s="451">
        <v>2218838</v>
      </c>
      <c r="BW74" s="451">
        <v>0</v>
      </c>
      <c r="BX74" s="451">
        <v>45282</v>
      </c>
      <c r="BY74" s="451">
        <v>4528240</v>
      </c>
      <c r="BZ74" s="451">
        <v>2264120</v>
      </c>
      <c r="CA74" s="451">
        <v>2218838</v>
      </c>
      <c r="CB74" s="451">
        <v>0</v>
      </c>
      <c r="CC74" s="451">
        <v>45282</v>
      </c>
      <c r="CD74" s="451">
        <v>4528240</v>
      </c>
      <c r="CE74" s="104"/>
      <c r="CF74" s="104"/>
      <c r="CG74" s="104"/>
    </row>
    <row r="75" spans="1:85" ht="12.75" x14ac:dyDescent="0.2">
      <c r="A75" s="446">
        <v>68</v>
      </c>
      <c r="B75" s="447" t="s">
        <v>14</v>
      </c>
      <c r="C75" s="448" t="s">
        <v>1093</v>
      </c>
      <c r="D75" s="449" t="s">
        <v>1101</v>
      </c>
      <c r="E75" s="450" t="s">
        <v>13</v>
      </c>
      <c r="F75" s="451">
        <v>8161248</v>
      </c>
      <c r="G75" s="451">
        <v>6528998</v>
      </c>
      <c r="H75" s="451">
        <v>1469025</v>
      </c>
      <c r="I75" s="451">
        <v>163225</v>
      </c>
      <c r="J75" s="451">
        <v>16322496</v>
      </c>
      <c r="K75" s="451">
        <v>0</v>
      </c>
      <c r="L75" s="451">
        <v>0</v>
      </c>
      <c r="M75" s="451">
        <v>8161248</v>
      </c>
      <c r="N75" s="451">
        <v>16322496</v>
      </c>
      <c r="O75" s="451">
        <v>119382</v>
      </c>
      <c r="P75" s="451">
        <v>119382</v>
      </c>
      <c r="Q75" s="451">
        <v>0</v>
      </c>
      <c r="R75" s="451">
        <v>0</v>
      </c>
      <c r="S75" s="451">
        <v>0</v>
      </c>
      <c r="T75" s="451">
        <v>0</v>
      </c>
      <c r="U75" s="451">
        <v>0</v>
      </c>
      <c r="V75" s="451">
        <v>0</v>
      </c>
      <c r="W75" s="451">
        <v>0</v>
      </c>
      <c r="X75" s="451">
        <v>0</v>
      </c>
      <c r="Y75" s="451">
        <v>0</v>
      </c>
      <c r="Z75" s="451">
        <v>0</v>
      </c>
      <c r="AA75" s="451">
        <v>0</v>
      </c>
      <c r="AB75" s="451">
        <v>311109</v>
      </c>
      <c r="AC75" s="451">
        <v>248886</v>
      </c>
      <c r="AD75" s="451">
        <v>55999</v>
      </c>
      <c r="AE75" s="451">
        <v>6222</v>
      </c>
      <c r="AF75" s="451">
        <v>622216</v>
      </c>
      <c r="AG75" s="451">
        <v>50200</v>
      </c>
      <c r="AH75" s="451">
        <v>40160</v>
      </c>
      <c r="AI75" s="451">
        <v>9036</v>
      </c>
      <c r="AJ75" s="451">
        <v>1004</v>
      </c>
      <c r="AK75" s="451">
        <v>100400</v>
      </c>
      <c r="AL75" s="451">
        <v>71824</v>
      </c>
      <c r="AM75" s="451">
        <v>57460</v>
      </c>
      <c r="AN75" s="451">
        <v>12929</v>
      </c>
      <c r="AO75" s="451">
        <v>1437</v>
      </c>
      <c r="AP75" s="451">
        <v>143650</v>
      </c>
      <c r="AQ75" s="451">
        <v>32274</v>
      </c>
      <c r="AR75" s="451">
        <v>25820</v>
      </c>
      <c r="AS75" s="451">
        <v>5810</v>
      </c>
      <c r="AT75" s="451">
        <v>646</v>
      </c>
      <c r="AU75" s="451">
        <v>64550</v>
      </c>
      <c r="AV75" s="451">
        <v>104098</v>
      </c>
      <c r="AW75" s="451">
        <v>83280</v>
      </c>
      <c r="AX75" s="451">
        <v>18739</v>
      </c>
      <c r="AY75" s="451">
        <v>2083</v>
      </c>
      <c r="AZ75" s="451">
        <v>208200</v>
      </c>
      <c r="BA75" s="451">
        <v>0</v>
      </c>
      <c r="BB75" s="451">
        <v>0</v>
      </c>
      <c r="BC75" s="451">
        <v>0</v>
      </c>
      <c r="BD75" s="451">
        <v>0</v>
      </c>
      <c r="BE75" s="451">
        <v>0</v>
      </c>
      <c r="BF75" s="451">
        <v>159000</v>
      </c>
      <c r="BG75" s="451">
        <v>127200</v>
      </c>
      <c r="BH75" s="451">
        <v>28620</v>
      </c>
      <c r="BI75" s="451">
        <v>3180</v>
      </c>
      <c r="BJ75" s="451">
        <v>318000</v>
      </c>
      <c r="BK75" s="451">
        <v>159000</v>
      </c>
      <c r="BL75" s="451">
        <v>127200</v>
      </c>
      <c r="BM75" s="451">
        <v>28620</v>
      </c>
      <c r="BN75" s="451">
        <v>3180</v>
      </c>
      <c r="BO75" s="451">
        <v>318000</v>
      </c>
      <c r="BP75" s="451">
        <v>0</v>
      </c>
      <c r="BQ75" s="451">
        <v>0</v>
      </c>
      <c r="BR75" s="451">
        <v>0</v>
      </c>
      <c r="BS75" s="451">
        <v>0</v>
      </c>
      <c r="BT75" s="451">
        <v>0</v>
      </c>
      <c r="BU75" s="451">
        <v>440500</v>
      </c>
      <c r="BV75" s="451">
        <v>352400</v>
      </c>
      <c r="BW75" s="451">
        <v>79290</v>
      </c>
      <c r="BX75" s="451">
        <v>8810</v>
      </c>
      <c r="BY75" s="451">
        <v>881000</v>
      </c>
      <c r="BZ75" s="451">
        <v>440500</v>
      </c>
      <c r="CA75" s="451">
        <v>352400</v>
      </c>
      <c r="CB75" s="451">
        <v>79290</v>
      </c>
      <c r="CC75" s="451">
        <v>8810</v>
      </c>
      <c r="CD75" s="451">
        <v>881000</v>
      </c>
      <c r="CE75" s="104"/>
      <c r="CF75" s="104"/>
      <c r="CG75" s="104"/>
    </row>
    <row r="76" spans="1:85" ht="12.75" x14ac:dyDescent="0.2">
      <c r="A76" s="446">
        <v>69</v>
      </c>
      <c r="B76" s="447" t="s">
        <v>16</v>
      </c>
      <c r="C76" s="448" t="s">
        <v>1093</v>
      </c>
      <c r="D76" s="449" t="s">
        <v>1094</v>
      </c>
      <c r="E76" s="450" t="s">
        <v>15</v>
      </c>
      <c r="F76" s="451">
        <v>53076174</v>
      </c>
      <c r="G76" s="451">
        <v>42460939</v>
      </c>
      <c r="H76" s="451">
        <v>10615235</v>
      </c>
      <c r="I76" s="451">
        <v>0</v>
      </c>
      <c r="J76" s="451">
        <v>106152348</v>
      </c>
      <c r="K76" s="451">
        <v>0</v>
      </c>
      <c r="L76" s="451">
        <v>0</v>
      </c>
      <c r="M76" s="451">
        <v>53076174</v>
      </c>
      <c r="N76" s="451">
        <v>106152348</v>
      </c>
      <c r="O76" s="451">
        <v>215934</v>
      </c>
      <c r="P76" s="451">
        <v>215934</v>
      </c>
      <c r="Q76" s="451">
        <v>0</v>
      </c>
      <c r="R76" s="451">
        <v>0</v>
      </c>
      <c r="S76" s="451">
        <v>0</v>
      </c>
      <c r="T76" s="451">
        <v>0</v>
      </c>
      <c r="U76" s="451">
        <v>0</v>
      </c>
      <c r="V76" s="451">
        <v>0</v>
      </c>
      <c r="W76" s="451">
        <v>0</v>
      </c>
      <c r="X76" s="451">
        <v>0</v>
      </c>
      <c r="Y76" s="451">
        <v>0</v>
      </c>
      <c r="Z76" s="451">
        <v>0</v>
      </c>
      <c r="AA76" s="451">
        <v>0</v>
      </c>
      <c r="AB76" s="451">
        <v>731355</v>
      </c>
      <c r="AC76" s="451">
        <v>585084</v>
      </c>
      <c r="AD76" s="451">
        <v>146271</v>
      </c>
      <c r="AE76" s="451">
        <v>0</v>
      </c>
      <c r="AF76" s="451">
        <v>1462710</v>
      </c>
      <c r="AG76" s="451">
        <v>1712972</v>
      </c>
      <c r="AH76" s="451">
        <v>1370378</v>
      </c>
      <c r="AI76" s="451">
        <v>342594</v>
      </c>
      <c r="AJ76" s="451">
        <v>0</v>
      </c>
      <c r="AK76" s="451">
        <v>3425944</v>
      </c>
      <c r="AL76" s="451">
        <v>657304</v>
      </c>
      <c r="AM76" s="451">
        <v>525843</v>
      </c>
      <c r="AN76" s="451">
        <v>131461</v>
      </c>
      <c r="AO76" s="451">
        <v>0</v>
      </c>
      <c r="AP76" s="451">
        <v>1314608</v>
      </c>
      <c r="AQ76" s="451">
        <v>-223001</v>
      </c>
      <c r="AR76" s="451">
        <v>-178400</v>
      </c>
      <c r="AS76" s="451">
        <v>-44600</v>
      </c>
      <c r="AT76" s="451">
        <v>0</v>
      </c>
      <c r="AU76" s="451">
        <v>-446001</v>
      </c>
      <c r="AV76" s="451">
        <v>434303</v>
      </c>
      <c r="AW76" s="451">
        <v>347443</v>
      </c>
      <c r="AX76" s="451">
        <v>86861</v>
      </c>
      <c r="AY76" s="451">
        <v>0</v>
      </c>
      <c r="AZ76" s="451">
        <v>868607</v>
      </c>
      <c r="BA76" s="451">
        <v>0</v>
      </c>
      <c r="BB76" s="451">
        <v>0</v>
      </c>
      <c r="BC76" s="451">
        <v>0</v>
      </c>
      <c r="BD76" s="451">
        <v>0</v>
      </c>
      <c r="BE76" s="451">
        <v>0</v>
      </c>
      <c r="BF76" s="451">
        <v>848646</v>
      </c>
      <c r="BG76" s="451">
        <v>678916</v>
      </c>
      <c r="BH76" s="451">
        <v>169729</v>
      </c>
      <c r="BI76" s="451">
        <v>0</v>
      </c>
      <c r="BJ76" s="451">
        <v>1697291</v>
      </c>
      <c r="BK76" s="451">
        <v>848646</v>
      </c>
      <c r="BL76" s="451">
        <v>678916</v>
      </c>
      <c r="BM76" s="451">
        <v>169729</v>
      </c>
      <c r="BN76" s="451">
        <v>0</v>
      </c>
      <c r="BO76" s="451">
        <v>1697291</v>
      </c>
      <c r="BP76" s="451">
        <v>0</v>
      </c>
      <c r="BQ76" s="451">
        <v>0</v>
      </c>
      <c r="BR76" s="451">
        <v>0</v>
      </c>
      <c r="BS76" s="451">
        <v>0</v>
      </c>
      <c r="BT76" s="451">
        <v>0</v>
      </c>
      <c r="BU76" s="451">
        <v>1935043</v>
      </c>
      <c r="BV76" s="451">
        <v>1548034</v>
      </c>
      <c r="BW76" s="451">
        <v>387009</v>
      </c>
      <c r="BX76" s="451">
        <v>0</v>
      </c>
      <c r="BY76" s="451">
        <v>3870086</v>
      </c>
      <c r="BZ76" s="451">
        <v>1935043</v>
      </c>
      <c r="CA76" s="451">
        <v>1548034</v>
      </c>
      <c r="CB76" s="451">
        <v>387009</v>
      </c>
      <c r="CC76" s="451">
        <v>0</v>
      </c>
      <c r="CD76" s="451">
        <v>3870086</v>
      </c>
      <c r="CE76" s="104"/>
      <c r="CF76" s="104"/>
      <c r="CG76" s="104"/>
    </row>
    <row r="77" spans="1:85" ht="12.75" x14ac:dyDescent="0.2">
      <c r="A77" s="446">
        <v>70</v>
      </c>
      <c r="B77" s="447" t="s">
        <v>18</v>
      </c>
      <c r="C77" s="448" t="s">
        <v>1098</v>
      </c>
      <c r="D77" s="449" t="s">
        <v>1099</v>
      </c>
      <c r="E77" s="450" t="s">
        <v>17</v>
      </c>
      <c r="F77" s="451">
        <v>51471606</v>
      </c>
      <c r="G77" s="451">
        <v>30882964</v>
      </c>
      <c r="H77" s="451">
        <v>20588642</v>
      </c>
      <c r="I77" s="451">
        <v>0</v>
      </c>
      <c r="J77" s="451">
        <v>102943212</v>
      </c>
      <c r="K77" s="451">
        <v>0</v>
      </c>
      <c r="L77" s="451">
        <v>0</v>
      </c>
      <c r="M77" s="451">
        <v>51471606</v>
      </c>
      <c r="N77" s="451">
        <v>102943212</v>
      </c>
      <c r="O77" s="451">
        <v>435172</v>
      </c>
      <c r="P77" s="451">
        <v>435172</v>
      </c>
      <c r="Q77" s="451">
        <v>0</v>
      </c>
      <c r="R77" s="451">
        <v>0</v>
      </c>
      <c r="S77" s="451">
        <v>0</v>
      </c>
      <c r="T77" s="451">
        <v>0</v>
      </c>
      <c r="U77" s="451">
        <v>0</v>
      </c>
      <c r="V77" s="451">
        <v>0</v>
      </c>
      <c r="W77" s="451">
        <v>0</v>
      </c>
      <c r="X77" s="451">
        <v>0</v>
      </c>
      <c r="Y77" s="451">
        <v>0</v>
      </c>
      <c r="Z77" s="451">
        <v>0</v>
      </c>
      <c r="AA77" s="451">
        <v>0</v>
      </c>
      <c r="AB77" s="451">
        <v>6942936</v>
      </c>
      <c r="AC77" s="451">
        <v>4165762</v>
      </c>
      <c r="AD77" s="451">
        <v>2777175</v>
      </c>
      <c r="AE77" s="451">
        <v>0</v>
      </c>
      <c r="AF77" s="451">
        <v>13885873</v>
      </c>
      <c r="AG77" s="451">
        <v>2674679</v>
      </c>
      <c r="AH77" s="451">
        <v>1604807</v>
      </c>
      <c r="AI77" s="451">
        <v>1069871</v>
      </c>
      <c r="AJ77" s="451">
        <v>0</v>
      </c>
      <c r="AK77" s="451">
        <v>5349357</v>
      </c>
      <c r="AL77" s="451">
        <v>4212158</v>
      </c>
      <c r="AM77" s="451">
        <v>2527295</v>
      </c>
      <c r="AN77" s="451">
        <v>1684863</v>
      </c>
      <c r="AO77" s="451">
        <v>0</v>
      </c>
      <c r="AP77" s="451">
        <v>8424316</v>
      </c>
      <c r="AQ77" s="451">
        <v>810609</v>
      </c>
      <c r="AR77" s="451">
        <v>486366</v>
      </c>
      <c r="AS77" s="451">
        <v>324244</v>
      </c>
      <c r="AT77" s="451">
        <v>0</v>
      </c>
      <c r="AU77" s="451">
        <v>1621219</v>
      </c>
      <c r="AV77" s="451">
        <v>5022767</v>
      </c>
      <c r="AW77" s="451">
        <v>3013661</v>
      </c>
      <c r="AX77" s="451">
        <v>2009107</v>
      </c>
      <c r="AY77" s="451">
        <v>0</v>
      </c>
      <c r="AZ77" s="451">
        <v>10045535</v>
      </c>
      <c r="BA77" s="451">
        <v>0</v>
      </c>
      <c r="BB77" s="451">
        <v>0</v>
      </c>
      <c r="BC77" s="451">
        <v>0</v>
      </c>
      <c r="BD77" s="451">
        <v>0</v>
      </c>
      <c r="BE77" s="451">
        <v>0</v>
      </c>
      <c r="BF77" s="451">
        <v>1141602</v>
      </c>
      <c r="BG77" s="451">
        <v>684961</v>
      </c>
      <c r="BH77" s="451">
        <v>456641</v>
      </c>
      <c r="BI77" s="451">
        <v>0</v>
      </c>
      <c r="BJ77" s="451">
        <v>2283204</v>
      </c>
      <c r="BK77" s="451">
        <v>1141602</v>
      </c>
      <c r="BL77" s="451">
        <v>684961</v>
      </c>
      <c r="BM77" s="451">
        <v>456641</v>
      </c>
      <c r="BN77" s="451">
        <v>0</v>
      </c>
      <c r="BO77" s="451">
        <v>2283204</v>
      </c>
      <c r="BP77" s="451">
        <v>0</v>
      </c>
      <c r="BQ77" s="451">
        <v>0</v>
      </c>
      <c r="BR77" s="451">
        <v>0</v>
      </c>
      <c r="BS77" s="451">
        <v>0</v>
      </c>
      <c r="BT77" s="451">
        <v>0</v>
      </c>
      <c r="BU77" s="451">
        <v>1756398</v>
      </c>
      <c r="BV77" s="451">
        <v>1053839</v>
      </c>
      <c r="BW77" s="451">
        <v>702559</v>
      </c>
      <c r="BX77" s="451">
        <v>0</v>
      </c>
      <c r="BY77" s="451">
        <v>3512796</v>
      </c>
      <c r="BZ77" s="451">
        <v>1756398</v>
      </c>
      <c r="CA77" s="451">
        <v>1053839</v>
      </c>
      <c r="CB77" s="451">
        <v>702559</v>
      </c>
      <c r="CC77" s="451">
        <v>0</v>
      </c>
      <c r="CD77" s="451">
        <v>3512796</v>
      </c>
      <c r="CE77" s="104"/>
      <c r="CF77" s="104"/>
      <c r="CG77" s="104"/>
    </row>
    <row r="78" spans="1:85" ht="12.75" x14ac:dyDescent="0.2">
      <c r="A78" s="446">
        <v>71</v>
      </c>
      <c r="B78" s="447" t="s">
        <v>20</v>
      </c>
      <c r="C78" s="448" t="s">
        <v>1093</v>
      </c>
      <c r="D78" s="449" t="s">
        <v>1097</v>
      </c>
      <c r="E78" s="450" t="s">
        <v>19</v>
      </c>
      <c r="F78" s="451">
        <v>27854611</v>
      </c>
      <c r="G78" s="451">
        <v>22283689</v>
      </c>
      <c r="H78" s="451">
        <v>5570922</v>
      </c>
      <c r="I78" s="451">
        <v>0</v>
      </c>
      <c r="J78" s="451">
        <v>55709222</v>
      </c>
      <c r="K78" s="451">
        <v>0</v>
      </c>
      <c r="L78" s="451">
        <v>0</v>
      </c>
      <c r="M78" s="451">
        <v>27854611</v>
      </c>
      <c r="N78" s="451">
        <v>55709222</v>
      </c>
      <c r="O78" s="451">
        <v>218506</v>
      </c>
      <c r="P78" s="451">
        <v>218506</v>
      </c>
      <c r="Q78" s="451">
        <v>0</v>
      </c>
      <c r="R78" s="451">
        <v>0</v>
      </c>
      <c r="S78" s="451">
        <v>0</v>
      </c>
      <c r="T78" s="451">
        <v>0</v>
      </c>
      <c r="U78" s="451">
        <v>0</v>
      </c>
      <c r="V78" s="451">
        <v>0</v>
      </c>
      <c r="W78" s="451">
        <v>0</v>
      </c>
      <c r="X78" s="451">
        <v>0</v>
      </c>
      <c r="Y78" s="451">
        <v>0</v>
      </c>
      <c r="Z78" s="451">
        <v>0</v>
      </c>
      <c r="AA78" s="451">
        <v>0</v>
      </c>
      <c r="AB78" s="451">
        <v>1392242.22</v>
      </c>
      <c r="AC78" s="451">
        <v>1113793</v>
      </c>
      <c r="AD78" s="451">
        <v>278448</v>
      </c>
      <c r="AE78" s="451">
        <v>0</v>
      </c>
      <c r="AF78" s="451">
        <v>2784483.22</v>
      </c>
      <c r="AG78" s="451">
        <v>685724</v>
      </c>
      <c r="AH78" s="451">
        <v>548580</v>
      </c>
      <c r="AI78" s="451">
        <v>137145</v>
      </c>
      <c r="AJ78" s="451">
        <v>0</v>
      </c>
      <c r="AK78" s="451">
        <v>1371449</v>
      </c>
      <c r="AL78" s="451">
        <v>239109</v>
      </c>
      <c r="AM78" s="451">
        <v>191287</v>
      </c>
      <c r="AN78" s="451">
        <v>47822</v>
      </c>
      <c r="AO78" s="451">
        <v>0</v>
      </c>
      <c r="AP78" s="451">
        <v>478218</v>
      </c>
      <c r="AQ78" s="451">
        <v>79172</v>
      </c>
      <c r="AR78" s="451">
        <v>63338</v>
      </c>
      <c r="AS78" s="451">
        <v>15834</v>
      </c>
      <c r="AT78" s="451">
        <v>0</v>
      </c>
      <c r="AU78" s="451">
        <v>158344</v>
      </c>
      <c r="AV78" s="451">
        <v>318281</v>
      </c>
      <c r="AW78" s="451">
        <v>254625</v>
      </c>
      <c r="AX78" s="451">
        <v>63656</v>
      </c>
      <c r="AY78" s="451">
        <v>0</v>
      </c>
      <c r="AZ78" s="451">
        <v>636562</v>
      </c>
      <c r="BA78" s="451">
        <v>0</v>
      </c>
      <c r="BB78" s="451">
        <v>0</v>
      </c>
      <c r="BC78" s="451">
        <v>0</v>
      </c>
      <c r="BD78" s="451">
        <v>0</v>
      </c>
      <c r="BE78" s="451">
        <v>0</v>
      </c>
      <c r="BF78" s="451">
        <v>748122.79</v>
      </c>
      <c r="BG78" s="451">
        <v>598498</v>
      </c>
      <c r="BH78" s="451">
        <v>149624</v>
      </c>
      <c r="BI78" s="451">
        <v>0</v>
      </c>
      <c r="BJ78" s="451">
        <v>1496244.79</v>
      </c>
      <c r="BK78" s="451">
        <v>748122.79</v>
      </c>
      <c r="BL78" s="451">
        <v>598498</v>
      </c>
      <c r="BM78" s="451">
        <v>149624</v>
      </c>
      <c r="BN78" s="451">
        <v>0</v>
      </c>
      <c r="BO78" s="451">
        <v>1496244.79</v>
      </c>
      <c r="BP78" s="451">
        <v>0</v>
      </c>
      <c r="BQ78" s="451">
        <v>0</v>
      </c>
      <c r="BR78" s="451">
        <v>0</v>
      </c>
      <c r="BS78" s="451">
        <v>0</v>
      </c>
      <c r="BT78" s="451">
        <v>0</v>
      </c>
      <c r="BU78" s="451">
        <v>1820275.87</v>
      </c>
      <c r="BV78" s="451">
        <v>1456220</v>
      </c>
      <c r="BW78" s="451">
        <v>364055</v>
      </c>
      <c r="BX78" s="451">
        <v>0</v>
      </c>
      <c r="BY78" s="451">
        <v>3640550.87</v>
      </c>
      <c r="BZ78" s="451">
        <v>1820275.87</v>
      </c>
      <c r="CA78" s="451">
        <v>1456220</v>
      </c>
      <c r="CB78" s="451">
        <v>364055</v>
      </c>
      <c r="CC78" s="451">
        <v>0</v>
      </c>
      <c r="CD78" s="451">
        <v>3640550.87</v>
      </c>
      <c r="CE78" s="104"/>
      <c r="CF78" s="104"/>
      <c r="CG78" s="104"/>
    </row>
    <row r="79" spans="1:85" ht="12.75" x14ac:dyDescent="0.2">
      <c r="A79" s="446">
        <v>72</v>
      </c>
      <c r="B79" s="447" t="s">
        <v>22</v>
      </c>
      <c r="C79" s="448" t="s">
        <v>794</v>
      </c>
      <c r="D79" s="449" t="s">
        <v>1105</v>
      </c>
      <c r="E79" s="450" t="s">
        <v>714</v>
      </c>
      <c r="F79" s="451">
        <v>15207503</v>
      </c>
      <c r="G79" s="451">
        <v>14903353</v>
      </c>
      <c r="H79" s="451">
        <v>0</v>
      </c>
      <c r="I79" s="451">
        <v>304150</v>
      </c>
      <c r="J79" s="451">
        <v>30415006</v>
      </c>
      <c r="K79" s="451">
        <v>0</v>
      </c>
      <c r="L79" s="451">
        <v>0</v>
      </c>
      <c r="M79" s="451">
        <v>15207503</v>
      </c>
      <c r="N79" s="451">
        <v>30415006</v>
      </c>
      <c r="O79" s="451">
        <v>148432</v>
      </c>
      <c r="P79" s="451">
        <v>148432</v>
      </c>
      <c r="Q79" s="451">
        <v>0</v>
      </c>
      <c r="R79" s="451">
        <v>0</v>
      </c>
      <c r="S79" s="451">
        <v>0</v>
      </c>
      <c r="T79" s="451">
        <v>0</v>
      </c>
      <c r="U79" s="451">
        <v>0</v>
      </c>
      <c r="V79" s="451">
        <v>0</v>
      </c>
      <c r="W79" s="451">
        <v>0</v>
      </c>
      <c r="X79" s="451">
        <v>0</v>
      </c>
      <c r="Y79" s="451">
        <v>0</v>
      </c>
      <c r="Z79" s="451">
        <v>0</v>
      </c>
      <c r="AA79" s="451">
        <v>0</v>
      </c>
      <c r="AB79" s="451">
        <v>1012156</v>
      </c>
      <c r="AC79" s="451">
        <v>991912</v>
      </c>
      <c r="AD79" s="451">
        <v>0</v>
      </c>
      <c r="AE79" s="451">
        <v>20243</v>
      </c>
      <c r="AF79" s="451">
        <v>2024311</v>
      </c>
      <c r="AG79" s="451">
        <v>-371621</v>
      </c>
      <c r="AH79" s="451">
        <v>-364188</v>
      </c>
      <c r="AI79" s="451">
        <v>0</v>
      </c>
      <c r="AJ79" s="451">
        <v>-7432</v>
      </c>
      <c r="AK79" s="451">
        <v>-743241</v>
      </c>
      <c r="AL79" s="451">
        <v>304500</v>
      </c>
      <c r="AM79" s="451">
        <v>298410</v>
      </c>
      <c r="AN79" s="451">
        <v>0</v>
      </c>
      <c r="AO79" s="451">
        <v>6090</v>
      </c>
      <c r="AP79" s="451">
        <v>609000</v>
      </c>
      <c r="AQ79" s="451">
        <v>-51745</v>
      </c>
      <c r="AR79" s="451">
        <v>-50710</v>
      </c>
      <c r="AS79" s="451">
        <v>0</v>
      </c>
      <c r="AT79" s="451">
        <v>-1035</v>
      </c>
      <c r="AU79" s="451">
        <v>-103490</v>
      </c>
      <c r="AV79" s="451">
        <v>252755</v>
      </c>
      <c r="AW79" s="451">
        <v>247700</v>
      </c>
      <c r="AX79" s="451">
        <v>0</v>
      </c>
      <c r="AY79" s="451">
        <v>5055</v>
      </c>
      <c r="AZ79" s="451">
        <v>505510</v>
      </c>
      <c r="BA79" s="451">
        <v>0</v>
      </c>
      <c r="BB79" s="451">
        <v>0</v>
      </c>
      <c r="BC79" s="451">
        <v>0</v>
      </c>
      <c r="BD79" s="451">
        <v>0</v>
      </c>
      <c r="BE79" s="451">
        <v>0</v>
      </c>
      <c r="BF79" s="451">
        <v>149045</v>
      </c>
      <c r="BG79" s="451">
        <v>146064</v>
      </c>
      <c r="BH79" s="451">
        <v>0</v>
      </c>
      <c r="BI79" s="451">
        <v>2981</v>
      </c>
      <c r="BJ79" s="451">
        <v>298090</v>
      </c>
      <c r="BK79" s="451">
        <v>149045</v>
      </c>
      <c r="BL79" s="451">
        <v>146064</v>
      </c>
      <c r="BM79" s="451">
        <v>0</v>
      </c>
      <c r="BN79" s="451">
        <v>2981</v>
      </c>
      <c r="BO79" s="451">
        <v>298090</v>
      </c>
      <c r="BP79" s="451">
        <v>0</v>
      </c>
      <c r="BQ79" s="451">
        <v>0</v>
      </c>
      <c r="BR79" s="451">
        <v>0</v>
      </c>
      <c r="BS79" s="451">
        <v>0</v>
      </c>
      <c r="BT79" s="451">
        <v>0</v>
      </c>
      <c r="BU79" s="451">
        <v>505960</v>
      </c>
      <c r="BV79" s="451">
        <v>495840</v>
      </c>
      <c r="BW79" s="451">
        <v>0</v>
      </c>
      <c r="BX79" s="451">
        <v>10119</v>
      </c>
      <c r="BY79" s="451">
        <v>1011919</v>
      </c>
      <c r="BZ79" s="451">
        <v>505960</v>
      </c>
      <c r="CA79" s="451">
        <v>495840</v>
      </c>
      <c r="CB79" s="451">
        <v>0</v>
      </c>
      <c r="CC79" s="451">
        <v>10119</v>
      </c>
      <c r="CD79" s="451">
        <v>1011919</v>
      </c>
      <c r="CE79" s="104"/>
      <c r="CF79" s="104"/>
      <c r="CG79" s="104"/>
    </row>
    <row r="80" spans="1:85" ht="12.75" x14ac:dyDescent="0.2">
      <c r="A80" s="446">
        <v>73</v>
      </c>
      <c r="B80" s="447" t="s">
        <v>24</v>
      </c>
      <c r="C80" s="448" t="s">
        <v>1093</v>
      </c>
      <c r="D80" s="449" t="s">
        <v>1094</v>
      </c>
      <c r="E80" s="450" t="s">
        <v>23</v>
      </c>
      <c r="F80" s="451">
        <v>36349649</v>
      </c>
      <c r="G80" s="451">
        <v>29079720</v>
      </c>
      <c r="H80" s="451">
        <v>6542937</v>
      </c>
      <c r="I80" s="451">
        <v>726993</v>
      </c>
      <c r="J80" s="451">
        <v>72699299</v>
      </c>
      <c r="K80" s="451">
        <v>0</v>
      </c>
      <c r="L80" s="451">
        <v>0</v>
      </c>
      <c r="M80" s="451">
        <v>36349649</v>
      </c>
      <c r="N80" s="451">
        <v>72699299</v>
      </c>
      <c r="O80" s="451">
        <v>175930</v>
      </c>
      <c r="P80" s="451">
        <v>175930</v>
      </c>
      <c r="Q80" s="451">
        <v>0</v>
      </c>
      <c r="R80" s="451">
        <v>0</v>
      </c>
      <c r="S80" s="451">
        <v>0</v>
      </c>
      <c r="T80" s="451">
        <v>0</v>
      </c>
      <c r="U80" s="451">
        <v>0</v>
      </c>
      <c r="V80" s="451">
        <v>0</v>
      </c>
      <c r="W80" s="451">
        <v>0</v>
      </c>
      <c r="X80" s="451">
        <v>0</v>
      </c>
      <c r="Y80" s="451">
        <v>0</v>
      </c>
      <c r="Z80" s="451">
        <v>0</v>
      </c>
      <c r="AA80" s="451">
        <v>0</v>
      </c>
      <c r="AB80" s="451">
        <v>992353</v>
      </c>
      <c r="AC80" s="451">
        <v>793882</v>
      </c>
      <c r="AD80" s="451">
        <v>178623</v>
      </c>
      <c r="AE80" s="451">
        <v>19847</v>
      </c>
      <c r="AF80" s="451">
        <v>1984705</v>
      </c>
      <c r="AG80" s="451">
        <v>1872864</v>
      </c>
      <c r="AH80" s="451">
        <v>1498290</v>
      </c>
      <c r="AI80" s="451">
        <v>337115</v>
      </c>
      <c r="AJ80" s="451">
        <v>37457</v>
      </c>
      <c r="AK80" s="451">
        <v>3745726</v>
      </c>
      <c r="AL80" s="451">
        <v>889249</v>
      </c>
      <c r="AM80" s="451">
        <v>711400</v>
      </c>
      <c r="AN80" s="451">
        <v>160065</v>
      </c>
      <c r="AO80" s="451">
        <v>17785</v>
      </c>
      <c r="AP80" s="451">
        <v>1778499</v>
      </c>
      <c r="AQ80" s="451">
        <v>-6420</v>
      </c>
      <c r="AR80" s="451">
        <v>-5135</v>
      </c>
      <c r="AS80" s="451">
        <v>-1155</v>
      </c>
      <c r="AT80" s="451">
        <v>-128</v>
      </c>
      <c r="AU80" s="451">
        <v>-12838</v>
      </c>
      <c r="AV80" s="451">
        <v>882829</v>
      </c>
      <c r="AW80" s="451">
        <v>706265</v>
      </c>
      <c r="AX80" s="451">
        <v>158910</v>
      </c>
      <c r="AY80" s="451">
        <v>17657</v>
      </c>
      <c r="AZ80" s="451">
        <v>1765661</v>
      </c>
      <c r="BA80" s="451">
        <v>0</v>
      </c>
      <c r="BB80" s="451">
        <v>0</v>
      </c>
      <c r="BC80" s="451">
        <v>0</v>
      </c>
      <c r="BD80" s="451">
        <v>0</v>
      </c>
      <c r="BE80" s="451">
        <v>0</v>
      </c>
      <c r="BF80" s="451">
        <v>1618363</v>
      </c>
      <c r="BG80" s="451">
        <v>1294690</v>
      </c>
      <c r="BH80" s="451">
        <v>291305</v>
      </c>
      <c r="BI80" s="451">
        <v>32367</v>
      </c>
      <c r="BJ80" s="451">
        <v>3236725</v>
      </c>
      <c r="BK80" s="451">
        <v>1618363</v>
      </c>
      <c r="BL80" s="451">
        <v>1294690</v>
      </c>
      <c r="BM80" s="451">
        <v>291305</v>
      </c>
      <c r="BN80" s="451">
        <v>32367</v>
      </c>
      <c r="BO80" s="451">
        <v>3236725</v>
      </c>
      <c r="BP80" s="451">
        <v>0</v>
      </c>
      <c r="BQ80" s="451">
        <v>0</v>
      </c>
      <c r="BR80" s="451">
        <v>0</v>
      </c>
      <c r="BS80" s="451">
        <v>0</v>
      </c>
      <c r="BT80" s="451">
        <v>0</v>
      </c>
      <c r="BU80" s="451">
        <v>2392553</v>
      </c>
      <c r="BV80" s="451">
        <v>1914043</v>
      </c>
      <c r="BW80" s="451">
        <v>430660</v>
      </c>
      <c r="BX80" s="451">
        <v>47851</v>
      </c>
      <c r="BY80" s="451">
        <v>4785107</v>
      </c>
      <c r="BZ80" s="451">
        <v>2392553</v>
      </c>
      <c r="CA80" s="451">
        <v>1914043</v>
      </c>
      <c r="CB80" s="451">
        <v>430660</v>
      </c>
      <c r="CC80" s="451">
        <v>47851</v>
      </c>
      <c r="CD80" s="451">
        <v>4785107</v>
      </c>
      <c r="CE80" s="104"/>
      <c r="CF80" s="104"/>
      <c r="CG80" s="104"/>
    </row>
    <row r="81" spans="1:85" ht="12.75" x14ac:dyDescent="0.2">
      <c r="A81" s="446">
        <v>74</v>
      </c>
      <c r="B81" s="447" t="s">
        <v>26</v>
      </c>
      <c r="C81" s="448" t="s">
        <v>1093</v>
      </c>
      <c r="D81" s="449" t="s">
        <v>1096</v>
      </c>
      <c r="E81" s="450" t="s">
        <v>25</v>
      </c>
      <c r="F81" s="451">
        <v>18292318</v>
      </c>
      <c r="G81" s="451">
        <v>14633854</v>
      </c>
      <c r="H81" s="451">
        <v>3658464</v>
      </c>
      <c r="I81" s="451">
        <v>0</v>
      </c>
      <c r="J81" s="451">
        <v>36584636</v>
      </c>
      <c r="K81" s="451">
        <v>0</v>
      </c>
      <c r="L81" s="451">
        <v>0</v>
      </c>
      <c r="M81" s="451">
        <v>18292318</v>
      </c>
      <c r="N81" s="451">
        <v>36584636</v>
      </c>
      <c r="O81" s="451">
        <v>116811</v>
      </c>
      <c r="P81" s="451">
        <v>116811</v>
      </c>
      <c r="Q81" s="451">
        <v>0</v>
      </c>
      <c r="R81" s="451">
        <v>0</v>
      </c>
      <c r="S81" s="451">
        <v>0</v>
      </c>
      <c r="T81" s="451">
        <v>0</v>
      </c>
      <c r="U81" s="451">
        <v>155972</v>
      </c>
      <c r="V81" s="451">
        <v>0</v>
      </c>
      <c r="W81" s="451">
        <v>155972</v>
      </c>
      <c r="X81" s="451">
        <v>0</v>
      </c>
      <c r="Y81" s="451">
        <v>0</v>
      </c>
      <c r="Z81" s="451">
        <v>0</v>
      </c>
      <c r="AA81" s="451">
        <v>0</v>
      </c>
      <c r="AB81" s="451">
        <v>306936</v>
      </c>
      <c r="AC81" s="451">
        <v>245548</v>
      </c>
      <c r="AD81" s="451">
        <v>61387</v>
      </c>
      <c r="AE81" s="451">
        <v>0</v>
      </c>
      <c r="AF81" s="451">
        <v>613871</v>
      </c>
      <c r="AG81" s="451">
        <v>261211</v>
      </c>
      <c r="AH81" s="451">
        <v>208968</v>
      </c>
      <c r="AI81" s="451">
        <v>52242</v>
      </c>
      <c r="AJ81" s="451">
        <v>0</v>
      </c>
      <c r="AK81" s="451">
        <v>522421</v>
      </c>
      <c r="AL81" s="451">
        <v>236407</v>
      </c>
      <c r="AM81" s="451">
        <v>189126</v>
      </c>
      <c r="AN81" s="451">
        <v>47282</v>
      </c>
      <c r="AO81" s="451">
        <v>0</v>
      </c>
      <c r="AP81" s="451">
        <v>472815</v>
      </c>
      <c r="AQ81" s="451">
        <v>21219</v>
      </c>
      <c r="AR81" s="451">
        <v>16976</v>
      </c>
      <c r="AS81" s="451">
        <v>4244</v>
      </c>
      <c r="AT81" s="451">
        <v>0</v>
      </c>
      <c r="AU81" s="451">
        <v>42439</v>
      </c>
      <c r="AV81" s="451">
        <v>257626</v>
      </c>
      <c r="AW81" s="451">
        <v>206102</v>
      </c>
      <c r="AX81" s="451">
        <v>51526</v>
      </c>
      <c r="AY81" s="451">
        <v>0</v>
      </c>
      <c r="AZ81" s="451">
        <v>515254</v>
      </c>
      <c r="BA81" s="451">
        <v>0</v>
      </c>
      <c r="BB81" s="451">
        <v>0</v>
      </c>
      <c r="BC81" s="451">
        <v>0</v>
      </c>
      <c r="BD81" s="451">
        <v>0</v>
      </c>
      <c r="BE81" s="451">
        <v>0</v>
      </c>
      <c r="BF81" s="451">
        <v>58635</v>
      </c>
      <c r="BG81" s="451">
        <v>46908</v>
      </c>
      <c r="BH81" s="451">
        <v>11727</v>
      </c>
      <c r="BI81" s="451">
        <v>0</v>
      </c>
      <c r="BJ81" s="451">
        <v>117270</v>
      </c>
      <c r="BK81" s="451">
        <v>58635</v>
      </c>
      <c r="BL81" s="451">
        <v>46908</v>
      </c>
      <c r="BM81" s="451">
        <v>11727</v>
      </c>
      <c r="BN81" s="451">
        <v>0</v>
      </c>
      <c r="BO81" s="451">
        <v>117270</v>
      </c>
      <c r="BP81" s="451">
        <v>0</v>
      </c>
      <c r="BQ81" s="451">
        <v>0</v>
      </c>
      <c r="BR81" s="451">
        <v>0</v>
      </c>
      <c r="BS81" s="451">
        <v>0</v>
      </c>
      <c r="BT81" s="451">
        <v>0</v>
      </c>
      <c r="BU81" s="451">
        <v>564256</v>
      </c>
      <c r="BV81" s="451">
        <v>451405</v>
      </c>
      <c r="BW81" s="451">
        <v>112851</v>
      </c>
      <c r="BX81" s="451">
        <v>0</v>
      </c>
      <c r="BY81" s="451">
        <v>1128512</v>
      </c>
      <c r="BZ81" s="451">
        <v>564256</v>
      </c>
      <c r="CA81" s="451">
        <v>451405</v>
      </c>
      <c r="CB81" s="451">
        <v>112851</v>
      </c>
      <c r="CC81" s="451">
        <v>0</v>
      </c>
      <c r="CD81" s="451">
        <v>1128512</v>
      </c>
      <c r="CE81" s="104"/>
      <c r="CF81" s="104"/>
      <c r="CG81" s="104"/>
    </row>
    <row r="82" spans="1:85" ht="12.75" x14ac:dyDescent="0.2">
      <c r="A82" s="446">
        <v>75</v>
      </c>
      <c r="B82" s="447" t="s">
        <v>28</v>
      </c>
      <c r="C82" s="448" t="s">
        <v>794</v>
      </c>
      <c r="D82" s="449" t="s">
        <v>1096</v>
      </c>
      <c r="E82" s="450" t="s">
        <v>715</v>
      </c>
      <c r="F82" s="451">
        <v>36673062</v>
      </c>
      <c r="G82" s="451">
        <v>35939600</v>
      </c>
      <c r="H82" s="451">
        <v>0</v>
      </c>
      <c r="I82" s="451">
        <v>733461</v>
      </c>
      <c r="J82" s="451">
        <v>73346123</v>
      </c>
      <c r="K82" s="451">
        <v>0</v>
      </c>
      <c r="L82" s="451">
        <v>0</v>
      </c>
      <c r="M82" s="451">
        <v>36673062</v>
      </c>
      <c r="N82" s="451">
        <v>73346123</v>
      </c>
      <c r="O82" s="451">
        <v>314703</v>
      </c>
      <c r="P82" s="451">
        <v>314703</v>
      </c>
      <c r="Q82" s="451">
        <v>0</v>
      </c>
      <c r="R82" s="451">
        <v>0</v>
      </c>
      <c r="S82" s="451">
        <v>0</v>
      </c>
      <c r="T82" s="451">
        <v>0</v>
      </c>
      <c r="U82" s="451">
        <v>0</v>
      </c>
      <c r="V82" s="451">
        <v>0</v>
      </c>
      <c r="W82" s="451">
        <v>0</v>
      </c>
      <c r="X82" s="451">
        <v>0</v>
      </c>
      <c r="Y82" s="451">
        <v>0</v>
      </c>
      <c r="Z82" s="451">
        <v>0</v>
      </c>
      <c r="AA82" s="451">
        <v>0</v>
      </c>
      <c r="AB82" s="451">
        <v>3324591.48</v>
      </c>
      <c r="AC82" s="451">
        <v>3258099</v>
      </c>
      <c r="AD82" s="451">
        <v>0</v>
      </c>
      <c r="AE82" s="451">
        <v>66492</v>
      </c>
      <c r="AF82" s="451">
        <v>6649182.4800000004</v>
      </c>
      <c r="AG82" s="451">
        <v>377558.35</v>
      </c>
      <c r="AH82" s="451">
        <v>370007</v>
      </c>
      <c r="AI82" s="451">
        <v>0</v>
      </c>
      <c r="AJ82" s="451">
        <v>7551</v>
      </c>
      <c r="AK82" s="451">
        <v>755116.35</v>
      </c>
      <c r="AL82" s="451">
        <v>1234998</v>
      </c>
      <c r="AM82" s="451">
        <v>1210299</v>
      </c>
      <c r="AN82" s="451">
        <v>0</v>
      </c>
      <c r="AO82" s="451">
        <v>24700</v>
      </c>
      <c r="AP82" s="451">
        <v>2469997</v>
      </c>
      <c r="AQ82" s="451">
        <v>497504</v>
      </c>
      <c r="AR82" s="451">
        <v>487554</v>
      </c>
      <c r="AS82" s="451">
        <v>0</v>
      </c>
      <c r="AT82" s="451">
        <v>9950</v>
      </c>
      <c r="AU82" s="451">
        <v>995008</v>
      </c>
      <c r="AV82" s="451">
        <v>1732502</v>
      </c>
      <c r="AW82" s="451">
        <v>1697853</v>
      </c>
      <c r="AX82" s="451">
        <v>0</v>
      </c>
      <c r="AY82" s="451">
        <v>34650</v>
      </c>
      <c r="AZ82" s="451">
        <v>3465005</v>
      </c>
      <c r="BA82" s="451">
        <v>0</v>
      </c>
      <c r="BB82" s="451">
        <v>0</v>
      </c>
      <c r="BC82" s="451">
        <v>0</v>
      </c>
      <c r="BD82" s="451">
        <v>0</v>
      </c>
      <c r="BE82" s="451">
        <v>0</v>
      </c>
      <c r="BF82" s="451">
        <v>2043702</v>
      </c>
      <c r="BG82" s="451">
        <v>2002827</v>
      </c>
      <c r="BH82" s="451">
        <v>0</v>
      </c>
      <c r="BI82" s="451">
        <v>40874</v>
      </c>
      <c r="BJ82" s="451">
        <v>4087403</v>
      </c>
      <c r="BK82" s="451">
        <v>2043702</v>
      </c>
      <c r="BL82" s="451">
        <v>2002827</v>
      </c>
      <c r="BM82" s="451">
        <v>0</v>
      </c>
      <c r="BN82" s="451">
        <v>40874</v>
      </c>
      <c r="BO82" s="451">
        <v>4087403</v>
      </c>
      <c r="BP82" s="451">
        <v>0</v>
      </c>
      <c r="BQ82" s="451">
        <v>0</v>
      </c>
      <c r="BR82" s="451">
        <v>0</v>
      </c>
      <c r="BS82" s="451">
        <v>0</v>
      </c>
      <c r="BT82" s="451">
        <v>0</v>
      </c>
      <c r="BU82" s="451">
        <v>2582329</v>
      </c>
      <c r="BV82" s="451">
        <v>2530682</v>
      </c>
      <c r="BW82" s="451">
        <v>0</v>
      </c>
      <c r="BX82" s="451">
        <v>51647</v>
      </c>
      <c r="BY82" s="451">
        <v>5164658</v>
      </c>
      <c r="BZ82" s="451">
        <v>2582329</v>
      </c>
      <c r="CA82" s="451">
        <v>2530682</v>
      </c>
      <c r="CB82" s="451">
        <v>0</v>
      </c>
      <c r="CC82" s="451">
        <v>51647</v>
      </c>
      <c r="CD82" s="451">
        <v>5164658</v>
      </c>
      <c r="CE82" s="104"/>
      <c r="CF82" s="104"/>
      <c r="CG82" s="104"/>
    </row>
    <row r="83" spans="1:85" ht="12.75" x14ac:dyDescent="0.2">
      <c r="A83" s="446">
        <v>76</v>
      </c>
      <c r="B83" s="447" t="s">
        <v>30</v>
      </c>
      <c r="C83" s="448" t="s">
        <v>1093</v>
      </c>
      <c r="D83" s="449" t="s">
        <v>1096</v>
      </c>
      <c r="E83" s="450" t="s">
        <v>29</v>
      </c>
      <c r="F83" s="451">
        <v>8164521</v>
      </c>
      <c r="G83" s="451">
        <v>6531617</v>
      </c>
      <c r="H83" s="451">
        <v>1469614</v>
      </c>
      <c r="I83" s="451">
        <v>163290</v>
      </c>
      <c r="J83" s="451">
        <v>16329042</v>
      </c>
      <c r="K83" s="451">
        <v>0</v>
      </c>
      <c r="L83" s="451">
        <v>0</v>
      </c>
      <c r="M83" s="451">
        <v>8164521</v>
      </c>
      <c r="N83" s="451">
        <v>16329042</v>
      </c>
      <c r="O83" s="451">
        <v>146324</v>
      </c>
      <c r="P83" s="451">
        <v>146324</v>
      </c>
      <c r="Q83" s="451">
        <v>0</v>
      </c>
      <c r="R83" s="451">
        <v>0</v>
      </c>
      <c r="S83" s="451">
        <v>0</v>
      </c>
      <c r="T83" s="451">
        <v>0</v>
      </c>
      <c r="U83" s="451">
        <v>0</v>
      </c>
      <c r="V83" s="451">
        <v>0</v>
      </c>
      <c r="W83" s="451">
        <v>0</v>
      </c>
      <c r="X83" s="451">
        <v>0</v>
      </c>
      <c r="Y83" s="451">
        <v>0</v>
      </c>
      <c r="Z83" s="451">
        <v>0</v>
      </c>
      <c r="AA83" s="451">
        <v>0</v>
      </c>
      <c r="AB83" s="451">
        <v>484654</v>
      </c>
      <c r="AC83" s="451">
        <v>387723</v>
      </c>
      <c r="AD83" s="451">
        <v>87238</v>
      </c>
      <c r="AE83" s="451">
        <v>9693</v>
      </c>
      <c r="AF83" s="451">
        <v>969308</v>
      </c>
      <c r="AG83" s="451">
        <v>78185</v>
      </c>
      <c r="AH83" s="451">
        <v>62548</v>
      </c>
      <c r="AI83" s="451">
        <v>14073</v>
      </c>
      <c r="AJ83" s="451">
        <v>1564</v>
      </c>
      <c r="AK83" s="451">
        <v>156370</v>
      </c>
      <c r="AL83" s="451">
        <v>58500</v>
      </c>
      <c r="AM83" s="451">
        <v>46800</v>
      </c>
      <c r="AN83" s="451">
        <v>10530</v>
      </c>
      <c r="AO83" s="451">
        <v>1170</v>
      </c>
      <c r="AP83" s="451">
        <v>117000</v>
      </c>
      <c r="AQ83" s="451">
        <v>40500</v>
      </c>
      <c r="AR83" s="451">
        <v>32400</v>
      </c>
      <c r="AS83" s="451">
        <v>7290</v>
      </c>
      <c r="AT83" s="451">
        <v>810</v>
      </c>
      <c r="AU83" s="451">
        <v>81000</v>
      </c>
      <c r="AV83" s="451">
        <v>99000</v>
      </c>
      <c r="AW83" s="451">
        <v>79200</v>
      </c>
      <c r="AX83" s="451">
        <v>17820</v>
      </c>
      <c r="AY83" s="451">
        <v>1980</v>
      </c>
      <c r="AZ83" s="451">
        <v>198000</v>
      </c>
      <c r="BA83" s="451">
        <v>0</v>
      </c>
      <c r="BB83" s="451">
        <v>0</v>
      </c>
      <c r="BC83" s="451">
        <v>0</v>
      </c>
      <c r="BD83" s="451">
        <v>0</v>
      </c>
      <c r="BE83" s="451">
        <v>0</v>
      </c>
      <c r="BF83" s="451">
        <v>76389</v>
      </c>
      <c r="BG83" s="451">
        <v>61111</v>
      </c>
      <c r="BH83" s="451">
        <v>13750</v>
      </c>
      <c r="BI83" s="451">
        <v>1528</v>
      </c>
      <c r="BJ83" s="451">
        <v>152778</v>
      </c>
      <c r="BK83" s="451">
        <v>76389</v>
      </c>
      <c r="BL83" s="451">
        <v>61111</v>
      </c>
      <c r="BM83" s="451">
        <v>13750</v>
      </c>
      <c r="BN83" s="451">
        <v>1528</v>
      </c>
      <c r="BO83" s="451">
        <v>152778</v>
      </c>
      <c r="BP83" s="451">
        <v>0</v>
      </c>
      <c r="BQ83" s="451">
        <v>0</v>
      </c>
      <c r="BR83" s="451">
        <v>0</v>
      </c>
      <c r="BS83" s="451">
        <v>0</v>
      </c>
      <c r="BT83" s="451">
        <v>0</v>
      </c>
      <c r="BU83" s="451">
        <v>194777</v>
      </c>
      <c r="BV83" s="451">
        <v>155822</v>
      </c>
      <c r="BW83" s="451">
        <v>35060</v>
      </c>
      <c r="BX83" s="451">
        <v>3896</v>
      </c>
      <c r="BY83" s="451">
        <v>389555</v>
      </c>
      <c r="BZ83" s="451">
        <v>194777</v>
      </c>
      <c r="CA83" s="451">
        <v>155822</v>
      </c>
      <c r="CB83" s="451">
        <v>35060</v>
      </c>
      <c r="CC83" s="451">
        <v>3896</v>
      </c>
      <c r="CD83" s="451">
        <v>389555</v>
      </c>
      <c r="CE83" s="104"/>
      <c r="CF83" s="104"/>
      <c r="CG83" s="104"/>
    </row>
    <row r="84" spans="1:85" ht="12.75" x14ac:dyDescent="0.2">
      <c r="A84" s="446">
        <v>77</v>
      </c>
      <c r="B84" s="447" t="s">
        <v>32</v>
      </c>
      <c r="C84" s="448" t="s">
        <v>1100</v>
      </c>
      <c r="D84" s="449" t="s">
        <v>1101</v>
      </c>
      <c r="E84" s="450" t="s">
        <v>31</v>
      </c>
      <c r="F84" s="451">
        <v>41331660</v>
      </c>
      <c r="G84" s="451">
        <v>40505026</v>
      </c>
      <c r="H84" s="451">
        <v>0</v>
      </c>
      <c r="I84" s="451">
        <v>826633</v>
      </c>
      <c r="J84" s="451">
        <v>82663319</v>
      </c>
      <c r="K84" s="451">
        <v>0</v>
      </c>
      <c r="L84" s="451">
        <v>0</v>
      </c>
      <c r="M84" s="451">
        <v>41331660</v>
      </c>
      <c r="N84" s="451">
        <v>82663319</v>
      </c>
      <c r="O84" s="451">
        <v>367877</v>
      </c>
      <c r="P84" s="451">
        <v>367877</v>
      </c>
      <c r="Q84" s="451">
        <v>0</v>
      </c>
      <c r="R84" s="451">
        <v>0</v>
      </c>
      <c r="S84" s="451">
        <v>0</v>
      </c>
      <c r="T84" s="451">
        <v>0</v>
      </c>
      <c r="U84" s="451">
        <v>0</v>
      </c>
      <c r="V84" s="451">
        <v>0</v>
      </c>
      <c r="W84" s="451">
        <v>0</v>
      </c>
      <c r="X84" s="451">
        <v>0</v>
      </c>
      <c r="Y84" s="451">
        <v>0</v>
      </c>
      <c r="Z84" s="451">
        <v>0</v>
      </c>
      <c r="AA84" s="451">
        <v>0</v>
      </c>
      <c r="AB84" s="451">
        <v>4411372</v>
      </c>
      <c r="AC84" s="451">
        <v>4323145</v>
      </c>
      <c r="AD84" s="451">
        <v>0</v>
      </c>
      <c r="AE84" s="451">
        <v>88227</v>
      </c>
      <c r="AF84" s="451">
        <v>8822744</v>
      </c>
      <c r="AG84" s="451">
        <v>708396</v>
      </c>
      <c r="AH84" s="451">
        <v>694229</v>
      </c>
      <c r="AI84" s="451">
        <v>0</v>
      </c>
      <c r="AJ84" s="451">
        <v>14168</v>
      </c>
      <c r="AK84" s="451">
        <v>1416793</v>
      </c>
      <c r="AL84" s="451">
        <v>2327912</v>
      </c>
      <c r="AM84" s="451">
        <v>2281353</v>
      </c>
      <c r="AN84" s="451">
        <v>0</v>
      </c>
      <c r="AO84" s="451">
        <v>46558</v>
      </c>
      <c r="AP84" s="451">
        <v>4655823</v>
      </c>
      <c r="AQ84" s="451">
        <v>94236</v>
      </c>
      <c r="AR84" s="451">
        <v>92352</v>
      </c>
      <c r="AS84" s="451">
        <v>0</v>
      </c>
      <c r="AT84" s="451">
        <v>1885</v>
      </c>
      <c r="AU84" s="451">
        <v>188473</v>
      </c>
      <c r="AV84" s="451">
        <v>2422148</v>
      </c>
      <c r="AW84" s="451">
        <v>2373705</v>
      </c>
      <c r="AX84" s="451">
        <v>0</v>
      </c>
      <c r="AY84" s="451">
        <v>48443</v>
      </c>
      <c r="AZ84" s="451">
        <v>4844296</v>
      </c>
      <c r="BA84" s="451">
        <v>0</v>
      </c>
      <c r="BB84" s="451">
        <v>0</v>
      </c>
      <c r="BC84" s="451">
        <v>0</v>
      </c>
      <c r="BD84" s="451">
        <v>0</v>
      </c>
      <c r="BE84" s="451">
        <v>0</v>
      </c>
      <c r="BF84" s="451">
        <v>770479</v>
      </c>
      <c r="BG84" s="451">
        <v>755070</v>
      </c>
      <c r="BH84" s="451">
        <v>0</v>
      </c>
      <c r="BI84" s="451">
        <v>15410</v>
      </c>
      <c r="BJ84" s="451">
        <v>1540959</v>
      </c>
      <c r="BK84" s="451">
        <v>770479</v>
      </c>
      <c r="BL84" s="451">
        <v>755070</v>
      </c>
      <c r="BM84" s="451">
        <v>0</v>
      </c>
      <c r="BN84" s="451">
        <v>15410</v>
      </c>
      <c r="BO84" s="451">
        <v>1540959</v>
      </c>
      <c r="BP84" s="451">
        <v>0</v>
      </c>
      <c r="BQ84" s="451">
        <v>0</v>
      </c>
      <c r="BR84" s="451">
        <v>0</v>
      </c>
      <c r="BS84" s="451">
        <v>0</v>
      </c>
      <c r="BT84" s="451">
        <v>0</v>
      </c>
      <c r="BU84" s="451">
        <v>2350135</v>
      </c>
      <c r="BV84" s="451">
        <v>2303133</v>
      </c>
      <c r="BW84" s="451">
        <v>0</v>
      </c>
      <c r="BX84" s="451">
        <v>47003</v>
      </c>
      <c r="BY84" s="451">
        <v>4700271</v>
      </c>
      <c r="BZ84" s="451">
        <v>2350135</v>
      </c>
      <c r="CA84" s="451">
        <v>2303133</v>
      </c>
      <c r="CB84" s="451">
        <v>0</v>
      </c>
      <c r="CC84" s="451">
        <v>47003</v>
      </c>
      <c r="CD84" s="451">
        <v>4700271</v>
      </c>
      <c r="CE84" s="104"/>
      <c r="CF84" s="104"/>
      <c r="CG84" s="104"/>
    </row>
    <row r="85" spans="1:85" ht="12.75" x14ac:dyDescent="0.2">
      <c r="A85" s="446">
        <v>78</v>
      </c>
      <c r="B85" s="447" t="s">
        <v>39</v>
      </c>
      <c r="C85" s="448" t="s">
        <v>1093</v>
      </c>
      <c r="D85" s="449" t="s">
        <v>1094</v>
      </c>
      <c r="E85" s="450" t="s">
        <v>38</v>
      </c>
      <c r="F85" s="451">
        <v>14787614</v>
      </c>
      <c r="G85" s="451">
        <v>11830091</v>
      </c>
      <c r="H85" s="451">
        <v>2661771</v>
      </c>
      <c r="I85" s="451">
        <v>295752</v>
      </c>
      <c r="J85" s="451">
        <v>29575228</v>
      </c>
      <c r="K85" s="451">
        <v>870740</v>
      </c>
      <c r="L85" s="451">
        <v>870740</v>
      </c>
      <c r="M85" s="451">
        <v>13916874</v>
      </c>
      <c r="N85" s="451">
        <v>28704488</v>
      </c>
      <c r="O85" s="451">
        <v>151686</v>
      </c>
      <c r="P85" s="451">
        <v>151686</v>
      </c>
      <c r="Q85" s="451">
        <v>0</v>
      </c>
      <c r="R85" s="451">
        <v>0</v>
      </c>
      <c r="S85" s="451">
        <v>0</v>
      </c>
      <c r="T85" s="451">
        <v>0</v>
      </c>
      <c r="U85" s="451">
        <v>0</v>
      </c>
      <c r="V85" s="451">
        <v>0</v>
      </c>
      <c r="W85" s="451">
        <v>0</v>
      </c>
      <c r="X85" s="451">
        <v>696592</v>
      </c>
      <c r="Y85" s="451">
        <v>156733</v>
      </c>
      <c r="Z85" s="451">
        <v>17415</v>
      </c>
      <c r="AA85" s="451">
        <v>870740</v>
      </c>
      <c r="AB85" s="451">
        <v>1296483</v>
      </c>
      <c r="AC85" s="451">
        <v>1037186</v>
      </c>
      <c r="AD85" s="451">
        <v>233367</v>
      </c>
      <c r="AE85" s="451">
        <v>25930</v>
      </c>
      <c r="AF85" s="451">
        <v>2592966</v>
      </c>
      <c r="AG85" s="451">
        <v>408060</v>
      </c>
      <c r="AH85" s="451">
        <v>326448</v>
      </c>
      <c r="AI85" s="451">
        <v>73451</v>
      </c>
      <c r="AJ85" s="451">
        <v>8161</v>
      </c>
      <c r="AK85" s="451">
        <v>816120</v>
      </c>
      <c r="AL85" s="451">
        <v>924335</v>
      </c>
      <c r="AM85" s="451">
        <v>739468</v>
      </c>
      <c r="AN85" s="451">
        <v>166380</v>
      </c>
      <c r="AO85" s="451">
        <v>18487</v>
      </c>
      <c r="AP85" s="451">
        <v>1848670</v>
      </c>
      <c r="AQ85" s="451">
        <v>-2852</v>
      </c>
      <c r="AR85" s="451">
        <v>-2281</v>
      </c>
      <c r="AS85" s="451">
        <v>-513</v>
      </c>
      <c r="AT85" s="451">
        <v>-57</v>
      </c>
      <c r="AU85" s="451">
        <v>-5703</v>
      </c>
      <c r="AV85" s="451">
        <v>921483</v>
      </c>
      <c r="AW85" s="451">
        <v>737187</v>
      </c>
      <c r="AX85" s="451">
        <v>165867</v>
      </c>
      <c r="AY85" s="451">
        <v>18430</v>
      </c>
      <c r="AZ85" s="451">
        <v>1842967</v>
      </c>
      <c r="BA85" s="451">
        <v>0</v>
      </c>
      <c r="BB85" s="451">
        <v>0</v>
      </c>
      <c r="BC85" s="451">
        <v>0</v>
      </c>
      <c r="BD85" s="451">
        <v>0</v>
      </c>
      <c r="BE85" s="451">
        <v>0</v>
      </c>
      <c r="BF85" s="451">
        <v>366500</v>
      </c>
      <c r="BG85" s="451">
        <v>293200</v>
      </c>
      <c r="BH85" s="451">
        <v>65970</v>
      </c>
      <c r="BI85" s="451">
        <v>7330</v>
      </c>
      <c r="BJ85" s="451">
        <v>733000</v>
      </c>
      <c r="BK85" s="451">
        <v>366500</v>
      </c>
      <c r="BL85" s="451">
        <v>293200</v>
      </c>
      <c r="BM85" s="451">
        <v>65970</v>
      </c>
      <c r="BN85" s="451">
        <v>7330</v>
      </c>
      <c r="BO85" s="451">
        <v>733000</v>
      </c>
      <c r="BP85" s="451">
        <v>0</v>
      </c>
      <c r="BQ85" s="451">
        <v>0</v>
      </c>
      <c r="BR85" s="451">
        <v>0</v>
      </c>
      <c r="BS85" s="451">
        <v>0</v>
      </c>
      <c r="BT85" s="451">
        <v>0</v>
      </c>
      <c r="BU85" s="451">
        <v>1102500</v>
      </c>
      <c r="BV85" s="451">
        <v>882000</v>
      </c>
      <c r="BW85" s="451">
        <v>198450</v>
      </c>
      <c r="BX85" s="451">
        <v>22050</v>
      </c>
      <c r="BY85" s="451">
        <v>2205000</v>
      </c>
      <c r="BZ85" s="451">
        <v>1102500</v>
      </c>
      <c r="CA85" s="451">
        <v>882000</v>
      </c>
      <c r="CB85" s="451">
        <v>198450</v>
      </c>
      <c r="CC85" s="451">
        <v>22050</v>
      </c>
      <c r="CD85" s="451">
        <v>2205000</v>
      </c>
      <c r="CE85" s="104"/>
      <c r="CF85" s="104"/>
      <c r="CG85" s="104"/>
    </row>
    <row r="86" spans="1:85" ht="12.75" x14ac:dyDescent="0.2">
      <c r="A86" s="446">
        <v>79</v>
      </c>
      <c r="B86" s="447" t="s">
        <v>41</v>
      </c>
      <c r="C86" s="448" t="s">
        <v>1100</v>
      </c>
      <c r="D86" s="449" t="s">
        <v>1103</v>
      </c>
      <c r="E86" s="450" t="s">
        <v>40</v>
      </c>
      <c r="F86" s="451">
        <v>41824628</v>
      </c>
      <c r="G86" s="451">
        <v>40988135</v>
      </c>
      <c r="H86" s="451">
        <v>0</v>
      </c>
      <c r="I86" s="451">
        <v>836493</v>
      </c>
      <c r="J86" s="451">
        <v>83649256</v>
      </c>
      <c r="K86" s="451">
        <v>0</v>
      </c>
      <c r="L86" s="451">
        <v>0</v>
      </c>
      <c r="M86" s="451">
        <v>41824628</v>
      </c>
      <c r="N86" s="451">
        <v>83649256</v>
      </c>
      <c r="O86" s="451">
        <v>439101</v>
      </c>
      <c r="P86" s="451">
        <v>439101</v>
      </c>
      <c r="Q86" s="451">
        <v>0</v>
      </c>
      <c r="R86" s="451">
        <v>0</v>
      </c>
      <c r="S86" s="451">
        <v>0</v>
      </c>
      <c r="T86" s="451">
        <v>0</v>
      </c>
      <c r="U86" s="451">
        <v>0</v>
      </c>
      <c r="V86" s="451">
        <v>0</v>
      </c>
      <c r="W86" s="451">
        <v>0</v>
      </c>
      <c r="X86" s="451">
        <v>0</v>
      </c>
      <c r="Y86" s="451">
        <v>0</v>
      </c>
      <c r="Z86" s="451">
        <v>0</v>
      </c>
      <c r="AA86" s="451">
        <v>0</v>
      </c>
      <c r="AB86" s="451">
        <v>2835667</v>
      </c>
      <c r="AC86" s="451">
        <v>2778953</v>
      </c>
      <c r="AD86" s="451">
        <v>0</v>
      </c>
      <c r="AE86" s="451">
        <v>56713</v>
      </c>
      <c r="AF86" s="451">
        <v>5671333</v>
      </c>
      <c r="AG86" s="451">
        <v>780574</v>
      </c>
      <c r="AH86" s="451">
        <v>764962</v>
      </c>
      <c r="AI86" s="451">
        <v>0</v>
      </c>
      <c r="AJ86" s="451">
        <v>15611</v>
      </c>
      <c r="AK86" s="451">
        <v>1561147</v>
      </c>
      <c r="AL86" s="451">
        <v>1167500</v>
      </c>
      <c r="AM86" s="451">
        <v>1144150</v>
      </c>
      <c r="AN86" s="451">
        <v>0</v>
      </c>
      <c r="AO86" s="451">
        <v>23350</v>
      </c>
      <c r="AP86" s="451">
        <v>2335000</v>
      </c>
      <c r="AQ86" s="451">
        <v>302500</v>
      </c>
      <c r="AR86" s="451">
        <v>296450</v>
      </c>
      <c r="AS86" s="451">
        <v>0</v>
      </c>
      <c r="AT86" s="451">
        <v>6050</v>
      </c>
      <c r="AU86" s="451">
        <v>605000</v>
      </c>
      <c r="AV86" s="451">
        <v>1470000</v>
      </c>
      <c r="AW86" s="451">
        <v>1440600</v>
      </c>
      <c r="AX86" s="451">
        <v>0</v>
      </c>
      <c r="AY86" s="451">
        <v>29400</v>
      </c>
      <c r="AZ86" s="451">
        <v>2940000</v>
      </c>
      <c r="BA86" s="451">
        <v>0</v>
      </c>
      <c r="BB86" s="451">
        <v>0</v>
      </c>
      <c r="BC86" s="451">
        <v>0</v>
      </c>
      <c r="BD86" s="451">
        <v>0</v>
      </c>
      <c r="BE86" s="451">
        <v>0</v>
      </c>
      <c r="BF86" s="451">
        <v>850000</v>
      </c>
      <c r="BG86" s="451">
        <v>833000</v>
      </c>
      <c r="BH86" s="451">
        <v>0</v>
      </c>
      <c r="BI86" s="451">
        <v>17000</v>
      </c>
      <c r="BJ86" s="451">
        <v>1700000</v>
      </c>
      <c r="BK86" s="451">
        <v>850000</v>
      </c>
      <c r="BL86" s="451">
        <v>833000</v>
      </c>
      <c r="BM86" s="451">
        <v>0</v>
      </c>
      <c r="BN86" s="451">
        <v>17000</v>
      </c>
      <c r="BO86" s="451">
        <v>1700000</v>
      </c>
      <c r="BP86" s="451">
        <v>0</v>
      </c>
      <c r="BQ86" s="451">
        <v>0</v>
      </c>
      <c r="BR86" s="451">
        <v>0</v>
      </c>
      <c r="BS86" s="451">
        <v>0</v>
      </c>
      <c r="BT86" s="451">
        <v>0</v>
      </c>
      <c r="BU86" s="451">
        <v>2500000</v>
      </c>
      <c r="BV86" s="451">
        <v>2450000</v>
      </c>
      <c r="BW86" s="451">
        <v>0</v>
      </c>
      <c r="BX86" s="451">
        <v>50000</v>
      </c>
      <c r="BY86" s="451">
        <v>5000000</v>
      </c>
      <c r="BZ86" s="451">
        <v>2500000</v>
      </c>
      <c r="CA86" s="451">
        <v>2450000</v>
      </c>
      <c r="CB86" s="451">
        <v>0</v>
      </c>
      <c r="CC86" s="451">
        <v>50000</v>
      </c>
      <c r="CD86" s="451">
        <v>5000000</v>
      </c>
      <c r="CE86" s="104"/>
      <c r="CF86" s="104"/>
      <c r="CG86" s="104"/>
    </row>
    <row r="87" spans="1:85" ht="12.75" x14ac:dyDescent="0.2">
      <c r="A87" s="446">
        <v>80</v>
      </c>
      <c r="B87" s="447" t="s">
        <v>43</v>
      </c>
      <c r="C87" s="448" t="s">
        <v>794</v>
      </c>
      <c r="D87" s="449" t="s">
        <v>1105</v>
      </c>
      <c r="E87" s="450" t="s">
        <v>42</v>
      </c>
      <c r="F87" s="451">
        <v>52396377</v>
      </c>
      <c r="G87" s="451">
        <v>51348450</v>
      </c>
      <c r="H87" s="451">
        <v>0</v>
      </c>
      <c r="I87" s="451">
        <v>1047928</v>
      </c>
      <c r="J87" s="451">
        <v>104792755</v>
      </c>
      <c r="K87" s="451">
        <v>0</v>
      </c>
      <c r="L87" s="451">
        <v>0</v>
      </c>
      <c r="M87" s="451">
        <v>52396377</v>
      </c>
      <c r="N87" s="451">
        <v>104792755</v>
      </c>
      <c r="O87" s="451">
        <v>603811</v>
      </c>
      <c r="P87" s="451">
        <v>603811</v>
      </c>
      <c r="Q87" s="451">
        <v>0</v>
      </c>
      <c r="R87" s="451">
        <v>0</v>
      </c>
      <c r="S87" s="451">
        <v>0</v>
      </c>
      <c r="T87" s="451">
        <v>0</v>
      </c>
      <c r="U87" s="451">
        <v>7579</v>
      </c>
      <c r="V87" s="451">
        <v>0</v>
      </c>
      <c r="W87" s="451">
        <v>7579</v>
      </c>
      <c r="X87" s="451">
        <v>0</v>
      </c>
      <c r="Y87" s="451">
        <v>0</v>
      </c>
      <c r="Z87" s="451">
        <v>0</v>
      </c>
      <c r="AA87" s="451">
        <v>0</v>
      </c>
      <c r="AB87" s="451">
        <v>3996330</v>
      </c>
      <c r="AC87" s="451">
        <v>3916404</v>
      </c>
      <c r="AD87" s="451">
        <v>0</v>
      </c>
      <c r="AE87" s="451">
        <v>79927</v>
      </c>
      <c r="AF87" s="451">
        <v>7992661</v>
      </c>
      <c r="AG87" s="451">
        <v>505673</v>
      </c>
      <c r="AH87" s="451">
        <v>495559</v>
      </c>
      <c r="AI87" s="451">
        <v>0</v>
      </c>
      <c r="AJ87" s="451">
        <v>10113</v>
      </c>
      <c r="AK87" s="451">
        <v>1011345</v>
      </c>
      <c r="AL87" s="451">
        <v>2101372</v>
      </c>
      <c r="AM87" s="451">
        <v>2059345</v>
      </c>
      <c r="AN87" s="451">
        <v>0</v>
      </c>
      <c r="AO87" s="451">
        <v>42027</v>
      </c>
      <c r="AP87" s="451">
        <v>4202744</v>
      </c>
      <c r="AQ87" s="451">
        <v>174374</v>
      </c>
      <c r="AR87" s="451">
        <v>170886</v>
      </c>
      <c r="AS87" s="451">
        <v>0</v>
      </c>
      <c r="AT87" s="451">
        <v>3487</v>
      </c>
      <c r="AU87" s="451">
        <v>348747</v>
      </c>
      <c r="AV87" s="451">
        <v>2275746</v>
      </c>
      <c r="AW87" s="451">
        <v>2230231</v>
      </c>
      <c r="AX87" s="451">
        <v>0</v>
      </c>
      <c r="AY87" s="451">
        <v>45514</v>
      </c>
      <c r="AZ87" s="451">
        <v>4551491</v>
      </c>
      <c r="BA87" s="451">
        <v>0</v>
      </c>
      <c r="BB87" s="451">
        <v>0</v>
      </c>
      <c r="BC87" s="451">
        <v>0</v>
      </c>
      <c r="BD87" s="451">
        <v>0</v>
      </c>
      <c r="BE87" s="451">
        <v>0</v>
      </c>
      <c r="BF87" s="451">
        <v>812122</v>
      </c>
      <c r="BG87" s="451">
        <v>795879</v>
      </c>
      <c r="BH87" s="451">
        <v>0</v>
      </c>
      <c r="BI87" s="451">
        <v>16242</v>
      </c>
      <c r="BJ87" s="451">
        <v>1624243</v>
      </c>
      <c r="BK87" s="451">
        <v>812122</v>
      </c>
      <c r="BL87" s="451">
        <v>795879</v>
      </c>
      <c r="BM87" s="451">
        <v>0</v>
      </c>
      <c r="BN87" s="451">
        <v>16242</v>
      </c>
      <c r="BO87" s="451">
        <v>1624243</v>
      </c>
      <c r="BP87" s="451">
        <v>0</v>
      </c>
      <c r="BQ87" s="451">
        <v>0</v>
      </c>
      <c r="BR87" s="451">
        <v>0</v>
      </c>
      <c r="BS87" s="451">
        <v>0</v>
      </c>
      <c r="BT87" s="451">
        <v>0</v>
      </c>
      <c r="BU87" s="451">
        <v>1783709</v>
      </c>
      <c r="BV87" s="451">
        <v>1748035</v>
      </c>
      <c r="BW87" s="451">
        <v>0</v>
      </c>
      <c r="BX87" s="451">
        <v>35674</v>
      </c>
      <c r="BY87" s="451">
        <v>3567418</v>
      </c>
      <c r="BZ87" s="451">
        <v>1783709</v>
      </c>
      <c r="CA87" s="451">
        <v>1748035</v>
      </c>
      <c r="CB87" s="451">
        <v>0</v>
      </c>
      <c r="CC87" s="451">
        <v>35674</v>
      </c>
      <c r="CD87" s="451">
        <v>3567418</v>
      </c>
      <c r="CE87" s="104"/>
      <c r="CF87" s="104"/>
      <c r="CG87" s="104"/>
    </row>
    <row r="88" spans="1:85" ht="12.75" x14ac:dyDescent="0.2">
      <c r="A88" s="446">
        <v>81</v>
      </c>
      <c r="B88" s="447" t="s">
        <v>45</v>
      </c>
      <c r="C88" s="448" t="s">
        <v>1098</v>
      </c>
      <c r="D88" s="449" t="s">
        <v>1099</v>
      </c>
      <c r="E88" s="450" t="s">
        <v>44</v>
      </c>
      <c r="F88" s="451">
        <v>59646777</v>
      </c>
      <c r="G88" s="451">
        <v>35788066</v>
      </c>
      <c r="H88" s="451">
        <v>23858711</v>
      </c>
      <c r="I88" s="451">
        <v>0</v>
      </c>
      <c r="J88" s="451">
        <v>119293554</v>
      </c>
      <c r="K88" s="451">
        <v>0</v>
      </c>
      <c r="L88" s="451">
        <v>0</v>
      </c>
      <c r="M88" s="451">
        <v>59646777</v>
      </c>
      <c r="N88" s="451">
        <v>119293554</v>
      </c>
      <c r="O88" s="451">
        <v>556870</v>
      </c>
      <c r="P88" s="451">
        <v>556870</v>
      </c>
      <c r="Q88" s="451">
        <v>0</v>
      </c>
      <c r="R88" s="451">
        <v>0</v>
      </c>
      <c r="S88" s="451">
        <v>0</v>
      </c>
      <c r="T88" s="451">
        <v>0</v>
      </c>
      <c r="U88" s="451">
        <v>0</v>
      </c>
      <c r="V88" s="451">
        <v>0</v>
      </c>
      <c r="W88" s="451">
        <v>0</v>
      </c>
      <c r="X88" s="451">
        <v>0</v>
      </c>
      <c r="Y88" s="451">
        <v>0</v>
      </c>
      <c r="Z88" s="451">
        <v>0</v>
      </c>
      <c r="AA88" s="451">
        <v>0</v>
      </c>
      <c r="AB88" s="451">
        <v>11909958</v>
      </c>
      <c r="AC88" s="451">
        <v>7145975</v>
      </c>
      <c r="AD88" s="451">
        <v>4763983</v>
      </c>
      <c r="AE88" s="451">
        <v>0</v>
      </c>
      <c r="AF88" s="451">
        <v>23819916</v>
      </c>
      <c r="AG88" s="451">
        <v>3775212</v>
      </c>
      <c r="AH88" s="451">
        <v>2265128</v>
      </c>
      <c r="AI88" s="451">
        <v>1510085</v>
      </c>
      <c r="AJ88" s="451">
        <v>0</v>
      </c>
      <c r="AK88" s="451">
        <v>7550425</v>
      </c>
      <c r="AL88" s="451">
        <v>0</v>
      </c>
      <c r="AM88" s="451">
        <v>0</v>
      </c>
      <c r="AN88" s="451">
        <v>0</v>
      </c>
      <c r="AO88" s="451">
        <v>0</v>
      </c>
      <c r="AP88" s="451">
        <v>0</v>
      </c>
      <c r="AQ88" s="451">
        <v>2161102</v>
      </c>
      <c r="AR88" s="451">
        <v>1296661</v>
      </c>
      <c r="AS88" s="451">
        <v>864441</v>
      </c>
      <c r="AT88" s="451">
        <v>0</v>
      </c>
      <c r="AU88" s="451">
        <v>4322204</v>
      </c>
      <c r="AV88" s="451">
        <v>2161102</v>
      </c>
      <c r="AW88" s="451">
        <v>1296661</v>
      </c>
      <c r="AX88" s="451">
        <v>864441</v>
      </c>
      <c r="AY88" s="451">
        <v>0</v>
      </c>
      <c r="AZ88" s="451">
        <v>4322204</v>
      </c>
      <c r="BA88" s="451">
        <v>0</v>
      </c>
      <c r="BB88" s="451">
        <v>0</v>
      </c>
      <c r="BC88" s="451">
        <v>0</v>
      </c>
      <c r="BD88" s="451">
        <v>0</v>
      </c>
      <c r="BE88" s="451">
        <v>0</v>
      </c>
      <c r="BF88" s="451">
        <v>1418285</v>
      </c>
      <c r="BG88" s="451">
        <v>850971</v>
      </c>
      <c r="BH88" s="451">
        <v>567314</v>
      </c>
      <c r="BI88" s="451">
        <v>0</v>
      </c>
      <c r="BJ88" s="451">
        <v>2836570</v>
      </c>
      <c r="BK88" s="451">
        <v>1418285</v>
      </c>
      <c r="BL88" s="451">
        <v>850971</v>
      </c>
      <c r="BM88" s="451">
        <v>567314</v>
      </c>
      <c r="BN88" s="451">
        <v>0</v>
      </c>
      <c r="BO88" s="451">
        <v>2836570</v>
      </c>
      <c r="BP88" s="451">
        <v>0</v>
      </c>
      <c r="BQ88" s="451">
        <v>0</v>
      </c>
      <c r="BR88" s="451">
        <v>0</v>
      </c>
      <c r="BS88" s="451">
        <v>0</v>
      </c>
      <c r="BT88" s="451">
        <v>0</v>
      </c>
      <c r="BU88" s="451">
        <v>8866514</v>
      </c>
      <c r="BV88" s="451">
        <v>5319908</v>
      </c>
      <c r="BW88" s="451">
        <v>3546606</v>
      </c>
      <c r="BX88" s="451">
        <v>0</v>
      </c>
      <c r="BY88" s="451">
        <v>17733028</v>
      </c>
      <c r="BZ88" s="451">
        <v>8866514</v>
      </c>
      <c r="CA88" s="451">
        <v>5319908</v>
      </c>
      <c r="CB88" s="451">
        <v>3546606</v>
      </c>
      <c r="CC88" s="451">
        <v>0</v>
      </c>
      <c r="CD88" s="451">
        <v>17733028</v>
      </c>
      <c r="CE88" s="104"/>
      <c r="CF88" s="104"/>
      <c r="CG88" s="104"/>
    </row>
    <row r="89" spans="1:85" ht="12.75" x14ac:dyDescent="0.2">
      <c r="A89" s="446">
        <v>82</v>
      </c>
      <c r="B89" s="447" t="s">
        <v>47</v>
      </c>
      <c r="C89" s="448" t="s">
        <v>1093</v>
      </c>
      <c r="D89" s="449" t="s">
        <v>1097</v>
      </c>
      <c r="E89" s="450" t="s">
        <v>46</v>
      </c>
      <c r="F89" s="451">
        <v>7990869</v>
      </c>
      <c r="G89" s="451">
        <v>6392694</v>
      </c>
      <c r="H89" s="451">
        <v>1438356</v>
      </c>
      <c r="I89" s="451">
        <v>159817</v>
      </c>
      <c r="J89" s="451">
        <v>15981736</v>
      </c>
      <c r="K89" s="451">
        <v>0</v>
      </c>
      <c r="L89" s="451">
        <v>0</v>
      </c>
      <c r="M89" s="451">
        <v>7990869</v>
      </c>
      <c r="N89" s="451">
        <v>15981736</v>
      </c>
      <c r="O89" s="451">
        <v>92008</v>
      </c>
      <c r="P89" s="451">
        <v>92008</v>
      </c>
      <c r="Q89" s="451">
        <v>0</v>
      </c>
      <c r="R89" s="451">
        <v>0</v>
      </c>
      <c r="S89" s="451">
        <v>0</v>
      </c>
      <c r="T89" s="451">
        <v>0</v>
      </c>
      <c r="U89" s="451">
        <v>0</v>
      </c>
      <c r="V89" s="451">
        <v>0</v>
      </c>
      <c r="W89" s="451">
        <v>0</v>
      </c>
      <c r="X89" s="451">
        <v>0</v>
      </c>
      <c r="Y89" s="451">
        <v>0</v>
      </c>
      <c r="Z89" s="451">
        <v>0</v>
      </c>
      <c r="AA89" s="451">
        <v>0</v>
      </c>
      <c r="AB89" s="451">
        <v>144843.92000000001</v>
      </c>
      <c r="AC89" s="451">
        <v>115875</v>
      </c>
      <c r="AD89" s="451">
        <v>26072</v>
      </c>
      <c r="AE89" s="451">
        <v>2897</v>
      </c>
      <c r="AF89" s="451">
        <v>289687.92</v>
      </c>
      <c r="AG89" s="451">
        <v>45264.85</v>
      </c>
      <c r="AH89" s="451">
        <v>36212</v>
      </c>
      <c r="AI89" s="451">
        <v>8148</v>
      </c>
      <c r="AJ89" s="451">
        <v>905</v>
      </c>
      <c r="AK89" s="451">
        <v>90529.85</v>
      </c>
      <c r="AL89" s="451">
        <v>74574.899999999994</v>
      </c>
      <c r="AM89" s="451">
        <v>59660</v>
      </c>
      <c r="AN89" s="451">
        <v>13424</v>
      </c>
      <c r="AO89" s="451">
        <v>1492</v>
      </c>
      <c r="AP89" s="451">
        <v>149150.9</v>
      </c>
      <c r="AQ89" s="451">
        <v>682.57</v>
      </c>
      <c r="AR89" s="451">
        <v>547</v>
      </c>
      <c r="AS89" s="451">
        <v>123</v>
      </c>
      <c r="AT89" s="451">
        <v>14</v>
      </c>
      <c r="AU89" s="451">
        <v>1366.57</v>
      </c>
      <c r="AV89" s="451">
        <v>75257.47</v>
      </c>
      <c r="AW89" s="451">
        <v>60207</v>
      </c>
      <c r="AX89" s="451">
        <v>13547</v>
      </c>
      <c r="AY89" s="451">
        <v>1506</v>
      </c>
      <c r="AZ89" s="451">
        <v>150517.47</v>
      </c>
      <c r="BA89" s="451">
        <v>0</v>
      </c>
      <c r="BB89" s="451">
        <v>0</v>
      </c>
      <c r="BC89" s="451">
        <v>0</v>
      </c>
      <c r="BD89" s="451">
        <v>0</v>
      </c>
      <c r="BE89" s="451">
        <v>0</v>
      </c>
      <c r="BF89" s="451">
        <v>124186</v>
      </c>
      <c r="BG89" s="451">
        <v>99348</v>
      </c>
      <c r="BH89" s="451">
        <v>22353</v>
      </c>
      <c r="BI89" s="451">
        <v>2484</v>
      </c>
      <c r="BJ89" s="451">
        <v>248371</v>
      </c>
      <c r="BK89" s="451">
        <v>124186</v>
      </c>
      <c r="BL89" s="451">
        <v>99348</v>
      </c>
      <c r="BM89" s="451">
        <v>22353</v>
      </c>
      <c r="BN89" s="451">
        <v>2484</v>
      </c>
      <c r="BO89" s="451">
        <v>248371</v>
      </c>
      <c r="BP89" s="451">
        <v>0</v>
      </c>
      <c r="BQ89" s="451">
        <v>0</v>
      </c>
      <c r="BR89" s="451">
        <v>0</v>
      </c>
      <c r="BS89" s="451">
        <v>0</v>
      </c>
      <c r="BT89" s="451">
        <v>0</v>
      </c>
      <c r="BU89" s="451">
        <v>351234</v>
      </c>
      <c r="BV89" s="451">
        <v>280987</v>
      </c>
      <c r="BW89" s="451">
        <v>63222</v>
      </c>
      <c r="BX89" s="451">
        <v>7025</v>
      </c>
      <c r="BY89" s="451">
        <v>702468</v>
      </c>
      <c r="BZ89" s="451">
        <v>351234</v>
      </c>
      <c r="CA89" s="451">
        <v>280987</v>
      </c>
      <c r="CB89" s="451">
        <v>63222</v>
      </c>
      <c r="CC89" s="451">
        <v>7025</v>
      </c>
      <c r="CD89" s="451">
        <v>702468</v>
      </c>
      <c r="CE89" s="104"/>
      <c r="CF89" s="104"/>
      <c r="CG89" s="104"/>
    </row>
    <row r="90" spans="1:85" ht="12.75" x14ac:dyDescent="0.2">
      <c r="A90" s="446">
        <v>83</v>
      </c>
      <c r="B90" s="447" t="s">
        <v>49</v>
      </c>
      <c r="C90" s="448" t="s">
        <v>1093</v>
      </c>
      <c r="D90" s="449" t="s">
        <v>1102</v>
      </c>
      <c r="E90" s="450" t="s">
        <v>48</v>
      </c>
      <c r="F90" s="451">
        <v>14895152</v>
      </c>
      <c r="G90" s="451">
        <v>11916122</v>
      </c>
      <c r="H90" s="451">
        <v>2681127</v>
      </c>
      <c r="I90" s="451">
        <v>297903</v>
      </c>
      <c r="J90" s="451">
        <v>29790304</v>
      </c>
      <c r="K90" s="451">
        <v>0</v>
      </c>
      <c r="L90" s="451">
        <v>0</v>
      </c>
      <c r="M90" s="451">
        <v>14895152</v>
      </c>
      <c r="N90" s="451">
        <v>29790304</v>
      </c>
      <c r="O90" s="451">
        <v>227639</v>
      </c>
      <c r="P90" s="451">
        <v>227639</v>
      </c>
      <c r="Q90" s="451">
        <v>0</v>
      </c>
      <c r="R90" s="451">
        <v>0</v>
      </c>
      <c r="S90" s="451">
        <v>0</v>
      </c>
      <c r="T90" s="451">
        <v>0</v>
      </c>
      <c r="U90" s="451">
        <v>0</v>
      </c>
      <c r="V90" s="451">
        <v>0</v>
      </c>
      <c r="W90" s="451">
        <v>0</v>
      </c>
      <c r="X90" s="451">
        <v>0</v>
      </c>
      <c r="Y90" s="451">
        <v>0</v>
      </c>
      <c r="Z90" s="451">
        <v>0</v>
      </c>
      <c r="AA90" s="451">
        <v>0</v>
      </c>
      <c r="AB90" s="451">
        <v>379737.85</v>
      </c>
      <c r="AC90" s="451">
        <v>303790</v>
      </c>
      <c r="AD90" s="451">
        <v>68353</v>
      </c>
      <c r="AE90" s="451">
        <v>7595</v>
      </c>
      <c r="AF90" s="451">
        <v>759475.85</v>
      </c>
      <c r="AG90" s="451">
        <v>338092.61</v>
      </c>
      <c r="AH90" s="451">
        <v>270474</v>
      </c>
      <c r="AI90" s="451">
        <v>60857</v>
      </c>
      <c r="AJ90" s="451">
        <v>6762</v>
      </c>
      <c r="AK90" s="451">
        <v>676185.61</v>
      </c>
      <c r="AL90" s="451">
        <v>63000</v>
      </c>
      <c r="AM90" s="451">
        <v>50400</v>
      </c>
      <c r="AN90" s="451">
        <v>11340</v>
      </c>
      <c r="AO90" s="451">
        <v>1260</v>
      </c>
      <c r="AP90" s="451">
        <v>126000</v>
      </c>
      <c r="AQ90" s="451">
        <v>0</v>
      </c>
      <c r="AR90" s="451">
        <v>0</v>
      </c>
      <c r="AS90" s="451">
        <v>0</v>
      </c>
      <c r="AT90" s="451">
        <v>0</v>
      </c>
      <c r="AU90" s="451">
        <v>0</v>
      </c>
      <c r="AV90" s="451">
        <v>63000</v>
      </c>
      <c r="AW90" s="451">
        <v>50400</v>
      </c>
      <c r="AX90" s="451">
        <v>11340</v>
      </c>
      <c r="AY90" s="451">
        <v>1260</v>
      </c>
      <c r="AZ90" s="451">
        <v>126000</v>
      </c>
      <c r="BA90" s="451">
        <v>0</v>
      </c>
      <c r="BB90" s="451">
        <v>0</v>
      </c>
      <c r="BC90" s="451">
        <v>0</v>
      </c>
      <c r="BD90" s="451">
        <v>0</v>
      </c>
      <c r="BE90" s="451">
        <v>0</v>
      </c>
      <c r="BF90" s="451">
        <v>196419</v>
      </c>
      <c r="BG90" s="451">
        <v>157134</v>
      </c>
      <c r="BH90" s="451">
        <v>35355</v>
      </c>
      <c r="BI90" s="451">
        <v>3928</v>
      </c>
      <c r="BJ90" s="451">
        <v>392836</v>
      </c>
      <c r="BK90" s="451">
        <v>196419</v>
      </c>
      <c r="BL90" s="451">
        <v>157134</v>
      </c>
      <c r="BM90" s="451">
        <v>35355</v>
      </c>
      <c r="BN90" s="451">
        <v>3928</v>
      </c>
      <c r="BO90" s="451">
        <v>392836</v>
      </c>
      <c r="BP90" s="451">
        <v>0</v>
      </c>
      <c r="BQ90" s="451">
        <v>0</v>
      </c>
      <c r="BR90" s="451">
        <v>0</v>
      </c>
      <c r="BS90" s="451">
        <v>0</v>
      </c>
      <c r="BT90" s="451">
        <v>0</v>
      </c>
      <c r="BU90" s="451">
        <v>589254</v>
      </c>
      <c r="BV90" s="451">
        <v>471403</v>
      </c>
      <c r="BW90" s="451">
        <v>106066</v>
      </c>
      <c r="BX90" s="451">
        <v>11785</v>
      </c>
      <c r="BY90" s="451">
        <v>1178508</v>
      </c>
      <c r="BZ90" s="451">
        <v>589254</v>
      </c>
      <c r="CA90" s="451">
        <v>471403</v>
      </c>
      <c r="CB90" s="451">
        <v>106066</v>
      </c>
      <c r="CC90" s="451">
        <v>11785</v>
      </c>
      <c r="CD90" s="451">
        <v>1178508</v>
      </c>
      <c r="CE90" s="104"/>
      <c r="CF90" s="104"/>
      <c r="CG90" s="104"/>
    </row>
    <row r="91" spans="1:85" ht="12.75" x14ac:dyDescent="0.2">
      <c r="A91" s="446">
        <v>84</v>
      </c>
      <c r="B91" s="447" t="s">
        <v>51</v>
      </c>
      <c r="C91" s="448" t="s">
        <v>1093</v>
      </c>
      <c r="D91" s="449" t="s">
        <v>1102</v>
      </c>
      <c r="E91" s="450" t="s">
        <v>50</v>
      </c>
      <c r="F91" s="451">
        <v>9807504</v>
      </c>
      <c r="G91" s="451">
        <v>7846003</v>
      </c>
      <c r="H91" s="451">
        <v>1765351</v>
      </c>
      <c r="I91" s="451">
        <v>196150</v>
      </c>
      <c r="J91" s="451">
        <v>19615008</v>
      </c>
      <c r="K91" s="451">
        <v>0</v>
      </c>
      <c r="L91" s="451">
        <v>0</v>
      </c>
      <c r="M91" s="451">
        <v>9807504</v>
      </c>
      <c r="N91" s="451">
        <v>19615008</v>
      </c>
      <c r="O91" s="451">
        <v>108712</v>
      </c>
      <c r="P91" s="451">
        <v>108712</v>
      </c>
      <c r="Q91" s="451">
        <v>0</v>
      </c>
      <c r="R91" s="451">
        <v>0</v>
      </c>
      <c r="S91" s="451">
        <v>0</v>
      </c>
      <c r="T91" s="451">
        <v>0</v>
      </c>
      <c r="U91" s="451">
        <v>0</v>
      </c>
      <c r="V91" s="451">
        <v>0</v>
      </c>
      <c r="W91" s="451">
        <v>0</v>
      </c>
      <c r="X91" s="451">
        <v>0</v>
      </c>
      <c r="Y91" s="451">
        <v>0</v>
      </c>
      <c r="Z91" s="451">
        <v>0</v>
      </c>
      <c r="AA91" s="451">
        <v>0</v>
      </c>
      <c r="AB91" s="451">
        <v>313139.21000000002</v>
      </c>
      <c r="AC91" s="451">
        <v>250511</v>
      </c>
      <c r="AD91" s="451">
        <v>56365</v>
      </c>
      <c r="AE91" s="451">
        <v>6263</v>
      </c>
      <c r="AF91" s="451">
        <v>626278.21</v>
      </c>
      <c r="AG91" s="451">
        <v>-87644</v>
      </c>
      <c r="AH91" s="451">
        <v>-70115</v>
      </c>
      <c r="AI91" s="451">
        <v>-15776</v>
      </c>
      <c r="AJ91" s="451">
        <v>-1753</v>
      </c>
      <c r="AK91" s="451">
        <v>-175288</v>
      </c>
      <c r="AL91" s="451">
        <v>102830</v>
      </c>
      <c r="AM91" s="451">
        <v>82265</v>
      </c>
      <c r="AN91" s="451">
        <v>18510</v>
      </c>
      <c r="AO91" s="451">
        <v>2057</v>
      </c>
      <c r="AP91" s="451">
        <v>205662</v>
      </c>
      <c r="AQ91" s="451">
        <v>30172</v>
      </c>
      <c r="AR91" s="451">
        <v>24138</v>
      </c>
      <c r="AS91" s="451">
        <v>5431</v>
      </c>
      <c r="AT91" s="451">
        <v>603</v>
      </c>
      <c r="AU91" s="451">
        <v>60344</v>
      </c>
      <c r="AV91" s="451">
        <v>133002</v>
      </c>
      <c r="AW91" s="451">
        <v>106403</v>
      </c>
      <c r="AX91" s="451">
        <v>23941</v>
      </c>
      <c r="AY91" s="451">
        <v>2660</v>
      </c>
      <c r="AZ91" s="451">
        <v>266006</v>
      </c>
      <c r="BA91" s="451">
        <v>0</v>
      </c>
      <c r="BB91" s="451">
        <v>0</v>
      </c>
      <c r="BC91" s="451">
        <v>0</v>
      </c>
      <c r="BD91" s="451">
        <v>0</v>
      </c>
      <c r="BE91" s="451">
        <v>0</v>
      </c>
      <c r="BF91" s="451">
        <v>160808</v>
      </c>
      <c r="BG91" s="451">
        <v>128646</v>
      </c>
      <c r="BH91" s="451">
        <v>28945</v>
      </c>
      <c r="BI91" s="451">
        <v>3216</v>
      </c>
      <c r="BJ91" s="451">
        <v>321615</v>
      </c>
      <c r="BK91" s="451">
        <v>160808</v>
      </c>
      <c r="BL91" s="451">
        <v>128646</v>
      </c>
      <c r="BM91" s="451">
        <v>28945</v>
      </c>
      <c r="BN91" s="451">
        <v>3216</v>
      </c>
      <c r="BO91" s="451">
        <v>321615</v>
      </c>
      <c r="BP91" s="451">
        <v>0</v>
      </c>
      <c r="BQ91" s="451">
        <v>0</v>
      </c>
      <c r="BR91" s="451">
        <v>0</v>
      </c>
      <c r="BS91" s="451">
        <v>0</v>
      </c>
      <c r="BT91" s="451">
        <v>0</v>
      </c>
      <c r="BU91" s="451">
        <v>425386</v>
      </c>
      <c r="BV91" s="451">
        <v>340310</v>
      </c>
      <c r="BW91" s="451">
        <v>76570</v>
      </c>
      <c r="BX91" s="451">
        <v>8508</v>
      </c>
      <c r="BY91" s="451">
        <v>850774</v>
      </c>
      <c r="BZ91" s="451">
        <v>425386</v>
      </c>
      <c r="CA91" s="451">
        <v>340310</v>
      </c>
      <c r="CB91" s="451">
        <v>76570</v>
      </c>
      <c r="CC91" s="451">
        <v>8508</v>
      </c>
      <c r="CD91" s="451">
        <v>850774</v>
      </c>
      <c r="CE91" s="104" t="s">
        <v>1120</v>
      </c>
      <c r="CF91" s="104"/>
      <c r="CG91" s="104"/>
    </row>
    <row r="92" spans="1:85" ht="12.75" x14ac:dyDescent="0.2">
      <c r="A92" s="446">
        <v>85</v>
      </c>
      <c r="B92" s="447" t="s">
        <v>53</v>
      </c>
      <c r="C92" s="448" t="s">
        <v>1093</v>
      </c>
      <c r="D92" s="449" t="s">
        <v>1094</v>
      </c>
      <c r="E92" s="450" t="s">
        <v>52</v>
      </c>
      <c r="F92" s="451">
        <v>13394966</v>
      </c>
      <c r="G92" s="451">
        <v>10715973</v>
      </c>
      <c r="H92" s="451">
        <v>2411094</v>
      </c>
      <c r="I92" s="451">
        <v>267899</v>
      </c>
      <c r="J92" s="451">
        <v>26789932</v>
      </c>
      <c r="K92" s="451">
        <v>0</v>
      </c>
      <c r="L92" s="451">
        <v>0</v>
      </c>
      <c r="M92" s="451">
        <v>13394966</v>
      </c>
      <c r="N92" s="451">
        <v>26789932</v>
      </c>
      <c r="O92" s="451">
        <v>151002</v>
      </c>
      <c r="P92" s="451">
        <v>151002</v>
      </c>
      <c r="Q92" s="451">
        <v>0</v>
      </c>
      <c r="R92" s="451">
        <v>0</v>
      </c>
      <c r="S92" s="451">
        <v>0</v>
      </c>
      <c r="T92" s="451">
        <v>0</v>
      </c>
      <c r="U92" s="451">
        <v>0</v>
      </c>
      <c r="V92" s="451">
        <v>0</v>
      </c>
      <c r="W92" s="451">
        <v>0</v>
      </c>
      <c r="X92" s="451">
        <v>0</v>
      </c>
      <c r="Y92" s="451">
        <v>0</v>
      </c>
      <c r="Z92" s="451">
        <v>0</v>
      </c>
      <c r="AA92" s="451">
        <v>0</v>
      </c>
      <c r="AB92" s="451">
        <v>261088</v>
      </c>
      <c r="AC92" s="451">
        <v>208871</v>
      </c>
      <c r="AD92" s="451">
        <v>46996</v>
      </c>
      <c r="AE92" s="451">
        <v>5222</v>
      </c>
      <c r="AF92" s="451">
        <v>522177</v>
      </c>
      <c r="AG92" s="451">
        <v>131783</v>
      </c>
      <c r="AH92" s="451">
        <v>105426</v>
      </c>
      <c r="AI92" s="451">
        <v>23721</v>
      </c>
      <c r="AJ92" s="451">
        <v>2636</v>
      </c>
      <c r="AK92" s="451">
        <v>263566</v>
      </c>
      <c r="AL92" s="451">
        <v>63828</v>
      </c>
      <c r="AM92" s="451">
        <v>51062</v>
      </c>
      <c r="AN92" s="451">
        <v>11489</v>
      </c>
      <c r="AO92" s="451">
        <v>1277</v>
      </c>
      <c r="AP92" s="451">
        <v>127656</v>
      </c>
      <c r="AQ92" s="451">
        <v>70236</v>
      </c>
      <c r="AR92" s="451">
        <v>56188</v>
      </c>
      <c r="AS92" s="451">
        <v>12642</v>
      </c>
      <c r="AT92" s="451">
        <v>1405</v>
      </c>
      <c r="AU92" s="451">
        <v>140471</v>
      </c>
      <c r="AV92" s="451">
        <v>134064</v>
      </c>
      <c r="AW92" s="451">
        <v>107250</v>
      </c>
      <c r="AX92" s="451">
        <v>24131</v>
      </c>
      <c r="AY92" s="451">
        <v>2682</v>
      </c>
      <c r="AZ92" s="451">
        <v>268127</v>
      </c>
      <c r="BA92" s="451">
        <v>0</v>
      </c>
      <c r="BB92" s="451">
        <v>0</v>
      </c>
      <c r="BC92" s="451">
        <v>0</v>
      </c>
      <c r="BD92" s="451">
        <v>0</v>
      </c>
      <c r="BE92" s="451">
        <v>0</v>
      </c>
      <c r="BF92" s="451">
        <v>279167</v>
      </c>
      <c r="BG92" s="451">
        <v>223333</v>
      </c>
      <c r="BH92" s="451">
        <v>50250</v>
      </c>
      <c r="BI92" s="451">
        <v>5583</v>
      </c>
      <c r="BJ92" s="451">
        <v>558333</v>
      </c>
      <c r="BK92" s="451">
        <v>279167</v>
      </c>
      <c r="BL92" s="451">
        <v>223333</v>
      </c>
      <c r="BM92" s="451">
        <v>50250</v>
      </c>
      <c r="BN92" s="451">
        <v>5583</v>
      </c>
      <c r="BO92" s="451">
        <v>558333</v>
      </c>
      <c r="BP92" s="451">
        <v>0</v>
      </c>
      <c r="BQ92" s="451">
        <v>0</v>
      </c>
      <c r="BR92" s="451">
        <v>0</v>
      </c>
      <c r="BS92" s="451">
        <v>0</v>
      </c>
      <c r="BT92" s="451">
        <v>0</v>
      </c>
      <c r="BU92" s="451">
        <v>513492</v>
      </c>
      <c r="BV92" s="451">
        <v>410794</v>
      </c>
      <c r="BW92" s="451">
        <v>92429</v>
      </c>
      <c r="BX92" s="451">
        <v>10270</v>
      </c>
      <c r="BY92" s="451">
        <v>1026985</v>
      </c>
      <c r="BZ92" s="451">
        <v>513492</v>
      </c>
      <c r="CA92" s="451">
        <v>410794</v>
      </c>
      <c r="CB92" s="451">
        <v>92429</v>
      </c>
      <c r="CC92" s="451">
        <v>10270</v>
      </c>
      <c r="CD92" s="451">
        <v>1026985</v>
      </c>
      <c r="CE92" s="104"/>
      <c r="CF92" s="104"/>
      <c r="CG92" s="104"/>
    </row>
    <row r="93" spans="1:85" ht="12.75" x14ac:dyDescent="0.2">
      <c r="A93" s="446">
        <v>86</v>
      </c>
      <c r="B93" s="447" t="s">
        <v>55</v>
      </c>
      <c r="C93" s="448" t="s">
        <v>1093</v>
      </c>
      <c r="D93" s="449" t="s">
        <v>1097</v>
      </c>
      <c r="E93" s="450" t="s">
        <v>54</v>
      </c>
      <c r="F93" s="451">
        <v>19777684</v>
      </c>
      <c r="G93" s="451">
        <v>15822147</v>
      </c>
      <c r="H93" s="451">
        <v>3955537</v>
      </c>
      <c r="I93" s="451">
        <v>0</v>
      </c>
      <c r="J93" s="451">
        <v>39555368</v>
      </c>
      <c r="K93" s="451">
        <v>0</v>
      </c>
      <c r="L93" s="451">
        <v>0</v>
      </c>
      <c r="M93" s="451">
        <v>19777684</v>
      </c>
      <c r="N93" s="451">
        <v>39555368</v>
      </c>
      <c r="O93" s="451">
        <v>196026</v>
      </c>
      <c r="P93" s="451">
        <v>196026</v>
      </c>
      <c r="Q93" s="451">
        <v>0</v>
      </c>
      <c r="R93" s="451">
        <v>0</v>
      </c>
      <c r="S93" s="451">
        <v>0</v>
      </c>
      <c r="T93" s="451">
        <v>0</v>
      </c>
      <c r="U93" s="451">
        <v>0</v>
      </c>
      <c r="V93" s="451">
        <v>0</v>
      </c>
      <c r="W93" s="451">
        <v>0</v>
      </c>
      <c r="X93" s="451">
        <v>0</v>
      </c>
      <c r="Y93" s="451">
        <v>0</v>
      </c>
      <c r="Z93" s="451">
        <v>0</v>
      </c>
      <c r="AA93" s="451">
        <v>0</v>
      </c>
      <c r="AB93" s="451">
        <v>1193474</v>
      </c>
      <c r="AC93" s="451">
        <v>954779</v>
      </c>
      <c r="AD93" s="451">
        <v>238695</v>
      </c>
      <c r="AE93" s="451">
        <v>0</v>
      </c>
      <c r="AF93" s="451">
        <v>2386948</v>
      </c>
      <c r="AG93" s="451">
        <v>-263146</v>
      </c>
      <c r="AH93" s="451">
        <v>-210516</v>
      </c>
      <c r="AI93" s="451">
        <v>-52629</v>
      </c>
      <c r="AJ93" s="451">
        <v>0</v>
      </c>
      <c r="AK93" s="451">
        <v>-526291</v>
      </c>
      <c r="AL93" s="451">
        <v>468500</v>
      </c>
      <c r="AM93" s="451">
        <v>374800</v>
      </c>
      <c r="AN93" s="451">
        <v>93700</v>
      </c>
      <c r="AO93" s="451">
        <v>0</v>
      </c>
      <c r="AP93" s="451">
        <v>937000</v>
      </c>
      <c r="AQ93" s="451">
        <v>229668</v>
      </c>
      <c r="AR93" s="451">
        <v>183734</v>
      </c>
      <c r="AS93" s="451">
        <v>45934</v>
      </c>
      <c r="AT93" s="451">
        <v>0</v>
      </c>
      <c r="AU93" s="451">
        <v>459336</v>
      </c>
      <c r="AV93" s="451">
        <v>698168</v>
      </c>
      <c r="AW93" s="451">
        <v>558534</v>
      </c>
      <c r="AX93" s="451">
        <v>139634</v>
      </c>
      <c r="AY93" s="451">
        <v>0</v>
      </c>
      <c r="AZ93" s="451">
        <v>1396336</v>
      </c>
      <c r="BA93" s="451">
        <v>0</v>
      </c>
      <c r="BB93" s="451">
        <v>0</v>
      </c>
      <c r="BC93" s="451">
        <v>0</v>
      </c>
      <c r="BD93" s="451">
        <v>0</v>
      </c>
      <c r="BE93" s="451">
        <v>0</v>
      </c>
      <c r="BF93" s="451">
        <v>350508</v>
      </c>
      <c r="BG93" s="451">
        <v>280406</v>
      </c>
      <c r="BH93" s="451">
        <v>70102</v>
      </c>
      <c r="BI93" s="451">
        <v>0</v>
      </c>
      <c r="BJ93" s="451">
        <v>701016</v>
      </c>
      <c r="BK93" s="451">
        <v>350508</v>
      </c>
      <c r="BL93" s="451">
        <v>280406</v>
      </c>
      <c r="BM93" s="451">
        <v>70102</v>
      </c>
      <c r="BN93" s="451">
        <v>0</v>
      </c>
      <c r="BO93" s="451">
        <v>701016</v>
      </c>
      <c r="BP93" s="451">
        <v>0</v>
      </c>
      <c r="BQ93" s="451">
        <v>0</v>
      </c>
      <c r="BR93" s="451">
        <v>0</v>
      </c>
      <c r="BS93" s="451">
        <v>0</v>
      </c>
      <c r="BT93" s="451">
        <v>0</v>
      </c>
      <c r="BU93" s="451">
        <v>929632</v>
      </c>
      <c r="BV93" s="451">
        <v>743706</v>
      </c>
      <c r="BW93" s="451">
        <v>185926</v>
      </c>
      <c r="BX93" s="451">
        <v>0</v>
      </c>
      <c r="BY93" s="451">
        <v>1859264</v>
      </c>
      <c r="BZ93" s="451">
        <v>929632</v>
      </c>
      <c r="CA93" s="451">
        <v>743706</v>
      </c>
      <c r="CB93" s="451">
        <v>185926</v>
      </c>
      <c r="CC93" s="451">
        <v>0</v>
      </c>
      <c r="CD93" s="451">
        <v>1859264</v>
      </c>
      <c r="CE93" s="104"/>
      <c r="CF93" s="104"/>
      <c r="CG93" s="104"/>
    </row>
    <row r="94" spans="1:85" ht="12.75" x14ac:dyDescent="0.2">
      <c r="A94" s="446">
        <v>87</v>
      </c>
      <c r="B94" s="447" t="s">
        <v>57</v>
      </c>
      <c r="C94" s="448" t="s">
        <v>1093</v>
      </c>
      <c r="D94" s="449" t="s">
        <v>1096</v>
      </c>
      <c r="E94" s="450" t="s">
        <v>56</v>
      </c>
      <c r="F94" s="451">
        <v>15360172</v>
      </c>
      <c r="G94" s="451">
        <v>12288137</v>
      </c>
      <c r="H94" s="451">
        <v>3072034</v>
      </c>
      <c r="I94" s="451">
        <v>0</v>
      </c>
      <c r="J94" s="451">
        <v>30720343</v>
      </c>
      <c r="K94" s="451">
        <v>0</v>
      </c>
      <c r="L94" s="451">
        <v>0</v>
      </c>
      <c r="M94" s="451">
        <v>15360172</v>
      </c>
      <c r="N94" s="451">
        <v>30720343</v>
      </c>
      <c r="O94" s="451">
        <v>270768</v>
      </c>
      <c r="P94" s="451">
        <v>270768</v>
      </c>
      <c r="Q94" s="451">
        <v>0</v>
      </c>
      <c r="R94" s="451">
        <v>0</v>
      </c>
      <c r="S94" s="451">
        <v>0</v>
      </c>
      <c r="T94" s="451">
        <v>0</v>
      </c>
      <c r="U94" s="451">
        <v>0</v>
      </c>
      <c r="V94" s="451">
        <v>0</v>
      </c>
      <c r="W94" s="451">
        <v>0</v>
      </c>
      <c r="X94" s="451">
        <v>0</v>
      </c>
      <c r="Y94" s="451">
        <v>0</v>
      </c>
      <c r="Z94" s="451">
        <v>0</v>
      </c>
      <c r="AA94" s="451">
        <v>0</v>
      </c>
      <c r="AB94" s="451">
        <v>1050289</v>
      </c>
      <c r="AC94" s="451">
        <v>840232</v>
      </c>
      <c r="AD94" s="451">
        <v>210058</v>
      </c>
      <c r="AE94" s="451">
        <v>0</v>
      </c>
      <c r="AF94" s="451">
        <v>2100579</v>
      </c>
      <c r="AG94" s="451">
        <v>326067</v>
      </c>
      <c r="AH94" s="451">
        <v>260854</v>
      </c>
      <c r="AI94" s="451">
        <v>65214</v>
      </c>
      <c r="AJ94" s="451">
        <v>0</v>
      </c>
      <c r="AK94" s="451">
        <v>652135</v>
      </c>
      <c r="AL94" s="451">
        <v>180000</v>
      </c>
      <c r="AM94" s="451">
        <v>144000</v>
      </c>
      <c r="AN94" s="451">
        <v>36000</v>
      </c>
      <c r="AO94" s="451">
        <v>0</v>
      </c>
      <c r="AP94" s="451">
        <v>360000</v>
      </c>
      <c r="AQ94" s="451">
        <v>178000</v>
      </c>
      <c r="AR94" s="451">
        <v>142400</v>
      </c>
      <c r="AS94" s="451">
        <v>35600</v>
      </c>
      <c r="AT94" s="451">
        <v>0</v>
      </c>
      <c r="AU94" s="451">
        <v>356000</v>
      </c>
      <c r="AV94" s="451">
        <v>358000</v>
      </c>
      <c r="AW94" s="451">
        <v>286400</v>
      </c>
      <c r="AX94" s="451">
        <v>71600</v>
      </c>
      <c r="AY94" s="451">
        <v>0</v>
      </c>
      <c r="AZ94" s="451">
        <v>716000</v>
      </c>
      <c r="BA94" s="451">
        <v>0</v>
      </c>
      <c r="BB94" s="451">
        <v>0</v>
      </c>
      <c r="BC94" s="451">
        <v>0</v>
      </c>
      <c r="BD94" s="451">
        <v>0</v>
      </c>
      <c r="BE94" s="451">
        <v>0</v>
      </c>
      <c r="BF94" s="451">
        <v>213627</v>
      </c>
      <c r="BG94" s="451">
        <v>170902</v>
      </c>
      <c r="BH94" s="451">
        <v>42725</v>
      </c>
      <c r="BI94" s="451">
        <v>0</v>
      </c>
      <c r="BJ94" s="451">
        <v>427254</v>
      </c>
      <c r="BK94" s="451">
        <v>213627</v>
      </c>
      <c r="BL94" s="451">
        <v>170902</v>
      </c>
      <c r="BM94" s="451">
        <v>42725</v>
      </c>
      <c r="BN94" s="451">
        <v>0</v>
      </c>
      <c r="BO94" s="451">
        <v>427254</v>
      </c>
      <c r="BP94" s="451">
        <v>0</v>
      </c>
      <c r="BQ94" s="451">
        <v>0</v>
      </c>
      <c r="BR94" s="451">
        <v>0</v>
      </c>
      <c r="BS94" s="451">
        <v>0</v>
      </c>
      <c r="BT94" s="451">
        <v>0</v>
      </c>
      <c r="BU94" s="451">
        <v>541779</v>
      </c>
      <c r="BV94" s="451">
        <v>433424</v>
      </c>
      <c r="BW94" s="451">
        <v>108356</v>
      </c>
      <c r="BX94" s="451">
        <v>0</v>
      </c>
      <c r="BY94" s="451">
        <v>1083559</v>
      </c>
      <c r="BZ94" s="451">
        <v>541779</v>
      </c>
      <c r="CA94" s="451">
        <v>433424</v>
      </c>
      <c r="CB94" s="451">
        <v>108356</v>
      </c>
      <c r="CC94" s="451">
        <v>0</v>
      </c>
      <c r="CD94" s="451">
        <v>1083559</v>
      </c>
      <c r="CE94" s="104"/>
      <c r="CF94" s="104"/>
      <c r="CG94" s="104"/>
    </row>
    <row r="95" spans="1:85" ht="12.75" x14ac:dyDescent="0.2">
      <c r="A95" s="446">
        <v>88</v>
      </c>
      <c r="B95" s="447" t="s">
        <v>59</v>
      </c>
      <c r="C95" s="448" t="s">
        <v>1093</v>
      </c>
      <c r="D95" s="449" t="s">
        <v>1096</v>
      </c>
      <c r="E95" s="450" t="s">
        <v>58</v>
      </c>
      <c r="F95" s="451">
        <v>10107317</v>
      </c>
      <c r="G95" s="451">
        <v>8085854</v>
      </c>
      <c r="H95" s="451">
        <v>2021463</v>
      </c>
      <c r="I95" s="451">
        <v>0</v>
      </c>
      <c r="J95" s="451">
        <v>20214634</v>
      </c>
      <c r="K95" s="451">
        <v>0</v>
      </c>
      <c r="L95" s="451">
        <v>0</v>
      </c>
      <c r="M95" s="451">
        <v>10107317</v>
      </c>
      <c r="N95" s="451">
        <v>20214634</v>
      </c>
      <c r="O95" s="451">
        <v>99141</v>
      </c>
      <c r="P95" s="451">
        <v>99141</v>
      </c>
      <c r="Q95" s="451">
        <v>0</v>
      </c>
      <c r="R95" s="451">
        <v>0</v>
      </c>
      <c r="S95" s="451">
        <v>0</v>
      </c>
      <c r="T95" s="451">
        <v>0</v>
      </c>
      <c r="U95" s="451">
        <v>0</v>
      </c>
      <c r="V95" s="451">
        <v>0</v>
      </c>
      <c r="W95" s="451">
        <v>0</v>
      </c>
      <c r="X95" s="451">
        <v>0</v>
      </c>
      <c r="Y95" s="451">
        <v>0</v>
      </c>
      <c r="Z95" s="451">
        <v>0</v>
      </c>
      <c r="AA95" s="451">
        <v>0</v>
      </c>
      <c r="AB95" s="451">
        <v>203693</v>
      </c>
      <c r="AC95" s="451">
        <v>162954</v>
      </c>
      <c r="AD95" s="451">
        <v>40739</v>
      </c>
      <c r="AE95" s="451">
        <v>0</v>
      </c>
      <c r="AF95" s="451">
        <v>407386</v>
      </c>
      <c r="AG95" s="451">
        <v>24482</v>
      </c>
      <c r="AH95" s="451">
        <v>19585</v>
      </c>
      <c r="AI95" s="451">
        <v>4896</v>
      </c>
      <c r="AJ95" s="451">
        <v>0</v>
      </c>
      <c r="AK95" s="451">
        <v>48963</v>
      </c>
      <c r="AL95" s="451">
        <v>35216</v>
      </c>
      <c r="AM95" s="451">
        <v>28172</v>
      </c>
      <c r="AN95" s="451">
        <v>7043</v>
      </c>
      <c r="AO95" s="451">
        <v>0</v>
      </c>
      <c r="AP95" s="451">
        <v>70431</v>
      </c>
      <c r="AQ95" s="451">
        <v>10312</v>
      </c>
      <c r="AR95" s="451">
        <v>8249</v>
      </c>
      <c r="AS95" s="451">
        <v>2062</v>
      </c>
      <c r="AT95" s="451">
        <v>0</v>
      </c>
      <c r="AU95" s="451">
        <v>20623</v>
      </c>
      <c r="AV95" s="451">
        <v>45528</v>
      </c>
      <c r="AW95" s="451">
        <v>36421</v>
      </c>
      <c r="AX95" s="451">
        <v>9105</v>
      </c>
      <c r="AY95" s="451">
        <v>0</v>
      </c>
      <c r="AZ95" s="451">
        <v>91054</v>
      </c>
      <c r="BA95" s="451">
        <v>0</v>
      </c>
      <c r="BB95" s="451">
        <v>0</v>
      </c>
      <c r="BC95" s="451">
        <v>0</v>
      </c>
      <c r="BD95" s="451">
        <v>0</v>
      </c>
      <c r="BE95" s="451">
        <v>0</v>
      </c>
      <c r="BF95" s="451">
        <v>1870</v>
      </c>
      <c r="BG95" s="451">
        <v>1496</v>
      </c>
      <c r="BH95" s="451">
        <v>374</v>
      </c>
      <c r="BI95" s="451">
        <v>0</v>
      </c>
      <c r="BJ95" s="451">
        <v>3740</v>
      </c>
      <c r="BK95" s="451">
        <v>1870</v>
      </c>
      <c r="BL95" s="451">
        <v>1496</v>
      </c>
      <c r="BM95" s="451">
        <v>374</v>
      </c>
      <c r="BN95" s="451">
        <v>0</v>
      </c>
      <c r="BO95" s="451">
        <v>3740</v>
      </c>
      <c r="BP95" s="451">
        <v>0</v>
      </c>
      <c r="BQ95" s="451">
        <v>0</v>
      </c>
      <c r="BR95" s="451">
        <v>0</v>
      </c>
      <c r="BS95" s="451">
        <v>0</v>
      </c>
      <c r="BT95" s="451">
        <v>0</v>
      </c>
      <c r="BU95" s="451">
        <v>204863</v>
      </c>
      <c r="BV95" s="451">
        <v>163891</v>
      </c>
      <c r="BW95" s="451">
        <v>40973</v>
      </c>
      <c r="BX95" s="451">
        <v>0</v>
      </c>
      <c r="BY95" s="451">
        <v>409727</v>
      </c>
      <c r="BZ95" s="451">
        <v>204863</v>
      </c>
      <c r="CA95" s="451">
        <v>163891</v>
      </c>
      <c r="CB95" s="451">
        <v>40973</v>
      </c>
      <c r="CC95" s="451">
        <v>0</v>
      </c>
      <c r="CD95" s="451">
        <v>409727</v>
      </c>
      <c r="CE95" s="104"/>
      <c r="CF95" s="104"/>
      <c r="CG95" s="104"/>
    </row>
    <row r="96" spans="1:85" ht="12.75" x14ac:dyDescent="0.2">
      <c r="A96" s="446">
        <v>89</v>
      </c>
      <c r="B96" s="447" t="s">
        <v>61</v>
      </c>
      <c r="C96" s="448" t="s">
        <v>794</v>
      </c>
      <c r="D96" s="449" t="s">
        <v>1101</v>
      </c>
      <c r="E96" s="450" t="s">
        <v>716</v>
      </c>
      <c r="F96" s="451">
        <v>44302485</v>
      </c>
      <c r="G96" s="451">
        <v>43416436</v>
      </c>
      <c r="H96" s="451">
        <v>0</v>
      </c>
      <c r="I96" s="451">
        <v>886050</v>
      </c>
      <c r="J96" s="451">
        <v>88604971</v>
      </c>
      <c r="K96" s="451">
        <v>179013</v>
      </c>
      <c r="L96" s="451">
        <v>179013</v>
      </c>
      <c r="M96" s="451">
        <v>44123472</v>
      </c>
      <c r="N96" s="451">
        <v>88425958</v>
      </c>
      <c r="O96" s="451">
        <v>434464</v>
      </c>
      <c r="P96" s="451">
        <v>434464</v>
      </c>
      <c r="Q96" s="451">
        <v>0</v>
      </c>
      <c r="R96" s="451">
        <v>0</v>
      </c>
      <c r="S96" s="451">
        <v>0</v>
      </c>
      <c r="T96" s="451">
        <v>0</v>
      </c>
      <c r="U96" s="451">
        <v>879893</v>
      </c>
      <c r="V96" s="451">
        <v>0</v>
      </c>
      <c r="W96" s="451">
        <v>879893</v>
      </c>
      <c r="X96" s="451">
        <v>177516</v>
      </c>
      <c r="Y96" s="451">
        <v>0</v>
      </c>
      <c r="Z96" s="451">
        <v>1497</v>
      </c>
      <c r="AA96" s="451">
        <v>179013</v>
      </c>
      <c r="AB96" s="451">
        <v>1715947</v>
      </c>
      <c r="AC96" s="451">
        <v>1681629</v>
      </c>
      <c r="AD96" s="451">
        <v>0</v>
      </c>
      <c r="AE96" s="451">
        <v>34319</v>
      </c>
      <c r="AF96" s="451">
        <v>3431895</v>
      </c>
      <c r="AG96" s="451">
        <v>592032</v>
      </c>
      <c r="AH96" s="451">
        <v>580191</v>
      </c>
      <c r="AI96" s="451">
        <v>0</v>
      </c>
      <c r="AJ96" s="451">
        <v>11841</v>
      </c>
      <c r="AK96" s="451">
        <v>1184064</v>
      </c>
      <c r="AL96" s="451">
        <v>641330</v>
      </c>
      <c r="AM96" s="451">
        <v>628504</v>
      </c>
      <c r="AN96" s="451">
        <v>0</v>
      </c>
      <c r="AO96" s="451">
        <v>12827</v>
      </c>
      <c r="AP96" s="451">
        <v>1282661</v>
      </c>
      <c r="AQ96" s="451">
        <v>125822</v>
      </c>
      <c r="AR96" s="451">
        <v>123305</v>
      </c>
      <c r="AS96" s="451">
        <v>0</v>
      </c>
      <c r="AT96" s="451">
        <v>2516</v>
      </c>
      <c r="AU96" s="451">
        <v>251643</v>
      </c>
      <c r="AV96" s="451">
        <v>767152</v>
      </c>
      <c r="AW96" s="451">
        <v>751809</v>
      </c>
      <c r="AX96" s="451">
        <v>0</v>
      </c>
      <c r="AY96" s="451">
        <v>15343</v>
      </c>
      <c r="AZ96" s="451">
        <v>1534304</v>
      </c>
      <c r="BA96" s="451">
        <v>0</v>
      </c>
      <c r="BB96" s="451">
        <v>0</v>
      </c>
      <c r="BC96" s="451">
        <v>0</v>
      </c>
      <c r="BD96" s="451">
        <v>0</v>
      </c>
      <c r="BE96" s="451">
        <v>0</v>
      </c>
      <c r="BF96" s="451">
        <v>226256</v>
      </c>
      <c r="BG96" s="451">
        <v>221730</v>
      </c>
      <c r="BH96" s="451">
        <v>0</v>
      </c>
      <c r="BI96" s="451">
        <v>4525</v>
      </c>
      <c r="BJ96" s="451">
        <v>452511</v>
      </c>
      <c r="BK96" s="451">
        <v>226256</v>
      </c>
      <c r="BL96" s="451">
        <v>221730</v>
      </c>
      <c r="BM96" s="451">
        <v>0</v>
      </c>
      <c r="BN96" s="451">
        <v>4525</v>
      </c>
      <c r="BO96" s="451">
        <v>452511</v>
      </c>
      <c r="BP96" s="451">
        <v>0</v>
      </c>
      <c r="BQ96" s="451">
        <v>0</v>
      </c>
      <c r="BR96" s="451">
        <v>0</v>
      </c>
      <c r="BS96" s="451">
        <v>0</v>
      </c>
      <c r="BT96" s="451">
        <v>0</v>
      </c>
      <c r="BU96" s="451">
        <v>856519</v>
      </c>
      <c r="BV96" s="451">
        <v>839388</v>
      </c>
      <c r="BW96" s="451">
        <v>0</v>
      </c>
      <c r="BX96" s="451">
        <v>17130</v>
      </c>
      <c r="BY96" s="451">
        <v>1713037</v>
      </c>
      <c r="BZ96" s="451">
        <v>856519</v>
      </c>
      <c r="CA96" s="451">
        <v>839388</v>
      </c>
      <c r="CB96" s="451">
        <v>0</v>
      </c>
      <c r="CC96" s="451">
        <v>17130</v>
      </c>
      <c r="CD96" s="451">
        <v>1713037</v>
      </c>
      <c r="CE96" s="104"/>
      <c r="CF96" s="104"/>
      <c r="CG96" s="104"/>
    </row>
    <row r="97" spans="1:85" ht="12.75" x14ac:dyDescent="0.2">
      <c r="A97" s="446">
        <v>90</v>
      </c>
      <c r="B97" s="447" t="s">
        <v>63</v>
      </c>
      <c r="C97" s="448" t="s">
        <v>1093</v>
      </c>
      <c r="D97" s="449" t="s">
        <v>1103</v>
      </c>
      <c r="E97" s="450" t="s">
        <v>62</v>
      </c>
      <c r="F97" s="451">
        <v>24259681</v>
      </c>
      <c r="G97" s="451">
        <v>19407744</v>
      </c>
      <c r="H97" s="451">
        <v>4366742</v>
      </c>
      <c r="I97" s="451">
        <v>485194</v>
      </c>
      <c r="J97" s="451">
        <v>48519361</v>
      </c>
      <c r="K97" s="451">
        <v>0</v>
      </c>
      <c r="L97" s="451">
        <v>0</v>
      </c>
      <c r="M97" s="451">
        <v>24259681</v>
      </c>
      <c r="N97" s="451">
        <v>48519361</v>
      </c>
      <c r="O97" s="451">
        <v>181017</v>
      </c>
      <c r="P97" s="451">
        <v>181017</v>
      </c>
      <c r="Q97" s="451">
        <v>0</v>
      </c>
      <c r="R97" s="451">
        <v>0</v>
      </c>
      <c r="S97" s="451">
        <v>0</v>
      </c>
      <c r="T97" s="451">
        <v>0</v>
      </c>
      <c r="U97" s="451">
        <v>0</v>
      </c>
      <c r="V97" s="451">
        <v>0</v>
      </c>
      <c r="W97" s="451">
        <v>0</v>
      </c>
      <c r="X97" s="451">
        <v>0</v>
      </c>
      <c r="Y97" s="451">
        <v>0</v>
      </c>
      <c r="Z97" s="451">
        <v>0</v>
      </c>
      <c r="AA97" s="451">
        <v>0</v>
      </c>
      <c r="AB97" s="451">
        <v>910910.82</v>
      </c>
      <c r="AC97" s="451">
        <v>728728</v>
      </c>
      <c r="AD97" s="451">
        <v>163964</v>
      </c>
      <c r="AE97" s="451">
        <v>18218</v>
      </c>
      <c r="AF97" s="451">
        <v>1821820.82</v>
      </c>
      <c r="AG97" s="451">
        <v>152964.66</v>
      </c>
      <c r="AH97" s="451">
        <v>122372</v>
      </c>
      <c r="AI97" s="451">
        <v>27534</v>
      </c>
      <c r="AJ97" s="451">
        <v>3059</v>
      </c>
      <c r="AK97" s="451">
        <v>305929.65999999997</v>
      </c>
      <c r="AL97" s="451">
        <v>0</v>
      </c>
      <c r="AM97" s="451">
        <v>0</v>
      </c>
      <c r="AN97" s="451">
        <v>0</v>
      </c>
      <c r="AO97" s="451">
        <v>0</v>
      </c>
      <c r="AP97" s="451">
        <v>0</v>
      </c>
      <c r="AQ97" s="451">
        <v>69287</v>
      </c>
      <c r="AR97" s="451">
        <v>55430</v>
      </c>
      <c r="AS97" s="451">
        <v>12472</v>
      </c>
      <c r="AT97" s="451">
        <v>1386</v>
      </c>
      <c r="AU97" s="451">
        <v>138575</v>
      </c>
      <c r="AV97" s="451">
        <v>69287</v>
      </c>
      <c r="AW97" s="451">
        <v>55430</v>
      </c>
      <c r="AX97" s="451">
        <v>12472</v>
      </c>
      <c r="AY97" s="451">
        <v>1386</v>
      </c>
      <c r="AZ97" s="451">
        <v>138575</v>
      </c>
      <c r="BA97" s="451">
        <v>0</v>
      </c>
      <c r="BB97" s="451">
        <v>0</v>
      </c>
      <c r="BC97" s="451">
        <v>0</v>
      </c>
      <c r="BD97" s="451">
        <v>0</v>
      </c>
      <c r="BE97" s="451">
        <v>0</v>
      </c>
      <c r="BF97" s="451">
        <v>593298</v>
      </c>
      <c r="BG97" s="451">
        <v>474638</v>
      </c>
      <c r="BH97" s="451">
        <v>106794</v>
      </c>
      <c r="BI97" s="451">
        <v>11866</v>
      </c>
      <c r="BJ97" s="451">
        <v>1186596</v>
      </c>
      <c r="BK97" s="451">
        <v>593298</v>
      </c>
      <c r="BL97" s="451">
        <v>474638</v>
      </c>
      <c r="BM97" s="451">
        <v>106794</v>
      </c>
      <c r="BN97" s="451">
        <v>11866</v>
      </c>
      <c r="BO97" s="451">
        <v>1186596</v>
      </c>
      <c r="BP97" s="451">
        <v>0</v>
      </c>
      <c r="BQ97" s="451">
        <v>0</v>
      </c>
      <c r="BR97" s="451">
        <v>0</v>
      </c>
      <c r="BS97" s="451">
        <v>0</v>
      </c>
      <c r="BT97" s="451">
        <v>0</v>
      </c>
      <c r="BU97" s="451">
        <v>1252882</v>
      </c>
      <c r="BV97" s="451">
        <v>1002306</v>
      </c>
      <c r="BW97" s="451">
        <v>225519</v>
      </c>
      <c r="BX97" s="451">
        <v>25058</v>
      </c>
      <c r="BY97" s="451">
        <v>2505765</v>
      </c>
      <c r="BZ97" s="451">
        <v>1252882</v>
      </c>
      <c r="CA97" s="451">
        <v>1002306</v>
      </c>
      <c r="CB97" s="451">
        <v>225519</v>
      </c>
      <c r="CC97" s="451">
        <v>25058</v>
      </c>
      <c r="CD97" s="451">
        <v>2505765</v>
      </c>
      <c r="CE97" s="104"/>
      <c r="CF97" s="104"/>
      <c r="CG97" s="104"/>
    </row>
    <row r="98" spans="1:85" ht="12.75" x14ac:dyDescent="0.2">
      <c r="A98" s="446">
        <v>91</v>
      </c>
      <c r="B98" s="447" t="s">
        <v>65</v>
      </c>
      <c r="C98" s="448" t="s">
        <v>1093</v>
      </c>
      <c r="D98" s="449" t="s">
        <v>1094</v>
      </c>
      <c r="E98" s="450" t="s">
        <v>64</v>
      </c>
      <c r="F98" s="451">
        <v>15325266</v>
      </c>
      <c r="G98" s="451">
        <v>12260212</v>
      </c>
      <c r="H98" s="451">
        <v>2758548</v>
      </c>
      <c r="I98" s="451">
        <v>306505</v>
      </c>
      <c r="J98" s="451">
        <v>30650531</v>
      </c>
      <c r="K98" s="451">
        <v>0</v>
      </c>
      <c r="L98" s="451">
        <v>0</v>
      </c>
      <c r="M98" s="451">
        <v>15325266</v>
      </c>
      <c r="N98" s="451">
        <v>30650531</v>
      </c>
      <c r="O98" s="451">
        <v>127360</v>
      </c>
      <c r="P98" s="451">
        <v>127360</v>
      </c>
      <c r="Q98" s="451">
        <v>0</v>
      </c>
      <c r="R98" s="451">
        <v>0</v>
      </c>
      <c r="S98" s="451">
        <v>0</v>
      </c>
      <c r="T98" s="451">
        <v>0</v>
      </c>
      <c r="U98" s="451">
        <v>0</v>
      </c>
      <c r="V98" s="451">
        <v>0</v>
      </c>
      <c r="W98" s="451">
        <v>0</v>
      </c>
      <c r="X98" s="451">
        <v>0</v>
      </c>
      <c r="Y98" s="451">
        <v>0</v>
      </c>
      <c r="Z98" s="451">
        <v>0</v>
      </c>
      <c r="AA98" s="451">
        <v>0</v>
      </c>
      <c r="AB98" s="451">
        <v>848396</v>
      </c>
      <c r="AC98" s="451">
        <v>678716</v>
      </c>
      <c r="AD98" s="451">
        <v>152711</v>
      </c>
      <c r="AE98" s="451">
        <v>16968</v>
      </c>
      <c r="AF98" s="451">
        <v>1696791</v>
      </c>
      <c r="AG98" s="451">
        <v>284522</v>
      </c>
      <c r="AH98" s="451">
        <v>227618</v>
      </c>
      <c r="AI98" s="451">
        <v>51214</v>
      </c>
      <c r="AJ98" s="451">
        <v>5690</v>
      </c>
      <c r="AK98" s="451">
        <v>569044</v>
      </c>
      <c r="AL98" s="451">
        <v>163124</v>
      </c>
      <c r="AM98" s="451">
        <v>130500</v>
      </c>
      <c r="AN98" s="451">
        <v>29363</v>
      </c>
      <c r="AO98" s="451">
        <v>3263</v>
      </c>
      <c r="AP98" s="451">
        <v>326250</v>
      </c>
      <c r="AQ98" s="451">
        <v>108272</v>
      </c>
      <c r="AR98" s="451">
        <v>86618</v>
      </c>
      <c r="AS98" s="451">
        <v>19489</v>
      </c>
      <c r="AT98" s="451">
        <v>2165</v>
      </c>
      <c r="AU98" s="451">
        <v>216544</v>
      </c>
      <c r="AV98" s="451">
        <v>271396</v>
      </c>
      <c r="AW98" s="451">
        <v>217118</v>
      </c>
      <c r="AX98" s="451">
        <v>48852</v>
      </c>
      <c r="AY98" s="451">
        <v>5428</v>
      </c>
      <c r="AZ98" s="451">
        <v>542794</v>
      </c>
      <c r="BA98" s="451">
        <v>0</v>
      </c>
      <c r="BB98" s="451">
        <v>0</v>
      </c>
      <c r="BC98" s="451">
        <v>0</v>
      </c>
      <c r="BD98" s="451">
        <v>0</v>
      </c>
      <c r="BE98" s="451">
        <v>0</v>
      </c>
      <c r="BF98" s="451">
        <v>238796</v>
      </c>
      <c r="BG98" s="451">
        <v>191037</v>
      </c>
      <c r="BH98" s="451">
        <v>42983</v>
      </c>
      <c r="BI98" s="451">
        <v>4776</v>
      </c>
      <c r="BJ98" s="451">
        <v>477592</v>
      </c>
      <c r="BK98" s="451">
        <v>238796</v>
      </c>
      <c r="BL98" s="451">
        <v>191037</v>
      </c>
      <c r="BM98" s="451">
        <v>42983</v>
      </c>
      <c r="BN98" s="451">
        <v>4776</v>
      </c>
      <c r="BO98" s="451">
        <v>477592</v>
      </c>
      <c r="BP98" s="451">
        <v>0</v>
      </c>
      <c r="BQ98" s="451">
        <v>0</v>
      </c>
      <c r="BR98" s="451">
        <v>0</v>
      </c>
      <c r="BS98" s="451">
        <v>0</v>
      </c>
      <c r="BT98" s="451">
        <v>0</v>
      </c>
      <c r="BU98" s="451">
        <v>579233</v>
      </c>
      <c r="BV98" s="451">
        <v>463387</v>
      </c>
      <c r="BW98" s="451">
        <v>104262</v>
      </c>
      <c r="BX98" s="451">
        <v>11585</v>
      </c>
      <c r="BY98" s="451">
        <v>1158467</v>
      </c>
      <c r="BZ98" s="451">
        <v>579233</v>
      </c>
      <c r="CA98" s="451">
        <v>463387</v>
      </c>
      <c r="CB98" s="451">
        <v>104262</v>
      </c>
      <c r="CC98" s="451">
        <v>11585</v>
      </c>
      <c r="CD98" s="451">
        <v>1158467</v>
      </c>
      <c r="CE98" s="104"/>
      <c r="CF98" s="104"/>
      <c r="CG98" s="104"/>
    </row>
    <row r="99" spans="1:85" ht="12.75" x14ac:dyDescent="0.2">
      <c r="A99" s="446">
        <v>92</v>
      </c>
      <c r="B99" s="447" t="s">
        <v>67</v>
      </c>
      <c r="C99" s="448" t="s">
        <v>1093</v>
      </c>
      <c r="D99" s="449" t="s">
        <v>1094</v>
      </c>
      <c r="E99" s="450" t="s">
        <v>66</v>
      </c>
      <c r="F99" s="451">
        <v>25336793</v>
      </c>
      <c r="G99" s="451">
        <v>20269434</v>
      </c>
      <c r="H99" s="451">
        <v>4560623</v>
      </c>
      <c r="I99" s="451">
        <v>506736</v>
      </c>
      <c r="J99" s="451">
        <v>50673586</v>
      </c>
      <c r="K99" s="451">
        <v>0</v>
      </c>
      <c r="L99" s="451">
        <v>0</v>
      </c>
      <c r="M99" s="451">
        <v>25336793</v>
      </c>
      <c r="N99" s="451">
        <v>50673586</v>
      </c>
      <c r="O99" s="451">
        <v>151492</v>
      </c>
      <c r="P99" s="451">
        <v>151492</v>
      </c>
      <c r="Q99" s="451">
        <v>0</v>
      </c>
      <c r="R99" s="451">
        <v>0</v>
      </c>
      <c r="S99" s="451">
        <v>0</v>
      </c>
      <c r="T99" s="451">
        <v>0</v>
      </c>
      <c r="U99" s="451">
        <v>0</v>
      </c>
      <c r="V99" s="451">
        <v>0</v>
      </c>
      <c r="W99" s="451">
        <v>0</v>
      </c>
      <c r="X99" s="451">
        <v>0</v>
      </c>
      <c r="Y99" s="451">
        <v>0</v>
      </c>
      <c r="Z99" s="451">
        <v>0</v>
      </c>
      <c r="AA99" s="451">
        <v>0</v>
      </c>
      <c r="AB99" s="451">
        <v>646983</v>
      </c>
      <c r="AC99" s="451">
        <v>517587</v>
      </c>
      <c r="AD99" s="451">
        <v>116457</v>
      </c>
      <c r="AE99" s="451">
        <v>12940</v>
      </c>
      <c r="AF99" s="451">
        <v>1293967</v>
      </c>
      <c r="AG99" s="451">
        <v>101120</v>
      </c>
      <c r="AH99" s="451">
        <v>80896</v>
      </c>
      <c r="AI99" s="451">
        <v>18202</v>
      </c>
      <c r="AJ99" s="451">
        <v>2022</v>
      </c>
      <c r="AK99" s="451">
        <v>202240</v>
      </c>
      <c r="AL99" s="451">
        <v>173814</v>
      </c>
      <c r="AM99" s="451">
        <v>139051</v>
      </c>
      <c r="AN99" s="451">
        <v>31286</v>
      </c>
      <c r="AO99" s="451">
        <v>3476</v>
      </c>
      <c r="AP99" s="451">
        <v>347627</v>
      </c>
      <c r="AQ99" s="451">
        <v>72043</v>
      </c>
      <c r="AR99" s="451">
        <v>57635</v>
      </c>
      <c r="AS99" s="451">
        <v>12968</v>
      </c>
      <c r="AT99" s="451">
        <v>1441</v>
      </c>
      <c r="AU99" s="451">
        <v>144087</v>
      </c>
      <c r="AV99" s="451">
        <v>245857</v>
      </c>
      <c r="AW99" s="451">
        <v>196686</v>
      </c>
      <c r="AX99" s="451">
        <v>44254</v>
      </c>
      <c r="AY99" s="451">
        <v>4917</v>
      </c>
      <c r="AZ99" s="451">
        <v>491714</v>
      </c>
      <c r="BA99" s="451">
        <v>0</v>
      </c>
      <c r="BB99" s="451">
        <v>0</v>
      </c>
      <c r="BC99" s="451">
        <v>0</v>
      </c>
      <c r="BD99" s="451">
        <v>0</v>
      </c>
      <c r="BE99" s="451">
        <v>0</v>
      </c>
      <c r="BF99" s="451">
        <v>508000</v>
      </c>
      <c r="BG99" s="451">
        <v>406400</v>
      </c>
      <c r="BH99" s="451">
        <v>91440</v>
      </c>
      <c r="BI99" s="451">
        <v>10160</v>
      </c>
      <c r="BJ99" s="451">
        <v>1016000</v>
      </c>
      <c r="BK99" s="451">
        <v>508000</v>
      </c>
      <c r="BL99" s="451">
        <v>406400</v>
      </c>
      <c r="BM99" s="451">
        <v>91440</v>
      </c>
      <c r="BN99" s="451">
        <v>10160</v>
      </c>
      <c r="BO99" s="451">
        <v>1016000</v>
      </c>
      <c r="BP99" s="451">
        <v>0</v>
      </c>
      <c r="BQ99" s="451">
        <v>0</v>
      </c>
      <c r="BR99" s="451">
        <v>0</v>
      </c>
      <c r="BS99" s="451">
        <v>0</v>
      </c>
      <c r="BT99" s="451">
        <v>0</v>
      </c>
      <c r="BU99" s="451">
        <v>1058500</v>
      </c>
      <c r="BV99" s="451">
        <v>846800</v>
      </c>
      <c r="BW99" s="451">
        <v>190530</v>
      </c>
      <c r="BX99" s="451">
        <v>21170</v>
      </c>
      <c r="BY99" s="451">
        <v>2117000</v>
      </c>
      <c r="BZ99" s="451">
        <v>1058500</v>
      </c>
      <c r="CA99" s="451">
        <v>846800</v>
      </c>
      <c r="CB99" s="451">
        <v>190530</v>
      </c>
      <c r="CC99" s="451">
        <v>21170</v>
      </c>
      <c r="CD99" s="451">
        <v>2117000</v>
      </c>
      <c r="CE99" s="104"/>
      <c r="CF99" s="104"/>
      <c r="CG99" s="104"/>
    </row>
    <row r="100" spans="1:85" ht="12.75" x14ac:dyDescent="0.2">
      <c r="A100" s="446">
        <v>93</v>
      </c>
      <c r="B100" s="447" t="s">
        <v>69</v>
      </c>
      <c r="C100" s="448" t="s">
        <v>1093</v>
      </c>
      <c r="D100" s="449" t="s">
        <v>1095</v>
      </c>
      <c r="E100" s="450" t="s">
        <v>68</v>
      </c>
      <c r="F100" s="451">
        <v>9997607</v>
      </c>
      <c r="G100" s="451">
        <v>7998086</v>
      </c>
      <c r="H100" s="451">
        <v>1999521</v>
      </c>
      <c r="I100" s="451">
        <v>0</v>
      </c>
      <c r="J100" s="451">
        <v>19995214</v>
      </c>
      <c r="K100" s="451">
        <v>0</v>
      </c>
      <c r="L100" s="451">
        <v>0</v>
      </c>
      <c r="M100" s="451">
        <v>9997607</v>
      </c>
      <c r="N100" s="451">
        <v>19995214</v>
      </c>
      <c r="O100" s="451">
        <v>127959</v>
      </c>
      <c r="P100" s="451">
        <v>127959</v>
      </c>
      <c r="Q100" s="451">
        <v>0</v>
      </c>
      <c r="R100" s="451">
        <v>0</v>
      </c>
      <c r="S100" s="451">
        <v>0</v>
      </c>
      <c r="T100" s="451">
        <v>0</v>
      </c>
      <c r="U100" s="451">
        <v>0</v>
      </c>
      <c r="V100" s="451">
        <v>0</v>
      </c>
      <c r="W100" s="451">
        <v>0</v>
      </c>
      <c r="X100" s="451">
        <v>0</v>
      </c>
      <c r="Y100" s="451">
        <v>0</v>
      </c>
      <c r="Z100" s="451">
        <v>0</v>
      </c>
      <c r="AA100" s="451">
        <v>0</v>
      </c>
      <c r="AB100" s="451">
        <v>277614</v>
      </c>
      <c r="AC100" s="451">
        <v>222091</v>
      </c>
      <c r="AD100" s="451">
        <v>55523</v>
      </c>
      <c r="AE100" s="451">
        <v>0</v>
      </c>
      <c r="AF100" s="451">
        <v>555228</v>
      </c>
      <c r="AG100" s="451">
        <v>35987</v>
      </c>
      <c r="AH100" s="451">
        <v>28789</v>
      </c>
      <c r="AI100" s="451">
        <v>7197</v>
      </c>
      <c r="AJ100" s="451">
        <v>0</v>
      </c>
      <c r="AK100" s="451">
        <v>71973</v>
      </c>
      <c r="AL100" s="451">
        <v>15162</v>
      </c>
      <c r="AM100" s="451">
        <v>12130</v>
      </c>
      <c r="AN100" s="451">
        <v>3033</v>
      </c>
      <c r="AO100" s="451">
        <v>0</v>
      </c>
      <c r="AP100" s="451">
        <v>30325</v>
      </c>
      <c r="AQ100" s="451">
        <v>10562</v>
      </c>
      <c r="AR100" s="451">
        <v>8449</v>
      </c>
      <c r="AS100" s="451">
        <v>2112</v>
      </c>
      <c r="AT100" s="451">
        <v>0</v>
      </c>
      <c r="AU100" s="451">
        <v>21123</v>
      </c>
      <c r="AV100" s="451">
        <v>25724</v>
      </c>
      <c r="AW100" s="451">
        <v>20579</v>
      </c>
      <c r="AX100" s="451">
        <v>5145</v>
      </c>
      <c r="AY100" s="451">
        <v>0</v>
      </c>
      <c r="AZ100" s="451">
        <v>51448</v>
      </c>
      <c r="BA100" s="451">
        <v>0</v>
      </c>
      <c r="BB100" s="451">
        <v>0</v>
      </c>
      <c r="BC100" s="451">
        <v>0</v>
      </c>
      <c r="BD100" s="451">
        <v>0</v>
      </c>
      <c r="BE100" s="451">
        <v>0</v>
      </c>
      <c r="BF100" s="451">
        <v>60191.040000000001</v>
      </c>
      <c r="BG100" s="451">
        <v>48153</v>
      </c>
      <c r="BH100" s="451">
        <v>12038</v>
      </c>
      <c r="BI100" s="451">
        <v>0</v>
      </c>
      <c r="BJ100" s="451">
        <v>120382.04</v>
      </c>
      <c r="BK100" s="451">
        <v>60191.040000000001</v>
      </c>
      <c r="BL100" s="451">
        <v>48153</v>
      </c>
      <c r="BM100" s="451">
        <v>12038</v>
      </c>
      <c r="BN100" s="451">
        <v>0</v>
      </c>
      <c r="BO100" s="451">
        <v>120382.04</v>
      </c>
      <c r="BP100" s="451">
        <v>0</v>
      </c>
      <c r="BQ100" s="451">
        <v>0</v>
      </c>
      <c r="BR100" s="451">
        <v>0</v>
      </c>
      <c r="BS100" s="451">
        <v>0</v>
      </c>
      <c r="BT100" s="451">
        <v>0</v>
      </c>
      <c r="BU100" s="451">
        <v>143008</v>
      </c>
      <c r="BV100" s="451">
        <v>114407</v>
      </c>
      <c r="BW100" s="451">
        <v>28602</v>
      </c>
      <c r="BX100" s="451">
        <v>0</v>
      </c>
      <c r="BY100" s="451">
        <v>286017</v>
      </c>
      <c r="BZ100" s="451">
        <v>143008</v>
      </c>
      <c r="CA100" s="451">
        <v>114407</v>
      </c>
      <c r="CB100" s="451">
        <v>28602</v>
      </c>
      <c r="CC100" s="451">
        <v>0</v>
      </c>
      <c r="CD100" s="451">
        <v>286017</v>
      </c>
      <c r="CE100" s="104"/>
      <c r="CF100" s="104"/>
      <c r="CG100" s="104"/>
    </row>
    <row r="101" spans="1:85" ht="12.75" x14ac:dyDescent="0.2">
      <c r="A101" s="446">
        <v>94</v>
      </c>
      <c r="B101" s="447" t="s">
        <v>71</v>
      </c>
      <c r="C101" s="448" t="s">
        <v>1093</v>
      </c>
      <c r="D101" s="449" t="s">
        <v>1094</v>
      </c>
      <c r="E101" s="450" t="s">
        <v>70</v>
      </c>
      <c r="F101" s="451">
        <v>25979426</v>
      </c>
      <c r="G101" s="451">
        <v>20783541</v>
      </c>
      <c r="H101" s="451">
        <v>5195885</v>
      </c>
      <c r="I101" s="451">
        <v>0</v>
      </c>
      <c r="J101" s="451">
        <v>51958852</v>
      </c>
      <c r="K101" s="451">
        <v>0</v>
      </c>
      <c r="L101" s="451">
        <v>0</v>
      </c>
      <c r="M101" s="451">
        <v>25979426</v>
      </c>
      <c r="N101" s="451">
        <v>51958852</v>
      </c>
      <c r="O101" s="451">
        <v>183258</v>
      </c>
      <c r="P101" s="451">
        <v>183258</v>
      </c>
      <c r="Q101" s="451">
        <v>0</v>
      </c>
      <c r="R101" s="451">
        <v>0</v>
      </c>
      <c r="S101" s="451">
        <v>0</v>
      </c>
      <c r="T101" s="451">
        <v>0</v>
      </c>
      <c r="U101" s="451">
        <v>0</v>
      </c>
      <c r="V101" s="451">
        <v>0</v>
      </c>
      <c r="W101" s="451">
        <v>0</v>
      </c>
      <c r="X101" s="451">
        <v>0</v>
      </c>
      <c r="Y101" s="451">
        <v>0</v>
      </c>
      <c r="Z101" s="451">
        <v>0</v>
      </c>
      <c r="AA101" s="451">
        <v>0</v>
      </c>
      <c r="AB101" s="451">
        <v>513512</v>
      </c>
      <c r="AC101" s="451">
        <v>410810</v>
      </c>
      <c r="AD101" s="451">
        <v>102703</v>
      </c>
      <c r="AE101" s="451">
        <v>0</v>
      </c>
      <c r="AF101" s="451">
        <v>1027025</v>
      </c>
      <c r="AG101" s="451">
        <v>303297</v>
      </c>
      <c r="AH101" s="451">
        <v>242637</v>
      </c>
      <c r="AI101" s="451">
        <v>60659</v>
      </c>
      <c r="AJ101" s="451">
        <v>0</v>
      </c>
      <c r="AK101" s="451">
        <v>606593</v>
      </c>
      <c r="AL101" s="451">
        <v>204000</v>
      </c>
      <c r="AM101" s="451">
        <v>163200</v>
      </c>
      <c r="AN101" s="451">
        <v>40800</v>
      </c>
      <c r="AO101" s="451">
        <v>0</v>
      </c>
      <c r="AP101" s="451">
        <v>408000</v>
      </c>
      <c r="AQ101" s="451">
        <v>49500</v>
      </c>
      <c r="AR101" s="451">
        <v>39600</v>
      </c>
      <c r="AS101" s="451">
        <v>9900</v>
      </c>
      <c r="AT101" s="451">
        <v>0</v>
      </c>
      <c r="AU101" s="451">
        <v>99000</v>
      </c>
      <c r="AV101" s="451">
        <v>253500</v>
      </c>
      <c r="AW101" s="451">
        <v>202800</v>
      </c>
      <c r="AX101" s="451">
        <v>50700</v>
      </c>
      <c r="AY101" s="451">
        <v>0</v>
      </c>
      <c r="AZ101" s="451">
        <v>507000</v>
      </c>
      <c r="BA101" s="451">
        <v>0</v>
      </c>
      <c r="BB101" s="451">
        <v>0</v>
      </c>
      <c r="BC101" s="451">
        <v>0</v>
      </c>
      <c r="BD101" s="451">
        <v>0</v>
      </c>
      <c r="BE101" s="451">
        <v>0</v>
      </c>
      <c r="BF101" s="451">
        <v>124010</v>
      </c>
      <c r="BG101" s="451">
        <v>99208</v>
      </c>
      <c r="BH101" s="451">
        <v>24802</v>
      </c>
      <c r="BI101" s="451">
        <v>0</v>
      </c>
      <c r="BJ101" s="451">
        <v>248020</v>
      </c>
      <c r="BK101" s="451">
        <v>124010</v>
      </c>
      <c r="BL101" s="451">
        <v>99208</v>
      </c>
      <c r="BM101" s="451">
        <v>24802</v>
      </c>
      <c r="BN101" s="451">
        <v>0</v>
      </c>
      <c r="BO101" s="451">
        <v>248020</v>
      </c>
      <c r="BP101" s="451">
        <v>0</v>
      </c>
      <c r="BQ101" s="451">
        <v>0</v>
      </c>
      <c r="BR101" s="451">
        <v>0</v>
      </c>
      <c r="BS101" s="451">
        <v>0</v>
      </c>
      <c r="BT101" s="451">
        <v>0</v>
      </c>
      <c r="BU101" s="451">
        <v>410078</v>
      </c>
      <c r="BV101" s="451">
        <v>328062</v>
      </c>
      <c r="BW101" s="451">
        <v>82016</v>
      </c>
      <c r="BX101" s="451">
        <v>0</v>
      </c>
      <c r="BY101" s="451">
        <v>820156</v>
      </c>
      <c r="BZ101" s="451">
        <v>410078</v>
      </c>
      <c r="CA101" s="451">
        <v>328062</v>
      </c>
      <c r="CB101" s="451">
        <v>82016</v>
      </c>
      <c r="CC101" s="451">
        <v>0</v>
      </c>
      <c r="CD101" s="451">
        <v>820156</v>
      </c>
      <c r="CE101" s="104"/>
      <c r="CF101" s="104"/>
      <c r="CG101" s="104"/>
    </row>
    <row r="102" spans="1:85" ht="12.75" x14ac:dyDescent="0.2">
      <c r="A102" s="446">
        <v>95</v>
      </c>
      <c r="B102" s="447" t="s">
        <v>73</v>
      </c>
      <c r="C102" s="448" t="s">
        <v>1098</v>
      </c>
      <c r="D102" s="449" t="s">
        <v>1099</v>
      </c>
      <c r="E102" s="450" t="s">
        <v>72</v>
      </c>
      <c r="F102" s="451">
        <v>51544309</v>
      </c>
      <c r="G102" s="451">
        <v>30926586</v>
      </c>
      <c r="H102" s="451">
        <v>20617724</v>
      </c>
      <c r="I102" s="451">
        <v>0</v>
      </c>
      <c r="J102" s="451">
        <v>103088619</v>
      </c>
      <c r="K102" s="451">
        <v>0</v>
      </c>
      <c r="L102" s="451">
        <v>0</v>
      </c>
      <c r="M102" s="451">
        <v>51544309</v>
      </c>
      <c r="N102" s="451">
        <v>103088619</v>
      </c>
      <c r="O102" s="451">
        <v>350511</v>
      </c>
      <c r="P102" s="451">
        <v>350511</v>
      </c>
      <c r="Q102" s="451">
        <v>0</v>
      </c>
      <c r="R102" s="451">
        <v>0</v>
      </c>
      <c r="S102" s="451">
        <v>0</v>
      </c>
      <c r="T102" s="451">
        <v>0</v>
      </c>
      <c r="U102" s="451">
        <v>0</v>
      </c>
      <c r="V102" s="451">
        <v>0</v>
      </c>
      <c r="W102" s="451">
        <v>0</v>
      </c>
      <c r="X102" s="451">
        <v>0</v>
      </c>
      <c r="Y102" s="451">
        <v>0</v>
      </c>
      <c r="Z102" s="451">
        <v>0</v>
      </c>
      <c r="AA102" s="451">
        <v>0</v>
      </c>
      <c r="AB102" s="451">
        <v>5175677.4000000004</v>
      </c>
      <c r="AC102" s="451">
        <v>3105407</v>
      </c>
      <c r="AD102" s="451">
        <v>2070271</v>
      </c>
      <c r="AE102" s="451">
        <v>0</v>
      </c>
      <c r="AF102" s="451">
        <v>10351355.4</v>
      </c>
      <c r="AG102" s="451">
        <v>791585.61</v>
      </c>
      <c r="AH102" s="451">
        <v>474952</v>
      </c>
      <c r="AI102" s="451">
        <v>316635</v>
      </c>
      <c r="AJ102" s="451">
        <v>0</v>
      </c>
      <c r="AK102" s="451">
        <v>1583172.61</v>
      </c>
      <c r="AL102" s="451">
        <v>2904584</v>
      </c>
      <c r="AM102" s="451">
        <v>1742750</v>
      </c>
      <c r="AN102" s="451">
        <v>1161834</v>
      </c>
      <c r="AO102" s="451">
        <v>0</v>
      </c>
      <c r="AP102" s="451">
        <v>5809168</v>
      </c>
      <c r="AQ102" s="451">
        <v>549932</v>
      </c>
      <c r="AR102" s="451">
        <v>329959</v>
      </c>
      <c r="AS102" s="451">
        <v>219973</v>
      </c>
      <c r="AT102" s="451">
        <v>0</v>
      </c>
      <c r="AU102" s="451">
        <v>1099864</v>
      </c>
      <c r="AV102" s="451">
        <v>3454516</v>
      </c>
      <c r="AW102" s="451">
        <v>2072709</v>
      </c>
      <c r="AX102" s="451">
        <v>1381807</v>
      </c>
      <c r="AY102" s="451">
        <v>0</v>
      </c>
      <c r="AZ102" s="451">
        <v>6909032</v>
      </c>
      <c r="BA102" s="451">
        <v>0</v>
      </c>
      <c r="BB102" s="451">
        <v>0</v>
      </c>
      <c r="BC102" s="451">
        <v>0</v>
      </c>
      <c r="BD102" s="451">
        <v>0</v>
      </c>
      <c r="BE102" s="451">
        <v>0</v>
      </c>
      <c r="BF102" s="451">
        <v>202234.25</v>
      </c>
      <c r="BG102" s="451">
        <v>121340</v>
      </c>
      <c r="BH102" s="451">
        <v>80894</v>
      </c>
      <c r="BI102" s="451">
        <v>0</v>
      </c>
      <c r="BJ102" s="451">
        <v>404468.25</v>
      </c>
      <c r="BK102" s="451">
        <v>202234.25</v>
      </c>
      <c r="BL102" s="451">
        <v>121340</v>
      </c>
      <c r="BM102" s="451">
        <v>80894</v>
      </c>
      <c r="BN102" s="451">
        <v>0</v>
      </c>
      <c r="BO102" s="451">
        <v>404468.25</v>
      </c>
      <c r="BP102" s="451">
        <v>0</v>
      </c>
      <c r="BQ102" s="451">
        <v>0</v>
      </c>
      <c r="BR102" s="451">
        <v>0</v>
      </c>
      <c r="BS102" s="451">
        <v>0</v>
      </c>
      <c r="BT102" s="451">
        <v>0</v>
      </c>
      <c r="BU102" s="451">
        <v>1006378.29</v>
      </c>
      <c r="BV102" s="451">
        <v>603827</v>
      </c>
      <c r="BW102" s="451">
        <v>402551</v>
      </c>
      <c r="BX102" s="451">
        <v>0</v>
      </c>
      <c r="BY102" s="451">
        <v>2012756.29</v>
      </c>
      <c r="BZ102" s="451">
        <v>1006378.29</v>
      </c>
      <c r="CA102" s="451">
        <v>603827</v>
      </c>
      <c r="CB102" s="451">
        <v>402551</v>
      </c>
      <c r="CC102" s="451">
        <v>0</v>
      </c>
      <c r="CD102" s="451">
        <v>2012756.29</v>
      </c>
      <c r="CE102" s="104"/>
      <c r="CF102" s="104"/>
      <c r="CG102" s="104"/>
    </row>
    <row r="103" spans="1:85" ht="12.75" x14ac:dyDescent="0.2">
      <c r="A103" s="446">
        <v>96</v>
      </c>
      <c r="B103" s="447" t="s">
        <v>75</v>
      </c>
      <c r="C103" s="448" t="s">
        <v>1093</v>
      </c>
      <c r="D103" s="449" t="s">
        <v>1097</v>
      </c>
      <c r="E103" s="450" t="s">
        <v>74</v>
      </c>
      <c r="F103" s="451">
        <v>15456179</v>
      </c>
      <c r="G103" s="451">
        <v>12364944</v>
      </c>
      <c r="H103" s="451">
        <v>2782112</v>
      </c>
      <c r="I103" s="451">
        <v>309124</v>
      </c>
      <c r="J103" s="451">
        <v>30912359</v>
      </c>
      <c r="K103" s="451">
        <v>0</v>
      </c>
      <c r="L103" s="451">
        <v>0</v>
      </c>
      <c r="M103" s="451">
        <v>15456179</v>
      </c>
      <c r="N103" s="451">
        <v>30912359</v>
      </c>
      <c r="O103" s="451">
        <v>171117</v>
      </c>
      <c r="P103" s="451">
        <v>171117</v>
      </c>
      <c r="Q103" s="451">
        <v>0</v>
      </c>
      <c r="R103" s="451">
        <v>0</v>
      </c>
      <c r="S103" s="451">
        <v>0</v>
      </c>
      <c r="T103" s="451">
        <v>0</v>
      </c>
      <c r="U103" s="451">
        <v>0</v>
      </c>
      <c r="V103" s="451">
        <v>0</v>
      </c>
      <c r="W103" s="451">
        <v>0</v>
      </c>
      <c r="X103" s="451">
        <v>0</v>
      </c>
      <c r="Y103" s="451">
        <v>0</v>
      </c>
      <c r="Z103" s="451">
        <v>0</v>
      </c>
      <c r="AA103" s="451">
        <v>0</v>
      </c>
      <c r="AB103" s="451">
        <v>556230.39</v>
      </c>
      <c r="AC103" s="451">
        <v>444985</v>
      </c>
      <c r="AD103" s="451">
        <v>100122</v>
      </c>
      <c r="AE103" s="451">
        <v>11125</v>
      </c>
      <c r="AF103" s="451">
        <v>1112462.3899999999</v>
      </c>
      <c r="AG103" s="451">
        <v>170212.19</v>
      </c>
      <c r="AH103" s="451">
        <v>136169</v>
      </c>
      <c r="AI103" s="451">
        <v>30638</v>
      </c>
      <c r="AJ103" s="451">
        <v>3404</v>
      </c>
      <c r="AK103" s="451">
        <v>340423.19</v>
      </c>
      <c r="AL103" s="451">
        <v>267739</v>
      </c>
      <c r="AM103" s="451">
        <v>214192</v>
      </c>
      <c r="AN103" s="451">
        <v>48193</v>
      </c>
      <c r="AO103" s="451">
        <v>5355</v>
      </c>
      <c r="AP103" s="451">
        <v>535479</v>
      </c>
      <c r="AQ103" s="451">
        <v>-15080</v>
      </c>
      <c r="AR103" s="451">
        <v>-12064</v>
      </c>
      <c r="AS103" s="451">
        <v>-2714</v>
      </c>
      <c r="AT103" s="451">
        <v>-302</v>
      </c>
      <c r="AU103" s="451">
        <v>-30160</v>
      </c>
      <c r="AV103" s="451">
        <v>252659</v>
      </c>
      <c r="AW103" s="451">
        <v>202128</v>
      </c>
      <c r="AX103" s="451">
        <v>45479</v>
      </c>
      <c r="AY103" s="451">
        <v>5053</v>
      </c>
      <c r="AZ103" s="451">
        <v>505319</v>
      </c>
      <c r="BA103" s="451">
        <v>0</v>
      </c>
      <c r="BB103" s="451">
        <v>0</v>
      </c>
      <c r="BC103" s="451">
        <v>0</v>
      </c>
      <c r="BD103" s="451">
        <v>0</v>
      </c>
      <c r="BE103" s="451">
        <v>0</v>
      </c>
      <c r="BF103" s="451">
        <v>200717</v>
      </c>
      <c r="BG103" s="451">
        <v>160574</v>
      </c>
      <c r="BH103" s="451">
        <v>36129</v>
      </c>
      <c r="BI103" s="451">
        <v>4014</v>
      </c>
      <c r="BJ103" s="451">
        <v>401434</v>
      </c>
      <c r="BK103" s="451">
        <v>200717</v>
      </c>
      <c r="BL103" s="451">
        <v>160574</v>
      </c>
      <c r="BM103" s="451">
        <v>36129</v>
      </c>
      <c r="BN103" s="451">
        <v>4014</v>
      </c>
      <c r="BO103" s="451">
        <v>401434</v>
      </c>
      <c r="BP103" s="451">
        <v>0</v>
      </c>
      <c r="BQ103" s="451">
        <v>0</v>
      </c>
      <c r="BR103" s="451">
        <v>0</v>
      </c>
      <c r="BS103" s="451">
        <v>0</v>
      </c>
      <c r="BT103" s="451">
        <v>0</v>
      </c>
      <c r="BU103" s="451">
        <v>542316</v>
      </c>
      <c r="BV103" s="451">
        <v>433853</v>
      </c>
      <c r="BW103" s="451">
        <v>97617</v>
      </c>
      <c r="BX103" s="451">
        <v>10846</v>
      </c>
      <c r="BY103" s="451">
        <v>1084632</v>
      </c>
      <c r="BZ103" s="451">
        <v>542316</v>
      </c>
      <c r="CA103" s="451">
        <v>433853</v>
      </c>
      <c r="CB103" s="451">
        <v>97617</v>
      </c>
      <c r="CC103" s="451">
        <v>10846</v>
      </c>
      <c r="CD103" s="451">
        <v>1084632</v>
      </c>
      <c r="CE103" s="104"/>
      <c r="CF103" s="104"/>
      <c r="CG103" s="104"/>
    </row>
    <row r="104" spans="1:85" ht="12.75" x14ac:dyDescent="0.2">
      <c r="A104" s="446">
        <v>97</v>
      </c>
      <c r="B104" s="447" t="s">
        <v>77</v>
      </c>
      <c r="C104" s="448" t="s">
        <v>1093</v>
      </c>
      <c r="D104" s="449" t="s">
        <v>1094</v>
      </c>
      <c r="E104" s="450" t="s">
        <v>1112</v>
      </c>
      <c r="F104" s="451">
        <v>10661206</v>
      </c>
      <c r="G104" s="451">
        <v>8528965</v>
      </c>
      <c r="H104" s="451">
        <v>2132241</v>
      </c>
      <c r="I104" s="451">
        <v>0</v>
      </c>
      <c r="J104" s="451">
        <v>21322412</v>
      </c>
      <c r="K104" s="451">
        <v>0</v>
      </c>
      <c r="L104" s="451">
        <v>0</v>
      </c>
      <c r="M104" s="451">
        <v>10661206</v>
      </c>
      <c r="N104" s="451">
        <v>21322412</v>
      </c>
      <c r="O104" s="451">
        <v>87849</v>
      </c>
      <c r="P104" s="451">
        <v>87849</v>
      </c>
      <c r="Q104" s="451">
        <v>0</v>
      </c>
      <c r="R104" s="451">
        <v>0</v>
      </c>
      <c r="S104" s="451">
        <v>0</v>
      </c>
      <c r="T104" s="451">
        <v>0</v>
      </c>
      <c r="U104" s="451">
        <v>0</v>
      </c>
      <c r="V104" s="451">
        <v>0</v>
      </c>
      <c r="W104" s="451">
        <v>0</v>
      </c>
      <c r="X104" s="451">
        <v>0</v>
      </c>
      <c r="Y104" s="451">
        <v>0</v>
      </c>
      <c r="Z104" s="451">
        <v>0</v>
      </c>
      <c r="AA104" s="451">
        <v>0</v>
      </c>
      <c r="AB104" s="451">
        <v>175469</v>
      </c>
      <c r="AC104" s="451">
        <v>140375</v>
      </c>
      <c r="AD104" s="451">
        <v>35094</v>
      </c>
      <c r="AE104" s="451">
        <v>0</v>
      </c>
      <c r="AF104" s="451">
        <v>350938</v>
      </c>
      <c r="AG104" s="451">
        <v>49318</v>
      </c>
      <c r="AH104" s="451">
        <v>39455</v>
      </c>
      <c r="AI104" s="451">
        <v>9864</v>
      </c>
      <c r="AJ104" s="451">
        <v>0</v>
      </c>
      <c r="AK104" s="451">
        <v>98637</v>
      </c>
      <c r="AL104" s="451">
        <v>90265</v>
      </c>
      <c r="AM104" s="451">
        <v>72212</v>
      </c>
      <c r="AN104" s="451">
        <v>18053</v>
      </c>
      <c r="AO104" s="451">
        <v>0</v>
      </c>
      <c r="AP104" s="451">
        <v>180530</v>
      </c>
      <c r="AQ104" s="451">
        <v>-45882</v>
      </c>
      <c r="AR104" s="451">
        <v>-36705</v>
      </c>
      <c r="AS104" s="451">
        <v>-9176</v>
      </c>
      <c r="AT104" s="451">
        <v>0</v>
      </c>
      <c r="AU104" s="451">
        <v>-91763</v>
      </c>
      <c r="AV104" s="451">
        <v>44383</v>
      </c>
      <c r="AW104" s="451">
        <v>35507</v>
      </c>
      <c r="AX104" s="451">
        <v>8877</v>
      </c>
      <c r="AY104" s="451">
        <v>0</v>
      </c>
      <c r="AZ104" s="451">
        <v>88767</v>
      </c>
      <c r="BA104" s="451">
        <v>0</v>
      </c>
      <c r="BB104" s="451">
        <v>0</v>
      </c>
      <c r="BC104" s="451">
        <v>0</v>
      </c>
      <c r="BD104" s="451">
        <v>0</v>
      </c>
      <c r="BE104" s="451">
        <v>0</v>
      </c>
      <c r="BF104" s="451">
        <v>131656</v>
      </c>
      <c r="BG104" s="451">
        <v>105324</v>
      </c>
      <c r="BH104" s="451">
        <v>26331</v>
      </c>
      <c r="BI104" s="451">
        <v>0</v>
      </c>
      <c r="BJ104" s="451">
        <v>263311</v>
      </c>
      <c r="BK104" s="451">
        <v>131656</v>
      </c>
      <c r="BL104" s="451">
        <v>105324</v>
      </c>
      <c r="BM104" s="451">
        <v>26331</v>
      </c>
      <c r="BN104" s="451">
        <v>0</v>
      </c>
      <c r="BO104" s="451">
        <v>263311</v>
      </c>
      <c r="BP104" s="451">
        <v>0</v>
      </c>
      <c r="BQ104" s="451">
        <v>0</v>
      </c>
      <c r="BR104" s="451">
        <v>0</v>
      </c>
      <c r="BS104" s="451">
        <v>0</v>
      </c>
      <c r="BT104" s="451">
        <v>0</v>
      </c>
      <c r="BU104" s="451">
        <v>526622</v>
      </c>
      <c r="BV104" s="451">
        <v>421298</v>
      </c>
      <c r="BW104" s="451">
        <v>105325</v>
      </c>
      <c r="BX104" s="451">
        <v>0</v>
      </c>
      <c r="BY104" s="451">
        <v>1053245</v>
      </c>
      <c r="BZ104" s="451">
        <v>526622</v>
      </c>
      <c r="CA104" s="451">
        <v>421298</v>
      </c>
      <c r="CB104" s="451">
        <v>105325</v>
      </c>
      <c r="CC104" s="451">
        <v>0</v>
      </c>
      <c r="CD104" s="451">
        <v>1053245</v>
      </c>
      <c r="CE104" s="104"/>
      <c r="CF104" s="104"/>
      <c r="CG104" s="104"/>
    </row>
    <row r="105" spans="1:85" ht="12.75" x14ac:dyDescent="0.2">
      <c r="A105" s="446">
        <v>98</v>
      </c>
      <c r="B105" s="447" t="s">
        <v>79</v>
      </c>
      <c r="C105" s="448" t="s">
        <v>1093</v>
      </c>
      <c r="D105" s="449" t="s">
        <v>1096</v>
      </c>
      <c r="E105" s="450" t="s">
        <v>78</v>
      </c>
      <c r="F105" s="451">
        <v>11734589</v>
      </c>
      <c r="G105" s="451">
        <v>9387671</v>
      </c>
      <c r="H105" s="451">
        <v>2112226</v>
      </c>
      <c r="I105" s="451">
        <v>234692</v>
      </c>
      <c r="J105" s="451">
        <v>23469178</v>
      </c>
      <c r="K105" s="451">
        <v>0</v>
      </c>
      <c r="L105" s="451">
        <v>0</v>
      </c>
      <c r="M105" s="451">
        <v>11734589</v>
      </c>
      <c r="N105" s="451">
        <v>23469178</v>
      </c>
      <c r="O105" s="451">
        <v>143569</v>
      </c>
      <c r="P105" s="451">
        <v>143569</v>
      </c>
      <c r="Q105" s="451">
        <v>0</v>
      </c>
      <c r="R105" s="451">
        <v>0</v>
      </c>
      <c r="S105" s="451">
        <v>0</v>
      </c>
      <c r="T105" s="451">
        <v>0</v>
      </c>
      <c r="U105" s="451">
        <v>0</v>
      </c>
      <c r="V105" s="451">
        <v>0</v>
      </c>
      <c r="W105" s="451">
        <v>0</v>
      </c>
      <c r="X105" s="451">
        <v>0</v>
      </c>
      <c r="Y105" s="451">
        <v>0</v>
      </c>
      <c r="Z105" s="451">
        <v>0</v>
      </c>
      <c r="AA105" s="451">
        <v>0</v>
      </c>
      <c r="AB105" s="451">
        <v>599667.91</v>
      </c>
      <c r="AC105" s="451">
        <v>479734</v>
      </c>
      <c r="AD105" s="451">
        <v>107940</v>
      </c>
      <c r="AE105" s="451">
        <v>11993</v>
      </c>
      <c r="AF105" s="451">
        <v>1199334.9099999999</v>
      </c>
      <c r="AG105" s="451">
        <v>507405.64</v>
      </c>
      <c r="AH105" s="451">
        <v>405925</v>
      </c>
      <c r="AI105" s="451">
        <v>91333</v>
      </c>
      <c r="AJ105" s="451">
        <v>10148</v>
      </c>
      <c r="AK105" s="451">
        <v>1014811.64</v>
      </c>
      <c r="AL105" s="451">
        <v>235000</v>
      </c>
      <c r="AM105" s="451">
        <v>188000</v>
      </c>
      <c r="AN105" s="451">
        <v>42300</v>
      </c>
      <c r="AO105" s="451">
        <v>4700</v>
      </c>
      <c r="AP105" s="451">
        <v>470000</v>
      </c>
      <c r="AQ105" s="451">
        <v>27000</v>
      </c>
      <c r="AR105" s="451">
        <v>21600</v>
      </c>
      <c r="AS105" s="451">
        <v>4860</v>
      </c>
      <c r="AT105" s="451">
        <v>540</v>
      </c>
      <c r="AU105" s="451">
        <v>54000</v>
      </c>
      <c r="AV105" s="451">
        <v>262000</v>
      </c>
      <c r="AW105" s="451">
        <v>209600</v>
      </c>
      <c r="AX105" s="451">
        <v>47160</v>
      </c>
      <c r="AY105" s="451">
        <v>5240</v>
      </c>
      <c r="AZ105" s="451">
        <v>524000</v>
      </c>
      <c r="BA105" s="451">
        <v>0</v>
      </c>
      <c r="BB105" s="451">
        <v>0</v>
      </c>
      <c r="BC105" s="451">
        <v>0</v>
      </c>
      <c r="BD105" s="451">
        <v>0</v>
      </c>
      <c r="BE105" s="451">
        <v>0</v>
      </c>
      <c r="BF105" s="451">
        <v>55000</v>
      </c>
      <c r="BG105" s="451">
        <v>44000</v>
      </c>
      <c r="BH105" s="451">
        <v>9900</v>
      </c>
      <c r="BI105" s="451">
        <v>1100</v>
      </c>
      <c r="BJ105" s="451">
        <v>110000</v>
      </c>
      <c r="BK105" s="451">
        <v>55000</v>
      </c>
      <c r="BL105" s="451">
        <v>44000</v>
      </c>
      <c r="BM105" s="451">
        <v>9900</v>
      </c>
      <c r="BN105" s="451">
        <v>1100</v>
      </c>
      <c r="BO105" s="451">
        <v>110000</v>
      </c>
      <c r="BP105" s="451">
        <v>0</v>
      </c>
      <c r="BQ105" s="451">
        <v>0</v>
      </c>
      <c r="BR105" s="451">
        <v>0</v>
      </c>
      <c r="BS105" s="451">
        <v>0</v>
      </c>
      <c r="BT105" s="451">
        <v>0</v>
      </c>
      <c r="BU105" s="451">
        <v>152500</v>
      </c>
      <c r="BV105" s="451">
        <v>122000</v>
      </c>
      <c r="BW105" s="451">
        <v>27450</v>
      </c>
      <c r="BX105" s="451">
        <v>3050</v>
      </c>
      <c r="BY105" s="451">
        <v>305000</v>
      </c>
      <c r="BZ105" s="451">
        <v>152500</v>
      </c>
      <c r="CA105" s="451">
        <v>122000</v>
      </c>
      <c r="CB105" s="451">
        <v>27450</v>
      </c>
      <c r="CC105" s="451">
        <v>3050</v>
      </c>
      <c r="CD105" s="451">
        <v>305000</v>
      </c>
      <c r="CE105" s="104"/>
      <c r="CF105" s="104"/>
      <c r="CG105" s="104"/>
    </row>
    <row r="106" spans="1:85" ht="12.75" x14ac:dyDescent="0.2">
      <c r="A106" s="446">
        <v>99</v>
      </c>
      <c r="B106" s="447" t="s">
        <v>81</v>
      </c>
      <c r="C106" s="448" t="s">
        <v>1093</v>
      </c>
      <c r="D106" s="449" t="s">
        <v>1102</v>
      </c>
      <c r="E106" s="450" t="s">
        <v>80</v>
      </c>
      <c r="F106" s="451">
        <v>35643320</v>
      </c>
      <c r="G106" s="451">
        <v>28514656</v>
      </c>
      <c r="H106" s="451">
        <v>6415798</v>
      </c>
      <c r="I106" s="451">
        <v>712866</v>
      </c>
      <c r="J106" s="451">
        <v>71286640</v>
      </c>
      <c r="K106" s="451">
        <v>0</v>
      </c>
      <c r="L106" s="451">
        <v>0</v>
      </c>
      <c r="M106" s="451">
        <v>35643320</v>
      </c>
      <c r="N106" s="451">
        <v>71286640</v>
      </c>
      <c r="O106" s="451">
        <v>224450</v>
      </c>
      <c r="P106" s="451">
        <v>224450</v>
      </c>
      <c r="Q106" s="451">
        <v>0</v>
      </c>
      <c r="R106" s="451">
        <v>0</v>
      </c>
      <c r="S106" s="451">
        <v>0</v>
      </c>
      <c r="T106" s="451">
        <v>0</v>
      </c>
      <c r="U106" s="451">
        <v>0</v>
      </c>
      <c r="V106" s="451">
        <v>0</v>
      </c>
      <c r="W106" s="451">
        <v>0</v>
      </c>
      <c r="X106" s="451">
        <v>0</v>
      </c>
      <c r="Y106" s="451">
        <v>0</v>
      </c>
      <c r="Z106" s="451">
        <v>0</v>
      </c>
      <c r="AA106" s="451">
        <v>0</v>
      </c>
      <c r="AB106" s="451">
        <v>725601</v>
      </c>
      <c r="AC106" s="451">
        <v>580480</v>
      </c>
      <c r="AD106" s="451">
        <v>130608</v>
      </c>
      <c r="AE106" s="451">
        <v>14512</v>
      </c>
      <c r="AF106" s="451">
        <v>1451201</v>
      </c>
      <c r="AG106" s="451">
        <v>587436.91</v>
      </c>
      <c r="AH106" s="451">
        <v>469950</v>
      </c>
      <c r="AI106" s="451">
        <v>105739</v>
      </c>
      <c r="AJ106" s="451">
        <v>11749</v>
      </c>
      <c r="AK106" s="451">
        <v>1174874.9099999999</v>
      </c>
      <c r="AL106" s="451">
        <v>0</v>
      </c>
      <c r="AM106" s="451">
        <v>0</v>
      </c>
      <c r="AN106" s="451">
        <v>0</v>
      </c>
      <c r="AO106" s="451">
        <v>0</v>
      </c>
      <c r="AP106" s="451">
        <v>0</v>
      </c>
      <c r="AQ106" s="451">
        <v>15000</v>
      </c>
      <c r="AR106" s="451">
        <v>12000</v>
      </c>
      <c r="AS106" s="451">
        <v>2700</v>
      </c>
      <c r="AT106" s="451">
        <v>300</v>
      </c>
      <c r="AU106" s="451">
        <v>30000</v>
      </c>
      <c r="AV106" s="451">
        <v>15000</v>
      </c>
      <c r="AW106" s="451">
        <v>12000</v>
      </c>
      <c r="AX106" s="451">
        <v>2700</v>
      </c>
      <c r="AY106" s="451">
        <v>300</v>
      </c>
      <c r="AZ106" s="451">
        <v>30000</v>
      </c>
      <c r="BA106" s="451">
        <v>0</v>
      </c>
      <c r="BB106" s="451">
        <v>0</v>
      </c>
      <c r="BC106" s="451">
        <v>0</v>
      </c>
      <c r="BD106" s="451">
        <v>0</v>
      </c>
      <c r="BE106" s="451">
        <v>0</v>
      </c>
      <c r="BF106" s="451">
        <v>431938</v>
      </c>
      <c r="BG106" s="451">
        <v>345550</v>
      </c>
      <c r="BH106" s="451">
        <v>77749</v>
      </c>
      <c r="BI106" s="451">
        <v>8639</v>
      </c>
      <c r="BJ106" s="451">
        <v>863876</v>
      </c>
      <c r="BK106" s="451">
        <v>431938</v>
      </c>
      <c r="BL106" s="451">
        <v>345550</v>
      </c>
      <c r="BM106" s="451">
        <v>77749</v>
      </c>
      <c r="BN106" s="451">
        <v>8639</v>
      </c>
      <c r="BO106" s="451">
        <v>863876</v>
      </c>
      <c r="BP106" s="451">
        <v>0</v>
      </c>
      <c r="BQ106" s="451">
        <v>0</v>
      </c>
      <c r="BR106" s="451">
        <v>0</v>
      </c>
      <c r="BS106" s="451">
        <v>0</v>
      </c>
      <c r="BT106" s="451">
        <v>0</v>
      </c>
      <c r="BU106" s="451">
        <v>1407721</v>
      </c>
      <c r="BV106" s="451">
        <v>1126176</v>
      </c>
      <c r="BW106" s="451">
        <v>253390</v>
      </c>
      <c r="BX106" s="451">
        <v>28154</v>
      </c>
      <c r="BY106" s="451">
        <v>2815441</v>
      </c>
      <c r="BZ106" s="451">
        <v>1407721</v>
      </c>
      <c r="CA106" s="451">
        <v>1126176</v>
      </c>
      <c r="CB106" s="451">
        <v>253390</v>
      </c>
      <c r="CC106" s="451">
        <v>28154</v>
      </c>
      <c r="CD106" s="451">
        <v>2815441</v>
      </c>
      <c r="CE106" s="104"/>
      <c r="CF106" s="104"/>
      <c r="CG106" s="104"/>
    </row>
    <row r="107" spans="1:85" ht="12.75" x14ac:dyDescent="0.2">
      <c r="A107" s="446">
        <v>100</v>
      </c>
      <c r="B107" s="447" t="s">
        <v>83</v>
      </c>
      <c r="C107" s="448" t="s">
        <v>1093</v>
      </c>
      <c r="D107" s="449" t="s">
        <v>1094</v>
      </c>
      <c r="E107" s="450" t="s">
        <v>82</v>
      </c>
      <c r="F107" s="451">
        <v>18157464</v>
      </c>
      <c r="G107" s="451">
        <v>14525970</v>
      </c>
      <c r="H107" s="451">
        <v>3268343</v>
      </c>
      <c r="I107" s="451">
        <v>363149</v>
      </c>
      <c r="J107" s="451">
        <v>36314926</v>
      </c>
      <c r="K107" s="451">
        <v>86293</v>
      </c>
      <c r="L107" s="451">
        <v>86293</v>
      </c>
      <c r="M107" s="451">
        <v>18071171</v>
      </c>
      <c r="N107" s="451">
        <v>36228633</v>
      </c>
      <c r="O107" s="451">
        <v>142973</v>
      </c>
      <c r="P107" s="451">
        <v>142973</v>
      </c>
      <c r="Q107" s="451">
        <v>0</v>
      </c>
      <c r="R107" s="451">
        <v>0</v>
      </c>
      <c r="S107" s="451">
        <v>0</v>
      </c>
      <c r="T107" s="451">
        <v>0</v>
      </c>
      <c r="U107" s="451">
        <v>0</v>
      </c>
      <c r="V107" s="451">
        <v>0</v>
      </c>
      <c r="W107" s="451">
        <v>0</v>
      </c>
      <c r="X107" s="451">
        <v>86293</v>
      </c>
      <c r="Y107" s="451">
        <v>0</v>
      </c>
      <c r="Z107" s="451">
        <v>0</v>
      </c>
      <c r="AA107" s="451">
        <v>86293</v>
      </c>
      <c r="AB107" s="451">
        <v>395461.1</v>
      </c>
      <c r="AC107" s="451">
        <v>316369</v>
      </c>
      <c r="AD107" s="451">
        <v>71183</v>
      </c>
      <c r="AE107" s="451">
        <v>7909</v>
      </c>
      <c r="AF107" s="451">
        <v>790922.1</v>
      </c>
      <c r="AG107" s="451">
        <v>184352</v>
      </c>
      <c r="AH107" s="451">
        <v>147482</v>
      </c>
      <c r="AI107" s="451">
        <v>33183</v>
      </c>
      <c r="AJ107" s="451">
        <v>3687</v>
      </c>
      <c r="AK107" s="451">
        <v>368704</v>
      </c>
      <c r="AL107" s="451">
        <v>239119.15</v>
      </c>
      <c r="AM107" s="451">
        <v>191294</v>
      </c>
      <c r="AN107" s="451">
        <v>43041</v>
      </c>
      <c r="AO107" s="451">
        <v>4782</v>
      </c>
      <c r="AP107" s="451">
        <v>478236.15</v>
      </c>
      <c r="AQ107" s="451">
        <v>-28555.66</v>
      </c>
      <c r="AR107" s="451">
        <v>-22844</v>
      </c>
      <c r="AS107" s="451">
        <v>-5140</v>
      </c>
      <c r="AT107" s="451">
        <v>-571</v>
      </c>
      <c r="AU107" s="451">
        <v>-57110.66</v>
      </c>
      <c r="AV107" s="451">
        <v>210563.49</v>
      </c>
      <c r="AW107" s="451">
        <v>168450</v>
      </c>
      <c r="AX107" s="451">
        <v>37901</v>
      </c>
      <c r="AY107" s="451">
        <v>4211</v>
      </c>
      <c r="AZ107" s="451">
        <v>421125.49</v>
      </c>
      <c r="BA107" s="451">
        <v>0</v>
      </c>
      <c r="BB107" s="451">
        <v>0</v>
      </c>
      <c r="BC107" s="451">
        <v>0</v>
      </c>
      <c r="BD107" s="451">
        <v>0</v>
      </c>
      <c r="BE107" s="451">
        <v>0</v>
      </c>
      <c r="BF107" s="451">
        <v>439624.94</v>
      </c>
      <c r="BG107" s="451">
        <v>351699</v>
      </c>
      <c r="BH107" s="451">
        <v>79132</v>
      </c>
      <c r="BI107" s="451">
        <v>8792</v>
      </c>
      <c r="BJ107" s="451">
        <v>879247.94</v>
      </c>
      <c r="BK107" s="451">
        <v>439624.94</v>
      </c>
      <c r="BL107" s="451">
        <v>351699</v>
      </c>
      <c r="BM107" s="451">
        <v>79132</v>
      </c>
      <c r="BN107" s="451">
        <v>8792</v>
      </c>
      <c r="BO107" s="451">
        <v>879247.94</v>
      </c>
      <c r="BP107" s="451">
        <v>0</v>
      </c>
      <c r="BQ107" s="451">
        <v>0</v>
      </c>
      <c r="BR107" s="451">
        <v>0</v>
      </c>
      <c r="BS107" s="451">
        <v>0</v>
      </c>
      <c r="BT107" s="451">
        <v>0</v>
      </c>
      <c r="BU107" s="451">
        <v>1249085.08</v>
      </c>
      <c r="BV107" s="451">
        <v>999268</v>
      </c>
      <c r="BW107" s="451">
        <v>224835</v>
      </c>
      <c r="BX107" s="451">
        <v>24982</v>
      </c>
      <c r="BY107" s="451">
        <v>2498170.08</v>
      </c>
      <c r="BZ107" s="451">
        <v>1249085.08</v>
      </c>
      <c r="CA107" s="451">
        <v>999268</v>
      </c>
      <c r="CB107" s="451">
        <v>224835</v>
      </c>
      <c r="CC107" s="451">
        <v>24982</v>
      </c>
      <c r="CD107" s="451">
        <v>2498170.08</v>
      </c>
      <c r="CE107" s="104"/>
      <c r="CF107" s="104"/>
      <c r="CG107" s="104"/>
    </row>
    <row r="108" spans="1:85" ht="12.75" x14ac:dyDescent="0.2">
      <c r="A108" s="446">
        <v>101</v>
      </c>
      <c r="B108" s="447" t="s">
        <v>85</v>
      </c>
      <c r="C108" s="448" t="s">
        <v>1093</v>
      </c>
      <c r="D108" s="449" t="s">
        <v>1097</v>
      </c>
      <c r="E108" s="450" t="s">
        <v>84</v>
      </c>
      <c r="F108" s="451">
        <v>11661907</v>
      </c>
      <c r="G108" s="451">
        <v>9329525</v>
      </c>
      <c r="H108" s="451">
        <v>2099143</v>
      </c>
      <c r="I108" s="451">
        <v>233238</v>
      </c>
      <c r="J108" s="451">
        <v>23323813</v>
      </c>
      <c r="K108" s="451">
        <v>0</v>
      </c>
      <c r="L108" s="451">
        <v>0</v>
      </c>
      <c r="M108" s="451">
        <v>11661907</v>
      </c>
      <c r="N108" s="451">
        <v>23323813</v>
      </c>
      <c r="O108" s="451">
        <v>126613</v>
      </c>
      <c r="P108" s="451">
        <v>126613</v>
      </c>
      <c r="Q108" s="451">
        <v>0</v>
      </c>
      <c r="R108" s="451">
        <v>0</v>
      </c>
      <c r="S108" s="451">
        <v>0</v>
      </c>
      <c r="T108" s="451">
        <v>0</v>
      </c>
      <c r="U108" s="451">
        <v>0</v>
      </c>
      <c r="V108" s="451">
        <v>0</v>
      </c>
      <c r="W108" s="451">
        <v>0</v>
      </c>
      <c r="X108" s="451">
        <v>0</v>
      </c>
      <c r="Y108" s="451">
        <v>0</v>
      </c>
      <c r="Z108" s="451">
        <v>0</v>
      </c>
      <c r="AA108" s="451">
        <v>0</v>
      </c>
      <c r="AB108" s="451">
        <v>328561.53000000003</v>
      </c>
      <c r="AC108" s="451">
        <v>262849</v>
      </c>
      <c r="AD108" s="451">
        <v>59141</v>
      </c>
      <c r="AE108" s="451">
        <v>6571</v>
      </c>
      <c r="AF108" s="451">
        <v>657122.53</v>
      </c>
      <c r="AG108" s="451">
        <v>74016.3</v>
      </c>
      <c r="AH108" s="451">
        <v>59213</v>
      </c>
      <c r="AI108" s="451">
        <v>13323</v>
      </c>
      <c r="AJ108" s="451">
        <v>1480</v>
      </c>
      <c r="AK108" s="451">
        <v>148032.29999999999</v>
      </c>
      <c r="AL108" s="451">
        <v>153161</v>
      </c>
      <c r="AM108" s="451">
        <v>122529</v>
      </c>
      <c r="AN108" s="451">
        <v>27569</v>
      </c>
      <c r="AO108" s="451">
        <v>3063</v>
      </c>
      <c r="AP108" s="451">
        <v>306322</v>
      </c>
      <c r="AQ108" s="451">
        <v>7385.53</v>
      </c>
      <c r="AR108" s="451">
        <v>5909</v>
      </c>
      <c r="AS108" s="451">
        <v>1330</v>
      </c>
      <c r="AT108" s="451">
        <v>148</v>
      </c>
      <c r="AU108" s="451">
        <v>14772.53</v>
      </c>
      <c r="AV108" s="451">
        <v>160546.53</v>
      </c>
      <c r="AW108" s="451">
        <v>128438</v>
      </c>
      <c r="AX108" s="451">
        <v>28899</v>
      </c>
      <c r="AY108" s="451">
        <v>3211</v>
      </c>
      <c r="AZ108" s="451">
        <v>321094.53000000003</v>
      </c>
      <c r="BA108" s="451">
        <v>0</v>
      </c>
      <c r="BB108" s="451">
        <v>0</v>
      </c>
      <c r="BC108" s="451">
        <v>0</v>
      </c>
      <c r="BD108" s="451">
        <v>0</v>
      </c>
      <c r="BE108" s="451">
        <v>0</v>
      </c>
      <c r="BF108" s="451">
        <v>148533</v>
      </c>
      <c r="BG108" s="451">
        <v>118826</v>
      </c>
      <c r="BH108" s="451">
        <v>26736</v>
      </c>
      <c r="BI108" s="451">
        <v>2971</v>
      </c>
      <c r="BJ108" s="451">
        <v>297066</v>
      </c>
      <c r="BK108" s="451">
        <v>148533</v>
      </c>
      <c r="BL108" s="451">
        <v>118826</v>
      </c>
      <c r="BM108" s="451">
        <v>26736</v>
      </c>
      <c r="BN108" s="451">
        <v>2971</v>
      </c>
      <c r="BO108" s="451">
        <v>297066</v>
      </c>
      <c r="BP108" s="451">
        <v>0</v>
      </c>
      <c r="BQ108" s="451">
        <v>0</v>
      </c>
      <c r="BR108" s="451">
        <v>0</v>
      </c>
      <c r="BS108" s="451">
        <v>0</v>
      </c>
      <c r="BT108" s="451">
        <v>0</v>
      </c>
      <c r="BU108" s="451">
        <v>359336</v>
      </c>
      <c r="BV108" s="451">
        <v>287469</v>
      </c>
      <c r="BW108" s="451">
        <v>64680</v>
      </c>
      <c r="BX108" s="451">
        <v>7187</v>
      </c>
      <c r="BY108" s="451">
        <v>718672</v>
      </c>
      <c r="BZ108" s="451">
        <v>359336</v>
      </c>
      <c r="CA108" s="451">
        <v>287469</v>
      </c>
      <c r="CB108" s="451">
        <v>64680</v>
      </c>
      <c r="CC108" s="451">
        <v>7187</v>
      </c>
      <c r="CD108" s="451">
        <v>718672</v>
      </c>
      <c r="CE108" s="104"/>
      <c r="CF108" s="104"/>
      <c r="CG108" s="104"/>
    </row>
    <row r="109" spans="1:85" ht="12.75" x14ac:dyDescent="0.2">
      <c r="A109" s="446">
        <v>102</v>
      </c>
      <c r="B109" s="447" t="s">
        <v>87</v>
      </c>
      <c r="C109" s="448" t="s">
        <v>1093</v>
      </c>
      <c r="D109" s="449" t="s">
        <v>1097</v>
      </c>
      <c r="E109" s="450" t="s">
        <v>86</v>
      </c>
      <c r="F109" s="451">
        <v>10335351</v>
      </c>
      <c r="G109" s="451">
        <v>8268280</v>
      </c>
      <c r="H109" s="451">
        <v>2067070</v>
      </c>
      <c r="I109" s="451">
        <v>0</v>
      </c>
      <c r="J109" s="451">
        <v>20670701</v>
      </c>
      <c r="K109" s="451">
        <v>0</v>
      </c>
      <c r="L109" s="451">
        <v>0</v>
      </c>
      <c r="M109" s="451">
        <v>10335351</v>
      </c>
      <c r="N109" s="451">
        <v>20670701</v>
      </c>
      <c r="O109" s="451">
        <v>90531</v>
      </c>
      <c r="P109" s="451">
        <v>90531</v>
      </c>
      <c r="Q109" s="451">
        <v>0</v>
      </c>
      <c r="R109" s="451">
        <v>0</v>
      </c>
      <c r="S109" s="451">
        <v>0</v>
      </c>
      <c r="T109" s="451">
        <v>0</v>
      </c>
      <c r="U109" s="451">
        <v>0</v>
      </c>
      <c r="V109" s="451">
        <v>0</v>
      </c>
      <c r="W109" s="451">
        <v>0</v>
      </c>
      <c r="X109" s="451">
        <v>0</v>
      </c>
      <c r="Y109" s="451">
        <v>0</v>
      </c>
      <c r="Z109" s="451">
        <v>0</v>
      </c>
      <c r="AA109" s="451">
        <v>0</v>
      </c>
      <c r="AB109" s="451">
        <v>301252.46999999997</v>
      </c>
      <c r="AC109" s="451">
        <v>241002</v>
      </c>
      <c r="AD109" s="451">
        <v>60250</v>
      </c>
      <c r="AE109" s="451">
        <v>0</v>
      </c>
      <c r="AF109" s="451">
        <v>602504.47</v>
      </c>
      <c r="AG109" s="451">
        <v>187648.2</v>
      </c>
      <c r="AH109" s="451">
        <v>150118</v>
      </c>
      <c r="AI109" s="451">
        <v>37530</v>
      </c>
      <c r="AJ109" s="451">
        <v>0</v>
      </c>
      <c r="AK109" s="451">
        <v>375296.2</v>
      </c>
      <c r="AL109" s="451">
        <v>64641.279999999999</v>
      </c>
      <c r="AM109" s="451">
        <v>51713</v>
      </c>
      <c r="AN109" s="451">
        <v>12928</v>
      </c>
      <c r="AO109" s="451">
        <v>0</v>
      </c>
      <c r="AP109" s="451">
        <v>129282.28</v>
      </c>
      <c r="AQ109" s="451">
        <v>26984.32</v>
      </c>
      <c r="AR109" s="451">
        <v>21587</v>
      </c>
      <c r="AS109" s="451">
        <v>5397</v>
      </c>
      <c r="AT109" s="451">
        <v>0</v>
      </c>
      <c r="AU109" s="451">
        <v>53968.32</v>
      </c>
      <c r="AV109" s="451">
        <v>91625.600000000006</v>
      </c>
      <c r="AW109" s="451">
        <v>73300</v>
      </c>
      <c r="AX109" s="451">
        <v>18325</v>
      </c>
      <c r="AY109" s="451">
        <v>0</v>
      </c>
      <c r="AZ109" s="451">
        <v>183250.6</v>
      </c>
      <c r="BA109" s="451">
        <v>0</v>
      </c>
      <c r="BB109" s="451">
        <v>0</v>
      </c>
      <c r="BC109" s="451">
        <v>0</v>
      </c>
      <c r="BD109" s="451">
        <v>0</v>
      </c>
      <c r="BE109" s="451">
        <v>0</v>
      </c>
      <c r="BF109" s="451">
        <v>95084</v>
      </c>
      <c r="BG109" s="451">
        <v>76068</v>
      </c>
      <c r="BH109" s="451">
        <v>19017</v>
      </c>
      <c r="BI109" s="451">
        <v>0</v>
      </c>
      <c r="BJ109" s="451">
        <v>190169</v>
      </c>
      <c r="BK109" s="451">
        <v>95084</v>
      </c>
      <c r="BL109" s="451">
        <v>76068</v>
      </c>
      <c r="BM109" s="451">
        <v>19017</v>
      </c>
      <c r="BN109" s="451">
        <v>0</v>
      </c>
      <c r="BO109" s="451">
        <v>190169</v>
      </c>
      <c r="BP109" s="451">
        <v>0</v>
      </c>
      <c r="BQ109" s="451">
        <v>0</v>
      </c>
      <c r="BR109" s="451">
        <v>0</v>
      </c>
      <c r="BS109" s="451">
        <v>0</v>
      </c>
      <c r="BT109" s="451">
        <v>0</v>
      </c>
      <c r="BU109" s="451">
        <v>105327</v>
      </c>
      <c r="BV109" s="451">
        <v>84262</v>
      </c>
      <c r="BW109" s="451">
        <v>21065</v>
      </c>
      <c r="BX109" s="451">
        <v>0</v>
      </c>
      <c r="BY109" s="451">
        <v>210654</v>
      </c>
      <c r="BZ109" s="451">
        <v>105327</v>
      </c>
      <c r="CA109" s="451">
        <v>84262</v>
      </c>
      <c r="CB109" s="451">
        <v>21065</v>
      </c>
      <c r="CC109" s="451">
        <v>0</v>
      </c>
      <c r="CD109" s="451">
        <v>210654</v>
      </c>
      <c r="CE109" s="104"/>
      <c r="CF109" s="104"/>
      <c r="CG109" s="104"/>
    </row>
    <row r="110" spans="1:85" ht="12.75" x14ac:dyDescent="0.2">
      <c r="A110" s="446">
        <v>103</v>
      </c>
      <c r="B110" s="447" t="s">
        <v>89</v>
      </c>
      <c r="C110" s="448" t="s">
        <v>1093</v>
      </c>
      <c r="D110" s="449" t="s">
        <v>1102</v>
      </c>
      <c r="E110" s="450" t="s">
        <v>88</v>
      </c>
      <c r="F110" s="451">
        <v>5676501</v>
      </c>
      <c r="G110" s="451">
        <v>4541201</v>
      </c>
      <c r="H110" s="451">
        <v>1135300</v>
      </c>
      <c r="I110" s="451">
        <v>0</v>
      </c>
      <c r="J110" s="451">
        <v>11353002</v>
      </c>
      <c r="K110" s="451">
        <v>0</v>
      </c>
      <c r="L110" s="451">
        <v>0</v>
      </c>
      <c r="M110" s="451">
        <v>5676501</v>
      </c>
      <c r="N110" s="451">
        <v>11353002</v>
      </c>
      <c r="O110" s="451">
        <v>119683</v>
      </c>
      <c r="P110" s="451">
        <v>119683</v>
      </c>
      <c r="Q110" s="451">
        <v>0</v>
      </c>
      <c r="R110" s="451">
        <v>0</v>
      </c>
      <c r="S110" s="451">
        <v>0</v>
      </c>
      <c r="T110" s="451">
        <v>0</v>
      </c>
      <c r="U110" s="451">
        <v>0</v>
      </c>
      <c r="V110" s="451">
        <v>0</v>
      </c>
      <c r="W110" s="451">
        <v>0</v>
      </c>
      <c r="X110" s="451">
        <v>0</v>
      </c>
      <c r="Y110" s="451">
        <v>0</v>
      </c>
      <c r="Z110" s="451">
        <v>0</v>
      </c>
      <c r="AA110" s="451">
        <v>0</v>
      </c>
      <c r="AB110" s="451">
        <v>371172</v>
      </c>
      <c r="AC110" s="451">
        <v>296937</v>
      </c>
      <c r="AD110" s="451">
        <v>74234</v>
      </c>
      <c r="AE110" s="451">
        <v>0</v>
      </c>
      <c r="AF110" s="451">
        <v>742343</v>
      </c>
      <c r="AG110" s="451">
        <v>27218</v>
      </c>
      <c r="AH110" s="451">
        <v>21774</v>
      </c>
      <c r="AI110" s="451">
        <v>5444</v>
      </c>
      <c r="AJ110" s="451">
        <v>0</v>
      </c>
      <c r="AK110" s="451">
        <v>54436</v>
      </c>
      <c r="AL110" s="451">
        <v>119704</v>
      </c>
      <c r="AM110" s="451">
        <v>95763</v>
      </c>
      <c r="AN110" s="451">
        <v>23941</v>
      </c>
      <c r="AO110" s="451">
        <v>0</v>
      </c>
      <c r="AP110" s="451">
        <v>239408</v>
      </c>
      <c r="AQ110" s="451">
        <v>0</v>
      </c>
      <c r="AR110" s="451">
        <v>0</v>
      </c>
      <c r="AS110" s="451">
        <v>0</v>
      </c>
      <c r="AT110" s="451">
        <v>0</v>
      </c>
      <c r="AU110" s="451">
        <v>0</v>
      </c>
      <c r="AV110" s="451">
        <v>119704</v>
      </c>
      <c r="AW110" s="451">
        <v>95763</v>
      </c>
      <c r="AX110" s="451">
        <v>23941</v>
      </c>
      <c r="AY110" s="451">
        <v>0</v>
      </c>
      <c r="AZ110" s="451">
        <v>239408</v>
      </c>
      <c r="BA110" s="451">
        <v>0</v>
      </c>
      <c r="BB110" s="451">
        <v>0</v>
      </c>
      <c r="BC110" s="451">
        <v>0</v>
      </c>
      <c r="BD110" s="451">
        <v>0</v>
      </c>
      <c r="BE110" s="451">
        <v>0</v>
      </c>
      <c r="BF110" s="451">
        <v>62219</v>
      </c>
      <c r="BG110" s="451">
        <v>49776</v>
      </c>
      <c r="BH110" s="451">
        <v>12444</v>
      </c>
      <c r="BI110" s="451">
        <v>0</v>
      </c>
      <c r="BJ110" s="451">
        <v>124439</v>
      </c>
      <c r="BK110" s="451">
        <v>62219</v>
      </c>
      <c r="BL110" s="451">
        <v>49776</v>
      </c>
      <c r="BM110" s="451">
        <v>12444</v>
      </c>
      <c r="BN110" s="451">
        <v>0</v>
      </c>
      <c r="BO110" s="451">
        <v>124439</v>
      </c>
      <c r="BP110" s="451">
        <v>0</v>
      </c>
      <c r="BQ110" s="451">
        <v>0</v>
      </c>
      <c r="BR110" s="451">
        <v>0</v>
      </c>
      <c r="BS110" s="451">
        <v>0</v>
      </c>
      <c r="BT110" s="451">
        <v>0</v>
      </c>
      <c r="BU110" s="451">
        <v>63372</v>
      </c>
      <c r="BV110" s="451">
        <v>50698</v>
      </c>
      <c r="BW110" s="451">
        <v>12675</v>
      </c>
      <c r="BX110" s="451">
        <v>0</v>
      </c>
      <c r="BY110" s="451">
        <v>126745</v>
      </c>
      <c r="BZ110" s="451">
        <v>63372</v>
      </c>
      <c r="CA110" s="451">
        <v>50698</v>
      </c>
      <c r="CB110" s="451">
        <v>12675</v>
      </c>
      <c r="CC110" s="451">
        <v>0</v>
      </c>
      <c r="CD110" s="451">
        <v>126745</v>
      </c>
      <c r="CE110" s="104"/>
      <c r="CF110" s="104"/>
      <c r="CG110" s="104"/>
    </row>
    <row r="111" spans="1:85" ht="12.75" x14ac:dyDescent="0.2">
      <c r="A111" s="446">
        <v>104</v>
      </c>
      <c r="B111" s="447" t="s">
        <v>91</v>
      </c>
      <c r="C111" s="448" t="s">
        <v>1093</v>
      </c>
      <c r="D111" s="449" t="s">
        <v>1095</v>
      </c>
      <c r="E111" s="450" t="s">
        <v>90</v>
      </c>
      <c r="F111" s="451">
        <v>11552774</v>
      </c>
      <c r="G111" s="451">
        <v>9242219</v>
      </c>
      <c r="H111" s="451">
        <v>2079499</v>
      </c>
      <c r="I111" s="451">
        <v>231055</v>
      </c>
      <c r="J111" s="451">
        <v>23105547</v>
      </c>
      <c r="K111" s="451">
        <v>0</v>
      </c>
      <c r="L111" s="451">
        <v>0</v>
      </c>
      <c r="M111" s="451">
        <v>11552774</v>
      </c>
      <c r="N111" s="451">
        <v>23105547</v>
      </c>
      <c r="O111" s="451">
        <v>110662</v>
      </c>
      <c r="P111" s="451">
        <v>110662</v>
      </c>
      <c r="Q111" s="451">
        <v>0</v>
      </c>
      <c r="R111" s="451">
        <v>0</v>
      </c>
      <c r="S111" s="451">
        <v>0</v>
      </c>
      <c r="T111" s="451">
        <v>0</v>
      </c>
      <c r="U111" s="451">
        <v>0</v>
      </c>
      <c r="V111" s="451">
        <v>0</v>
      </c>
      <c r="W111" s="451">
        <v>0</v>
      </c>
      <c r="X111" s="451">
        <v>0</v>
      </c>
      <c r="Y111" s="451">
        <v>0</v>
      </c>
      <c r="Z111" s="451">
        <v>0</v>
      </c>
      <c r="AA111" s="451">
        <v>0</v>
      </c>
      <c r="AB111" s="451">
        <v>638164</v>
      </c>
      <c r="AC111" s="451">
        <v>510530</v>
      </c>
      <c r="AD111" s="451">
        <v>114869</v>
      </c>
      <c r="AE111" s="451">
        <v>12763</v>
      </c>
      <c r="AF111" s="451">
        <v>1276326</v>
      </c>
      <c r="AG111" s="451">
        <v>154673</v>
      </c>
      <c r="AH111" s="451">
        <v>123738</v>
      </c>
      <c r="AI111" s="451">
        <v>27841</v>
      </c>
      <c r="AJ111" s="451">
        <v>3093</v>
      </c>
      <c r="AK111" s="451">
        <v>309345</v>
      </c>
      <c r="AL111" s="451">
        <v>223202</v>
      </c>
      <c r="AM111" s="451">
        <v>178561</v>
      </c>
      <c r="AN111" s="451">
        <v>40176</v>
      </c>
      <c r="AO111" s="451">
        <v>4464</v>
      </c>
      <c r="AP111" s="451">
        <v>446403</v>
      </c>
      <c r="AQ111" s="451">
        <v>94943</v>
      </c>
      <c r="AR111" s="451">
        <v>75955</v>
      </c>
      <c r="AS111" s="451">
        <v>17090</v>
      </c>
      <c r="AT111" s="451">
        <v>1899</v>
      </c>
      <c r="AU111" s="451">
        <v>189887</v>
      </c>
      <c r="AV111" s="451">
        <v>318145</v>
      </c>
      <c r="AW111" s="451">
        <v>254516</v>
      </c>
      <c r="AX111" s="451">
        <v>57266</v>
      </c>
      <c r="AY111" s="451">
        <v>6363</v>
      </c>
      <c r="AZ111" s="451">
        <v>636290</v>
      </c>
      <c r="BA111" s="451">
        <v>0</v>
      </c>
      <c r="BB111" s="451">
        <v>0</v>
      </c>
      <c r="BC111" s="451">
        <v>0</v>
      </c>
      <c r="BD111" s="451">
        <v>0</v>
      </c>
      <c r="BE111" s="451">
        <v>0</v>
      </c>
      <c r="BF111" s="451">
        <v>165068</v>
      </c>
      <c r="BG111" s="451">
        <v>132054</v>
      </c>
      <c r="BH111" s="451">
        <v>29712</v>
      </c>
      <c r="BI111" s="451">
        <v>3301</v>
      </c>
      <c r="BJ111" s="451">
        <v>330135</v>
      </c>
      <c r="BK111" s="451">
        <v>165068</v>
      </c>
      <c r="BL111" s="451">
        <v>132054</v>
      </c>
      <c r="BM111" s="451">
        <v>29712</v>
      </c>
      <c r="BN111" s="451">
        <v>3301</v>
      </c>
      <c r="BO111" s="451">
        <v>330135</v>
      </c>
      <c r="BP111" s="451">
        <v>0</v>
      </c>
      <c r="BQ111" s="451">
        <v>0</v>
      </c>
      <c r="BR111" s="451">
        <v>0</v>
      </c>
      <c r="BS111" s="451">
        <v>0</v>
      </c>
      <c r="BT111" s="451">
        <v>0</v>
      </c>
      <c r="BU111" s="451">
        <v>442828</v>
      </c>
      <c r="BV111" s="451">
        <v>354262</v>
      </c>
      <c r="BW111" s="451">
        <v>79709</v>
      </c>
      <c r="BX111" s="451">
        <v>8857</v>
      </c>
      <c r="BY111" s="451">
        <v>885656</v>
      </c>
      <c r="BZ111" s="451">
        <v>442828</v>
      </c>
      <c r="CA111" s="451">
        <v>354262</v>
      </c>
      <c r="CB111" s="451">
        <v>79709</v>
      </c>
      <c r="CC111" s="451">
        <v>8857</v>
      </c>
      <c r="CD111" s="451">
        <v>885656</v>
      </c>
      <c r="CE111" s="104"/>
      <c r="CF111" s="104"/>
      <c r="CG111" s="104"/>
    </row>
    <row r="112" spans="1:85" ht="12.75" x14ac:dyDescent="0.2">
      <c r="A112" s="446">
        <v>105</v>
      </c>
      <c r="B112" s="447" t="s">
        <v>93</v>
      </c>
      <c r="C112" s="448" t="s">
        <v>1100</v>
      </c>
      <c r="D112" s="449" t="s">
        <v>1105</v>
      </c>
      <c r="E112" s="450" t="s">
        <v>92</v>
      </c>
      <c r="F112" s="451">
        <v>41197933</v>
      </c>
      <c r="G112" s="451">
        <v>40373974</v>
      </c>
      <c r="H112" s="451">
        <v>0</v>
      </c>
      <c r="I112" s="451">
        <v>823959</v>
      </c>
      <c r="J112" s="451">
        <v>82395866</v>
      </c>
      <c r="K112" s="451">
        <v>0</v>
      </c>
      <c r="L112" s="451">
        <v>0</v>
      </c>
      <c r="M112" s="451">
        <v>41197933</v>
      </c>
      <c r="N112" s="451">
        <v>82395866</v>
      </c>
      <c r="O112" s="451">
        <v>294393</v>
      </c>
      <c r="P112" s="451">
        <v>294393</v>
      </c>
      <c r="Q112" s="451">
        <v>0</v>
      </c>
      <c r="R112" s="451">
        <v>0</v>
      </c>
      <c r="S112" s="451">
        <v>0</v>
      </c>
      <c r="T112" s="451">
        <v>0</v>
      </c>
      <c r="U112" s="451">
        <v>0</v>
      </c>
      <c r="V112" s="451">
        <v>0</v>
      </c>
      <c r="W112" s="451">
        <v>0</v>
      </c>
      <c r="X112" s="451">
        <v>0</v>
      </c>
      <c r="Y112" s="451">
        <v>0</v>
      </c>
      <c r="Z112" s="451">
        <v>0</v>
      </c>
      <c r="AA112" s="451">
        <v>0</v>
      </c>
      <c r="AB112" s="451">
        <v>3327151</v>
      </c>
      <c r="AC112" s="451">
        <v>3260608</v>
      </c>
      <c r="AD112" s="451">
        <v>0</v>
      </c>
      <c r="AE112" s="451">
        <v>66543</v>
      </c>
      <c r="AF112" s="451">
        <v>6654302</v>
      </c>
      <c r="AG112" s="451">
        <v>1037216</v>
      </c>
      <c r="AH112" s="451">
        <v>1016471</v>
      </c>
      <c r="AI112" s="451">
        <v>0</v>
      </c>
      <c r="AJ112" s="451">
        <v>20744</v>
      </c>
      <c r="AK112" s="451">
        <v>2074431</v>
      </c>
      <c r="AL112" s="451">
        <v>0</v>
      </c>
      <c r="AM112" s="451">
        <v>0</v>
      </c>
      <c r="AN112" s="451">
        <v>0</v>
      </c>
      <c r="AO112" s="451">
        <v>0</v>
      </c>
      <c r="AP112" s="451">
        <v>0</v>
      </c>
      <c r="AQ112" s="451">
        <v>0</v>
      </c>
      <c r="AR112" s="451">
        <v>0</v>
      </c>
      <c r="AS112" s="451">
        <v>0</v>
      </c>
      <c r="AT112" s="451">
        <v>0</v>
      </c>
      <c r="AU112" s="451">
        <v>0</v>
      </c>
      <c r="AV112" s="451">
        <v>0</v>
      </c>
      <c r="AW112" s="451">
        <v>0</v>
      </c>
      <c r="AX112" s="451">
        <v>0</v>
      </c>
      <c r="AY112" s="451">
        <v>0</v>
      </c>
      <c r="AZ112" s="451">
        <v>0</v>
      </c>
      <c r="BA112" s="451">
        <v>0</v>
      </c>
      <c r="BB112" s="451">
        <v>0</v>
      </c>
      <c r="BC112" s="451">
        <v>0</v>
      </c>
      <c r="BD112" s="451">
        <v>0</v>
      </c>
      <c r="BE112" s="451">
        <v>0</v>
      </c>
      <c r="BF112" s="451">
        <v>322000</v>
      </c>
      <c r="BG112" s="451">
        <v>315560</v>
      </c>
      <c r="BH112" s="451">
        <v>0</v>
      </c>
      <c r="BI112" s="451">
        <v>6440</v>
      </c>
      <c r="BJ112" s="451">
        <v>644000</v>
      </c>
      <c r="BK112" s="451">
        <v>322000</v>
      </c>
      <c r="BL112" s="451">
        <v>315560</v>
      </c>
      <c r="BM112" s="451">
        <v>0</v>
      </c>
      <c r="BN112" s="451">
        <v>6440</v>
      </c>
      <c r="BO112" s="451">
        <v>644000</v>
      </c>
      <c r="BP112" s="451">
        <v>0</v>
      </c>
      <c r="BQ112" s="451">
        <v>0</v>
      </c>
      <c r="BR112" s="451">
        <v>0</v>
      </c>
      <c r="BS112" s="451">
        <v>0</v>
      </c>
      <c r="BT112" s="451">
        <v>0</v>
      </c>
      <c r="BU112" s="451">
        <v>1367937</v>
      </c>
      <c r="BV112" s="451">
        <v>1340579</v>
      </c>
      <c r="BW112" s="451">
        <v>0</v>
      </c>
      <c r="BX112" s="451">
        <v>27359</v>
      </c>
      <c r="BY112" s="451">
        <v>2735875</v>
      </c>
      <c r="BZ112" s="451">
        <v>1367937</v>
      </c>
      <c r="CA112" s="451">
        <v>1340579</v>
      </c>
      <c r="CB112" s="451">
        <v>0</v>
      </c>
      <c r="CC112" s="451">
        <v>27359</v>
      </c>
      <c r="CD112" s="451">
        <v>2735875</v>
      </c>
      <c r="CE112" s="104"/>
      <c r="CF112" s="104"/>
      <c r="CG112" s="104"/>
    </row>
    <row r="113" spans="1:85" ht="12.75" x14ac:dyDescent="0.2">
      <c r="A113" s="446">
        <v>106</v>
      </c>
      <c r="B113" s="447" t="s">
        <v>95</v>
      </c>
      <c r="C113" s="448" t="s">
        <v>1093</v>
      </c>
      <c r="D113" s="449" t="s">
        <v>1096</v>
      </c>
      <c r="E113" s="450" t="s">
        <v>94</v>
      </c>
      <c r="F113" s="451">
        <v>9900806</v>
      </c>
      <c r="G113" s="451">
        <v>7920644</v>
      </c>
      <c r="H113" s="451">
        <v>1782145</v>
      </c>
      <c r="I113" s="451">
        <v>198016</v>
      </c>
      <c r="J113" s="451">
        <v>19801611</v>
      </c>
      <c r="K113" s="451">
        <v>0</v>
      </c>
      <c r="L113" s="451">
        <v>0</v>
      </c>
      <c r="M113" s="451">
        <v>9900806</v>
      </c>
      <c r="N113" s="451">
        <v>19801611</v>
      </c>
      <c r="O113" s="451">
        <v>102089</v>
      </c>
      <c r="P113" s="451">
        <v>102089</v>
      </c>
      <c r="Q113" s="451">
        <v>0</v>
      </c>
      <c r="R113" s="451">
        <v>0</v>
      </c>
      <c r="S113" s="451">
        <v>0</v>
      </c>
      <c r="T113" s="451">
        <v>0</v>
      </c>
      <c r="U113" s="451">
        <v>0</v>
      </c>
      <c r="V113" s="451">
        <v>0</v>
      </c>
      <c r="W113" s="451">
        <v>0</v>
      </c>
      <c r="X113" s="451">
        <v>0</v>
      </c>
      <c r="Y113" s="451">
        <v>0</v>
      </c>
      <c r="Z113" s="451">
        <v>0</v>
      </c>
      <c r="AA113" s="451">
        <v>0</v>
      </c>
      <c r="AB113" s="451">
        <v>247888.45</v>
      </c>
      <c r="AC113" s="451">
        <v>198311</v>
      </c>
      <c r="AD113" s="451">
        <v>44620</v>
      </c>
      <c r="AE113" s="451">
        <v>4958</v>
      </c>
      <c r="AF113" s="451">
        <v>495777.45</v>
      </c>
      <c r="AG113" s="451">
        <v>-29153.8</v>
      </c>
      <c r="AH113" s="451">
        <v>-23323</v>
      </c>
      <c r="AI113" s="451">
        <v>-5248</v>
      </c>
      <c r="AJ113" s="451">
        <v>-583</v>
      </c>
      <c r="AK113" s="451">
        <v>-58307.8</v>
      </c>
      <c r="AL113" s="451">
        <v>46953</v>
      </c>
      <c r="AM113" s="451">
        <v>37563</v>
      </c>
      <c r="AN113" s="451">
        <v>8452</v>
      </c>
      <c r="AO113" s="451">
        <v>939</v>
      </c>
      <c r="AP113" s="451">
        <v>93907</v>
      </c>
      <c r="AQ113" s="451">
        <v>57390</v>
      </c>
      <c r="AR113" s="451">
        <v>45912</v>
      </c>
      <c r="AS113" s="451">
        <v>10330</v>
      </c>
      <c r="AT113" s="451">
        <v>1148</v>
      </c>
      <c r="AU113" s="451">
        <v>114780</v>
      </c>
      <c r="AV113" s="451">
        <v>104343</v>
      </c>
      <c r="AW113" s="451">
        <v>83475</v>
      </c>
      <c r="AX113" s="451">
        <v>18782</v>
      </c>
      <c r="AY113" s="451">
        <v>2087</v>
      </c>
      <c r="AZ113" s="451">
        <v>208687</v>
      </c>
      <c r="BA113" s="451">
        <v>0</v>
      </c>
      <c r="BB113" s="451">
        <v>0</v>
      </c>
      <c r="BC113" s="451">
        <v>0</v>
      </c>
      <c r="BD113" s="451">
        <v>0</v>
      </c>
      <c r="BE113" s="451">
        <v>0</v>
      </c>
      <c r="BF113" s="451">
        <v>73742</v>
      </c>
      <c r="BG113" s="451">
        <v>58994</v>
      </c>
      <c r="BH113" s="451">
        <v>13274</v>
      </c>
      <c r="BI113" s="451">
        <v>1475</v>
      </c>
      <c r="BJ113" s="451">
        <v>147485</v>
      </c>
      <c r="BK113" s="451">
        <v>73742</v>
      </c>
      <c r="BL113" s="451">
        <v>58994</v>
      </c>
      <c r="BM113" s="451">
        <v>13274</v>
      </c>
      <c r="BN113" s="451">
        <v>1475</v>
      </c>
      <c r="BO113" s="451">
        <v>147485</v>
      </c>
      <c r="BP113" s="451">
        <v>0</v>
      </c>
      <c r="BQ113" s="451">
        <v>0</v>
      </c>
      <c r="BR113" s="451">
        <v>0</v>
      </c>
      <c r="BS113" s="451">
        <v>0</v>
      </c>
      <c r="BT113" s="451">
        <v>0</v>
      </c>
      <c r="BU113" s="451">
        <v>204319</v>
      </c>
      <c r="BV113" s="451">
        <v>163454</v>
      </c>
      <c r="BW113" s="451">
        <v>36777</v>
      </c>
      <c r="BX113" s="451">
        <v>4086</v>
      </c>
      <c r="BY113" s="451">
        <v>408636</v>
      </c>
      <c r="BZ113" s="451">
        <v>204319</v>
      </c>
      <c r="CA113" s="451">
        <v>163454</v>
      </c>
      <c r="CB113" s="451">
        <v>36777</v>
      </c>
      <c r="CC113" s="451">
        <v>4086</v>
      </c>
      <c r="CD113" s="451">
        <v>408636</v>
      </c>
      <c r="CE113" s="104"/>
      <c r="CF113" s="104"/>
      <c r="CG113" s="104"/>
    </row>
    <row r="114" spans="1:85" ht="12.75" x14ac:dyDescent="0.2">
      <c r="A114" s="446">
        <v>107</v>
      </c>
      <c r="B114" s="447" t="s">
        <v>97</v>
      </c>
      <c r="C114" s="448" t="s">
        <v>1093</v>
      </c>
      <c r="D114" s="449" t="s">
        <v>1102</v>
      </c>
      <c r="E114" s="450" t="s">
        <v>96</v>
      </c>
      <c r="F114" s="451">
        <v>24612047</v>
      </c>
      <c r="G114" s="451">
        <v>19689637</v>
      </c>
      <c r="H114" s="451">
        <v>4922409</v>
      </c>
      <c r="I114" s="451">
        <v>0</v>
      </c>
      <c r="J114" s="451">
        <v>49224093</v>
      </c>
      <c r="K114" s="451">
        <v>0</v>
      </c>
      <c r="L114" s="451">
        <v>0</v>
      </c>
      <c r="M114" s="451">
        <v>24612047</v>
      </c>
      <c r="N114" s="451">
        <v>49224093</v>
      </c>
      <c r="O114" s="451">
        <v>179973</v>
      </c>
      <c r="P114" s="451">
        <v>179973</v>
      </c>
      <c r="Q114" s="451">
        <v>0</v>
      </c>
      <c r="R114" s="451">
        <v>0</v>
      </c>
      <c r="S114" s="451">
        <v>0</v>
      </c>
      <c r="T114" s="451">
        <v>0</v>
      </c>
      <c r="U114" s="451">
        <v>0</v>
      </c>
      <c r="V114" s="451">
        <v>0</v>
      </c>
      <c r="W114" s="451">
        <v>0</v>
      </c>
      <c r="X114" s="451">
        <v>0</v>
      </c>
      <c r="Y114" s="451">
        <v>0</v>
      </c>
      <c r="Z114" s="451">
        <v>0</v>
      </c>
      <c r="AA114" s="451">
        <v>0</v>
      </c>
      <c r="AB114" s="451">
        <v>2103589.44</v>
      </c>
      <c r="AC114" s="451">
        <v>1682871</v>
      </c>
      <c r="AD114" s="451">
        <v>420718</v>
      </c>
      <c r="AE114" s="451">
        <v>0</v>
      </c>
      <c r="AF114" s="451">
        <v>4207178.4400000004</v>
      </c>
      <c r="AG114" s="451">
        <v>484833.83</v>
      </c>
      <c r="AH114" s="451">
        <v>387867</v>
      </c>
      <c r="AI114" s="451">
        <v>96967</v>
      </c>
      <c r="AJ114" s="451">
        <v>0</v>
      </c>
      <c r="AK114" s="451">
        <v>969667.83</v>
      </c>
      <c r="AL114" s="451">
        <v>1295100.3600000001</v>
      </c>
      <c r="AM114" s="451">
        <v>1036081</v>
      </c>
      <c r="AN114" s="451">
        <v>259020</v>
      </c>
      <c r="AO114" s="451">
        <v>0</v>
      </c>
      <c r="AP114" s="451">
        <v>2590201.36</v>
      </c>
      <c r="AQ114" s="451">
        <v>150109</v>
      </c>
      <c r="AR114" s="451">
        <v>120088</v>
      </c>
      <c r="AS114" s="451">
        <v>30022</v>
      </c>
      <c r="AT114" s="451">
        <v>0</v>
      </c>
      <c r="AU114" s="451">
        <v>300219</v>
      </c>
      <c r="AV114" s="451">
        <v>1445209.36</v>
      </c>
      <c r="AW114" s="451">
        <v>1156169</v>
      </c>
      <c r="AX114" s="451">
        <v>289042</v>
      </c>
      <c r="AY114" s="451">
        <v>0</v>
      </c>
      <c r="AZ114" s="451">
        <v>2890420.36</v>
      </c>
      <c r="BA114" s="451">
        <v>0</v>
      </c>
      <c r="BB114" s="451">
        <v>0</v>
      </c>
      <c r="BC114" s="451">
        <v>0</v>
      </c>
      <c r="BD114" s="451">
        <v>0</v>
      </c>
      <c r="BE114" s="451">
        <v>0</v>
      </c>
      <c r="BF114" s="451">
        <v>278126</v>
      </c>
      <c r="BG114" s="451">
        <v>222501</v>
      </c>
      <c r="BH114" s="451">
        <v>55625</v>
      </c>
      <c r="BI114" s="451">
        <v>0</v>
      </c>
      <c r="BJ114" s="451">
        <v>556252</v>
      </c>
      <c r="BK114" s="451">
        <v>278126</v>
      </c>
      <c r="BL114" s="451">
        <v>222501</v>
      </c>
      <c r="BM114" s="451">
        <v>55625</v>
      </c>
      <c r="BN114" s="451">
        <v>0</v>
      </c>
      <c r="BO114" s="451">
        <v>556252</v>
      </c>
      <c r="BP114" s="451">
        <v>0</v>
      </c>
      <c r="BQ114" s="451">
        <v>0</v>
      </c>
      <c r="BR114" s="451">
        <v>0</v>
      </c>
      <c r="BS114" s="451">
        <v>0</v>
      </c>
      <c r="BT114" s="451">
        <v>0</v>
      </c>
      <c r="BU114" s="451">
        <v>263407</v>
      </c>
      <c r="BV114" s="451">
        <v>210726</v>
      </c>
      <c r="BW114" s="451">
        <v>52681</v>
      </c>
      <c r="BX114" s="451">
        <v>0</v>
      </c>
      <c r="BY114" s="451">
        <v>526814</v>
      </c>
      <c r="BZ114" s="451">
        <v>263407</v>
      </c>
      <c r="CA114" s="451">
        <v>210726</v>
      </c>
      <c r="CB114" s="451">
        <v>52681</v>
      </c>
      <c r="CC114" s="451">
        <v>0</v>
      </c>
      <c r="CD114" s="451">
        <v>526814</v>
      </c>
      <c r="CE114" s="104"/>
      <c r="CF114" s="104"/>
      <c r="CG114" s="104"/>
    </row>
    <row r="115" spans="1:85" ht="12.75" x14ac:dyDescent="0.2">
      <c r="A115" s="446">
        <v>108</v>
      </c>
      <c r="B115" s="447" t="s">
        <v>99</v>
      </c>
      <c r="C115" s="448" t="s">
        <v>1093</v>
      </c>
      <c r="D115" s="449" t="s">
        <v>1094</v>
      </c>
      <c r="E115" s="450" t="s">
        <v>98</v>
      </c>
      <c r="F115" s="451">
        <v>5673070</v>
      </c>
      <c r="G115" s="451">
        <v>4538456</v>
      </c>
      <c r="H115" s="451">
        <v>1021153</v>
      </c>
      <c r="I115" s="451">
        <v>113461</v>
      </c>
      <c r="J115" s="451">
        <v>11346140</v>
      </c>
      <c r="K115" s="451">
        <v>110415</v>
      </c>
      <c r="L115" s="451">
        <v>110415</v>
      </c>
      <c r="M115" s="451">
        <v>5562655</v>
      </c>
      <c r="N115" s="451">
        <v>11235725</v>
      </c>
      <c r="O115" s="451">
        <v>81989</v>
      </c>
      <c r="P115" s="451">
        <v>81989</v>
      </c>
      <c r="Q115" s="451">
        <v>0</v>
      </c>
      <c r="R115" s="451">
        <v>0</v>
      </c>
      <c r="S115" s="451">
        <v>0</v>
      </c>
      <c r="T115" s="451">
        <v>0</v>
      </c>
      <c r="U115" s="451">
        <v>0</v>
      </c>
      <c r="V115" s="451">
        <v>0</v>
      </c>
      <c r="W115" s="451">
        <v>0</v>
      </c>
      <c r="X115" s="451">
        <v>110415</v>
      </c>
      <c r="Y115" s="451">
        <v>0</v>
      </c>
      <c r="Z115" s="451">
        <v>0</v>
      </c>
      <c r="AA115" s="451">
        <v>110415</v>
      </c>
      <c r="AB115" s="451">
        <v>442321</v>
      </c>
      <c r="AC115" s="451">
        <v>353857</v>
      </c>
      <c r="AD115" s="451">
        <v>79618</v>
      </c>
      <c r="AE115" s="451">
        <v>8846</v>
      </c>
      <c r="AF115" s="451">
        <v>884642</v>
      </c>
      <c r="AG115" s="451">
        <v>161038</v>
      </c>
      <c r="AH115" s="451">
        <v>128831</v>
      </c>
      <c r="AI115" s="451">
        <v>28987</v>
      </c>
      <c r="AJ115" s="451">
        <v>3221</v>
      </c>
      <c r="AK115" s="451">
        <v>322077</v>
      </c>
      <c r="AL115" s="451">
        <v>242100</v>
      </c>
      <c r="AM115" s="451">
        <v>193680</v>
      </c>
      <c r="AN115" s="451">
        <v>43578</v>
      </c>
      <c r="AO115" s="451">
        <v>4842</v>
      </c>
      <c r="AP115" s="451">
        <v>484200</v>
      </c>
      <c r="AQ115" s="451">
        <v>24150</v>
      </c>
      <c r="AR115" s="451">
        <v>19320</v>
      </c>
      <c r="AS115" s="451">
        <v>4347</v>
      </c>
      <c r="AT115" s="451">
        <v>483</v>
      </c>
      <c r="AU115" s="451">
        <v>48300</v>
      </c>
      <c r="AV115" s="451">
        <v>266250</v>
      </c>
      <c r="AW115" s="451">
        <v>213000</v>
      </c>
      <c r="AX115" s="451">
        <v>47925</v>
      </c>
      <c r="AY115" s="451">
        <v>5325</v>
      </c>
      <c r="AZ115" s="451">
        <v>532500</v>
      </c>
      <c r="BA115" s="451">
        <v>0</v>
      </c>
      <c r="BB115" s="451">
        <v>0</v>
      </c>
      <c r="BC115" s="451">
        <v>0</v>
      </c>
      <c r="BD115" s="451">
        <v>0</v>
      </c>
      <c r="BE115" s="451">
        <v>0</v>
      </c>
      <c r="BF115" s="451">
        <v>353142</v>
      </c>
      <c r="BG115" s="451">
        <v>282513</v>
      </c>
      <c r="BH115" s="451">
        <v>63565</v>
      </c>
      <c r="BI115" s="451">
        <v>7063</v>
      </c>
      <c r="BJ115" s="451">
        <v>706283</v>
      </c>
      <c r="BK115" s="451">
        <v>353142</v>
      </c>
      <c r="BL115" s="451">
        <v>282513</v>
      </c>
      <c r="BM115" s="451">
        <v>63565</v>
      </c>
      <c r="BN115" s="451">
        <v>7063</v>
      </c>
      <c r="BO115" s="451">
        <v>706283</v>
      </c>
      <c r="BP115" s="451">
        <v>0</v>
      </c>
      <c r="BQ115" s="451">
        <v>0</v>
      </c>
      <c r="BR115" s="451">
        <v>0</v>
      </c>
      <c r="BS115" s="451">
        <v>0</v>
      </c>
      <c r="BT115" s="451">
        <v>0</v>
      </c>
      <c r="BU115" s="451">
        <v>1278449</v>
      </c>
      <c r="BV115" s="451">
        <v>1022760</v>
      </c>
      <c r="BW115" s="451">
        <v>230121</v>
      </c>
      <c r="BX115" s="451">
        <v>25569</v>
      </c>
      <c r="BY115" s="451">
        <v>2556899</v>
      </c>
      <c r="BZ115" s="451">
        <v>1278449</v>
      </c>
      <c r="CA115" s="451">
        <v>1022760</v>
      </c>
      <c r="CB115" s="451">
        <v>230121</v>
      </c>
      <c r="CC115" s="451">
        <v>25569</v>
      </c>
      <c r="CD115" s="451">
        <v>2556899</v>
      </c>
      <c r="CE115" s="104"/>
      <c r="CF115" s="104"/>
      <c r="CG115" s="104"/>
    </row>
    <row r="116" spans="1:85" ht="12.75" x14ac:dyDescent="0.2">
      <c r="A116" s="446">
        <v>109</v>
      </c>
      <c r="B116" s="447" t="s">
        <v>101</v>
      </c>
      <c r="C116" s="448" t="s">
        <v>1093</v>
      </c>
      <c r="D116" s="449" t="s">
        <v>1094</v>
      </c>
      <c r="E116" s="450" t="s">
        <v>100</v>
      </c>
      <c r="F116" s="451">
        <v>10347591</v>
      </c>
      <c r="G116" s="451">
        <v>8278072</v>
      </c>
      <c r="H116" s="451">
        <v>1862566</v>
      </c>
      <c r="I116" s="451">
        <v>206952</v>
      </c>
      <c r="J116" s="451">
        <v>20695181</v>
      </c>
      <c r="K116" s="451">
        <v>0</v>
      </c>
      <c r="L116" s="451">
        <v>0</v>
      </c>
      <c r="M116" s="451">
        <v>10347591</v>
      </c>
      <c r="N116" s="451">
        <v>20695181</v>
      </c>
      <c r="O116" s="451">
        <v>98428</v>
      </c>
      <c r="P116" s="451">
        <v>98428</v>
      </c>
      <c r="Q116" s="451">
        <v>0</v>
      </c>
      <c r="R116" s="451">
        <v>0</v>
      </c>
      <c r="S116" s="451">
        <v>0</v>
      </c>
      <c r="T116" s="451">
        <v>0</v>
      </c>
      <c r="U116" s="451">
        <v>0</v>
      </c>
      <c r="V116" s="451">
        <v>0</v>
      </c>
      <c r="W116" s="451">
        <v>0</v>
      </c>
      <c r="X116" s="451">
        <v>0</v>
      </c>
      <c r="Y116" s="451">
        <v>0</v>
      </c>
      <c r="Z116" s="451">
        <v>0</v>
      </c>
      <c r="AA116" s="451">
        <v>0</v>
      </c>
      <c r="AB116" s="451">
        <v>905690.63</v>
      </c>
      <c r="AC116" s="451">
        <v>724553</v>
      </c>
      <c r="AD116" s="451">
        <v>163024</v>
      </c>
      <c r="AE116" s="451">
        <v>18114</v>
      </c>
      <c r="AF116" s="451">
        <v>1811381.63</v>
      </c>
      <c r="AG116" s="451">
        <v>115428.91</v>
      </c>
      <c r="AH116" s="451">
        <v>92343</v>
      </c>
      <c r="AI116" s="451">
        <v>20777</v>
      </c>
      <c r="AJ116" s="451">
        <v>2309</v>
      </c>
      <c r="AK116" s="451">
        <v>230857.91</v>
      </c>
      <c r="AL116" s="451">
        <v>0</v>
      </c>
      <c r="AM116" s="451">
        <v>0</v>
      </c>
      <c r="AN116" s="451">
        <v>0</v>
      </c>
      <c r="AO116" s="451">
        <v>0</v>
      </c>
      <c r="AP116" s="451">
        <v>0</v>
      </c>
      <c r="AQ116" s="451">
        <v>99621.15</v>
      </c>
      <c r="AR116" s="451">
        <v>79696</v>
      </c>
      <c r="AS116" s="451">
        <v>17932</v>
      </c>
      <c r="AT116" s="451">
        <v>1992</v>
      </c>
      <c r="AU116" s="451">
        <v>199241.15</v>
      </c>
      <c r="AV116" s="451">
        <v>99621.15</v>
      </c>
      <c r="AW116" s="451">
        <v>79696</v>
      </c>
      <c r="AX116" s="451">
        <v>17932</v>
      </c>
      <c r="AY116" s="451">
        <v>1992</v>
      </c>
      <c r="AZ116" s="451">
        <v>199241.15</v>
      </c>
      <c r="BA116" s="451">
        <v>0</v>
      </c>
      <c r="BB116" s="451">
        <v>0</v>
      </c>
      <c r="BC116" s="451">
        <v>0</v>
      </c>
      <c r="BD116" s="451">
        <v>0</v>
      </c>
      <c r="BE116" s="451">
        <v>0</v>
      </c>
      <c r="BF116" s="451">
        <v>62608</v>
      </c>
      <c r="BG116" s="451">
        <v>50086</v>
      </c>
      <c r="BH116" s="451">
        <v>11269</v>
      </c>
      <c r="BI116" s="451">
        <v>1252</v>
      </c>
      <c r="BJ116" s="451">
        <v>125215</v>
      </c>
      <c r="BK116" s="451">
        <v>62608</v>
      </c>
      <c r="BL116" s="451">
        <v>50086</v>
      </c>
      <c r="BM116" s="451">
        <v>11269</v>
      </c>
      <c r="BN116" s="451">
        <v>1252</v>
      </c>
      <c r="BO116" s="451">
        <v>125215</v>
      </c>
      <c r="BP116" s="451">
        <v>0</v>
      </c>
      <c r="BQ116" s="451">
        <v>0</v>
      </c>
      <c r="BR116" s="451">
        <v>0</v>
      </c>
      <c r="BS116" s="451">
        <v>0</v>
      </c>
      <c r="BT116" s="451">
        <v>0</v>
      </c>
      <c r="BU116" s="451">
        <v>209599</v>
      </c>
      <c r="BV116" s="451">
        <v>167680</v>
      </c>
      <c r="BW116" s="451">
        <v>37728</v>
      </c>
      <c r="BX116" s="451">
        <v>4192</v>
      </c>
      <c r="BY116" s="451">
        <v>419199</v>
      </c>
      <c r="BZ116" s="451">
        <v>209599</v>
      </c>
      <c r="CA116" s="451">
        <v>167680</v>
      </c>
      <c r="CB116" s="451">
        <v>37728</v>
      </c>
      <c r="CC116" s="451">
        <v>4192</v>
      </c>
      <c r="CD116" s="451">
        <v>419199</v>
      </c>
      <c r="CE116" s="104"/>
      <c r="CF116" s="104"/>
      <c r="CG116" s="104"/>
    </row>
    <row r="117" spans="1:85" ht="12.75" x14ac:dyDescent="0.2">
      <c r="A117" s="446">
        <v>110</v>
      </c>
      <c r="B117" s="447" t="s">
        <v>103</v>
      </c>
      <c r="C117" s="448" t="s">
        <v>1093</v>
      </c>
      <c r="D117" s="449" t="s">
        <v>1097</v>
      </c>
      <c r="E117" s="450" t="s">
        <v>102</v>
      </c>
      <c r="F117" s="451">
        <v>9292442</v>
      </c>
      <c r="G117" s="451">
        <v>7433954</v>
      </c>
      <c r="H117" s="451">
        <v>1858489</v>
      </c>
      <c r="I117" s="451">
        <v>0</v>
      </c>
      <c r="J117" s="451">
        <v>18584885</v>
      </c>
      <c r="K117" s="451">
        <v>349878</v>
      </c>
      <c r="L117" s="451">
        <v>349878</v>
      </c>
      <c r="M117" s="451">
        <v>8942564</v>
      </c>
      <c r="N117" s="451">
        <v>18235007</v>
      </c>
      <c r="O117" s="451">
        <v>185992</v>
      </c>
      <c r="P117" s="451">
        <v>185992</v>
      </c>
      <c r="Q117" s="451">
        <v>0</v>
      </c>
      <c r="R117" s="451">
        <v>0</v>
      </c>
      <c r="S117" s="451">
        <v>0</v>
      </c>
      <c r="T117" s="451">
        <v>0</v>
      </c>
      <c r="U117" s="451">
        <v>0</v>
      </c>
      <c r="V117" s="451">
        <v>0</v>
      </c>
      <c r="W117" s="451">
        <v>0</v>
      </c>
      <c r="X117" s="451">
        <v>349878</v>
      </c>
      <c r="Y117" s="451">
        <v>0</v>
      </c>
      <c r="Z117" s="451">
        <v>0</v>
      </c>
      <c r="AA117" s="451">
        <v>349878</v>
      </c>
      <c r="AB117" s="451">
        <v>472594</v>
      </c>
      <c r="AC117" s="451">
        <v>378076</v>
      </c>
      <c r="AD117" s="451">
        <v>94519</v>
      </c>
      <c r="AE117" s="451">
        <v>0</v>
      </c>
      <c r="AF117" s="451">
        <v>945189</v>
      </c>
      <c r="AG117" s="451">
        <v>179779</v>
      </c>
      <c r="AH117" s="451">
        <v>143823</v>
      </c>
      <c r="AI117" s="451">
        <v>35956</v>
      </c>
      <c r="AJ117" s="451">
        <v>0</v>
      </c>
      <c r="AK117" s="451">
        <v>359558</v>
      </c>
      <c r="AL117" s="451">
        <v>145795.68</v>
      </c>
      <c r="AM117" s="451">
        <v>116636</v>
      </c>
      <c r="AN117" s="451">
        <v>29159</v>
      </c>
      <c r="AO117" s="451">
        <v>0</v>
      </c>
      <c r="AP117" s="451">
        <v>291590.68</v>
      </c>
      <c r="AQ117" s="451">
        <v>14282</v>
      </c>
      <c r="AR117" s="451">
        <v>11426</v>
      </c>
      <c r="AS117" s="451">
        <v>2857</v>
      </c>
      <c r="AT117" s="451">
        <v>0</v>
      </c>
      <c r="AU117" s="451">
        <v>28565</v>
      </c>
      <c r="AV117" s="451">
        <v>160077.68</v>
      </c>
      <c r="AW117" s="451">
        <v>128062</v>
      </c>
      <c r="AX117" s="451">
        <v>32016</v>
      </c>
      <c r="AY117" s="451">
        <v>0</v>
      </c>
      <c r="AZ117" s="451">
        <v>320155.68</v>
      </c>
      <c r="BA117" s="451">
        <v>0</v>
      </c>
      <c r="BB117" s="451">
        <v>0</v>
      </c>
      <c r="BC117" s="451">
        <v>0</v>
      </c>
      <c r="BD117" s="451">
        <v>0</v>
      </c>
      <c r="BE117" s="451">
        <v>0</v>
      </c>
      <c r="BF117" s="451">
        <v>649063</v>
      </c>
      <c r="BG117" s="451">
        <v>519251</v>
      </c>
      <c r="BH117" s="451">
        <v>129813</v>
      </c>
      <c r="BI117" s="451">
        <v>0</v>
      </c>
      <c r="BJ117" s="451">
        <v>1298127</v>
      </c>
      <c r="BK117" s="451">
        <v>649063</v>
      </c>
      <c r="BL117" s="451">
        <v>519251</v>
      </c>
      <c r="BM117" s="451">
        <v>129813</v>
      </c>
      <c r="BN117" s="451">
        <v>0</v>
      </c>
      <c r="BO117" s="451">
        <v>1298127</v>
      </c>
      <c r="BP117" s="451">
        <v>0</v>
      </c>
      <c r="BQ117" s="451">
        <v>0</v>
      </c>
      <c r="BR117" s="451">
        <v>0</v>
      </c>
      <c r="BS117" s="451">
        <v>0</v>
      </c>
      <c r="BT117" s="451">
        <v>0</v>
      </c>
      <c r="BU117" s="451">
        <v>4731461</v>
      </c>
      <c r="BV117" s="451">
        <v>3785168</v>
      </c>
      <c r="BW117" s="451">
        <v>946292</v>
      </c>
      <c r="BX117" s="451">
        <v>0</v>
      </c>
      <c r="BY117" s="451">
        <v>9462921</v>
      </c>
      <c r="BZ117" s="451">
        <v>4731461</v>
      </c>
      <c r="CA117" s="451">
        <v>3785168</v>
      </c>
      <c r="CB117" s="451">
        <v>946292</v>
      </c>
      <c r="CC117" s="451">
        <v>0</v>
      </c>
      <c r="CD117" s="451">
        <v>9462921</v>
      </c>
      <c r="CE117" s="104"/>
      <c r="CF117" s="104"/>
      <c r="CG117" s="104"/>
    </row>
    <row r="118" spans="1:85" ht="12.75" x14ac:dyDescent="0.2">
      <c r="A118" s="446">
        <v>111</v>
      </c>
      <c r="B118" s="447" t="s">
        <v>105</v>
      </c>
      <c r="C118" s="448" t="s">
        <v>1104</v>
      </c>
      <c r="D118" s="449" t="s">
        <v>1099</v>
      </c>
      <c r="E118" s="450" t="s">
        <v>104</v>
      </c>
      <c r="F118" s="451">
        <v>31728389</v>
      </c>
      <c r="G118" s="451">
        <v>19037033</v>
      </c>
      <c r="H118" s="451">
        <v>12691355</v>
      </c>
      <c r="I118" s="451">
        <v>0</v>
      </c>
      <c r="J118" s="451">
        <v>63456777</v>
      </c>
      <c r="K118" s="451">
        <v>0</v>
      </c>
      <c r="L118" s="451">
        <v>0</v>
      </c>
      <c r="M118" s="451">
        <v>31728389</v>
      </c>
      <c r="N118" s="451">
        <v>63456777</v>
      </c>
      <c r="O118" s="451">
        <v>275906</v>
      </c>
      <c r="P118" s="451">
        <v>275906</v>
      </c>
      <c r="Q118" s="451">
        <v>0</v>
      </c>
      <c r="R118" s="451">
        <v>0</v>
      </c>
      <c r="S118" s="451">
        <v>0</v>
      </c>
      <c r="T118" s="451">
        <v>0</v>
      </c>
      <c r="U118" s="451">
        <v>0</v>
      </c>
      <c r="V118" s="451">
        <v>0</v>
      </c>
      <c r="W118" s="451">
        <v>0</v>
      </c>
      <c r="X118" s="451">
        <v>0</v>
      </c>
      <c r="Y118" s="451">
        <v>0</v>
      </c>
      <c r="Z118" s="451">
        <v>0</v>
      </c>
      <c r="AA118" s="451">
        <v>0</v>
      </c>
      <c r="AB118" s="451">
        <v>1065194</v>
      </c>
      <c r="AC118" s="451">
        <v>639116</v>
      </c>
      <c r="AD118" s="451">
        <v>426078</v>
      </c>
      <c r="AE118" s="451">
        <v>0</v>
      </c>
      <c r="AF118" s="451">
        <v>2130388</v>
      </c>
      <c r="AG118" s="451">
        <v>814826</v>
      </c>
      <c r="AH118" s="451">
        <v>488896</v>
      </c>
      <c r="AI118" s="451">
        <v>325931</v>
      </c>
      <c r="AJ118" s="451">
        <v>0</v>
      </c>
      <c r="AK118" s="451">
        <v>1629653</v>
      </c>
      <c r="AL118" s="451">
        <v>658245</v>
      </c>
      <c r="AM118" s="451">
        <v>394947</v>
      </c>
      <c r="AN118" s="451">
        <v>263298</v>
      </c>
      <c r="AO118" s="451">
        <v>0</v>
      </c>
      <c r="AP118" s="451">
        <v>1316490</v>
      </c>
      <c r="AQ118" s="451">
        <v>422768</v>
      </c>
      <c r="AR118" s="451">
        <v>253661</v>
      </c>
      <c r="AS118" s="451">
        <v>169107</v>
      </c>
      <c r="AT118" s="451">
        <v>0</v>
      </c>
      <c r="AU118" s="451">
        <v>845536</v>
      </c>
      <c r="AV118" s="451">
        <v>1081013</v>
      </c>
      <c r="AW118" s="451">
        <v>648608</v>
      </c>
      <c r="AX118" s="451">
        <v>432405</v>
      </c>
      <c r="AY118" s="451">
        <v>0</v>
      </c>
      <c r="AZ118" s="451">
        <v>2162026</v>
      </c>
      <c r="BA118" s="451">
        <v>0</v>
      </c>
      <c r="BB118" s="451">
        <v>0</v>
      </c>
      <c r="BC118" s="451">
        <v>0</v>
      </c>
      <c r="BD118" s="451">
        <v>0</v>
      </c>
      <c r="BE118" s="451">
        <v>0</v>
      </c>
      <c r="BF118" s="451">
        <v>717000</v>
      </c>
      <c r="BG118" s="451">
        <v>430200</v>
      </c>
      <c r="BH118" s="451">
        <v>286800</v>
      </c>
      <c r="BI118" s="451">
        <v>0</v>
      </c>
      <c r="BJ118" s="451">
        <v>1434000</v>
      </c>
      <c r="BK118" s="451">
        <v>717000</v>
      </c>
      <c r="BL118" s="451">
        <v>430200</v>
      </c>
      <c r="BM118" s="451">
        <v>286800</v>
      </c>
      <c r="BN118" s="451">
        <v>0</v>
      </c>
      <c r="BO118" s="451">
        <v>1434000</v>
      </c>
      <c r="BP118" s="451">
        <v>0</v>
      </c>
      <c r="BQ118" s="451">
        <v>0</v>
      </c>
      <c r="BR118" s="451">
        <v>0</v>
      </c>
      <c r="BS118" s="451">
        <v>0</v>
      </c>
      <c r="BT118" s="451">
        <v>0</v>
      </c>
      <c r="BU118" s="451">
        <v>1379000</v>
      </c>
      <c r="BV118" s="451">
        <v>827400</v>
      </c>
      <c r="BW118" s="451">
        <v>551600</v>
      </c>
      <c r="BX118" s="451">
        <v>0</v>
      </c>
      <c r="BY118" s="451">
        <v>2758000</v>
      </c>
      <c r="BZ118" s="451">
        <v>1379000</v>
      </c>
      <c r="CA118" s="451">
        <v>827400</v>
      </c>
      <c r="CB118" s="451">
        <v>551600</v>
      </c>
      <c r="CC118" s="451">
        <v>0</v>
      </c>
      <c r="CD118" s="451">
        <v>2758000</v>
      </c>
      <c r="CE118" s="104"/>
      <c r="CF118" s="104"/>
      <c r="CG118" s="104"/>
    </row>
    <row r="119" spans="1:85" ht="12.75" x14ac:dyDescent="0.2">
      <c r="A119" s="446">
        <v>112</v>
      </c>
      <c r="B119" s="447" t="s">
        <v>107</v>
      </c>
      <c r="C119" s="448" t="s">
        <v>1093</v>
      </c>
      <c r="D119" s="449" t="s">
        <v>1094</v>
      </c>
      <c r="E119" s="450" t="s">
        <v>106</v>
      </c>
      <c r="F119" s="451">
        <v>36762037</v>
      </c>
      <c r="G119" s="451">
        <v>29409630</v>
      </c>
      <c r="H119" s="451">
        <v>7352407</v>
      </c>
      <c r="I119" s="451">
        <v>0</v>
      </c>
      <c r="J119" s="451">
        <v>73524074</v>
      </c>
      <c r="K119" s="451">
        <v>0</v>
      </c>
      <c r="L119" s="451">
        <v>0</v>
      </c>
      <c r="M119" s="451">
        <v>36762037</v>
      </c>
      <c r="N119" s="451">
        <v>73524074</v>
      </c>
      <c r="O119" s="451">
        <v>237981</v>
      </c>
      <c r="P119" s="451">
        <v>237981</v>
      </c>
      <c r="Q119" s="451">
        <v>0</v>
      </c>
      <c r="R119" s="451">
        <v>0</v>
      </c>
      <c r="S119" s="451">
        <v>0</v>
      </c>
      <c r="T119" s="451">
        <v>0</v>
      </c>
      <c r="U119" s="451">
        <v>0</v>
      </c>
      <c r="V119" s="451">
        <v>0</v>
      </c>
      <c r="W119" s="451">
        <v>0</v>
      </c>
      <c r="X119" s="451">
        <v>0</v>
      </c>
      <c r="Y119" s="451">
        <v>0</v>
      </c>
      <c r="Z119" s="451">
        <v>0</v>
      </c>
      <c r="AA119" s="451">
        <v>0</v>
      </c>
      <c r="AB119" s="451">
        <v>556901</v>
      </c>
      <c r="AC119" s="451">
        <v>445521</v>
      </c>
      <c r="AD119" s="451">
        <v>111380</v>
      </c>
      <c r="AE119" s="451">
        <v>0</v>
      </c>
      <c r="AF119" s="451">
        <v>1113802</v>
      </c>
      <c r="AG119" s="451">
        <v>1118163</v>
      </c>
      <c r="AH119" s="451">
        <v>894530</v>
      </c>
      <c r="AI119" s="451">
        <v>223633</v>
      </c>
      <c r="AJ119" s="451">
        <v>0</v>
      </c>
      <c r="AK119" s="451">
        <v>2236326</v>
      </c>
      <c r="AL119" s="451">
        <v>334840</v>
      </c>
      <c r="AM119" s="451">
        <v>267872</v>
      </c>
      <c r="AN119" s="451">
        <v>66968</v>
      </c>
      <c r="AO119" s="451">
        <v>0</v>
      </c>
      <c r="AP119" s="451">
        <v>669680</v>
      </c>
      <c r="AQ119" s="451">
        <v>23414</v>
      </c>
      <c r="AR119" s="451">
        <v>18732</v>
      </c>
      <c r="AS119" s="451">
        <v>4683</v>
      </c>
      <c r="AT119" s="451">
        <v>0</v>
      </c>
      <c r="AU119" s="451">
        <v>46829</v>
      </c>
      <c r="AV119" s="451">
        <v>358254</v>
      </c>
      <c r="AW119" s="451">
        <v>286604</v>
      </c>
      <c r="AX119" s="451">
        <v>71651</v>
      </c>
      <c r="AY119" s="451">
        <v>0</v>
      </c>
      <c r="AZ119" s="451">
        <v>716509</v>
      </c>
      <c r="BA119" s="451">
        <v>0</v>
      </c>
      <c r="BB119" s="451">
        <v>0</v>
      </c>
      <c r="BC119" s="451">
        <v>0</v>
      </c>
      <c r="BD119" s="451">
        <v>0</v>
      </c>
      <c r="BE119" s="451">
        <v>0</v>
      </c>
      <c r="BF119" s="451">
        <v>550000</v>
      </c>
      <c r="BG119" s="451">
        <v>440000</v>
      </c>
      <c r="BH119" s="451">
        <v>110000</v>
      </c>
      <c r="BI119" s="451">
        <v>0</v>
      </c>
      <c r="BJ119" s="451">
        <v>1100000</v>
      </c>
      <c r="BK119" s="451">
        <v>550000</v>
      </c>
      <c r="BL119" s="451">
        <v>440000</v>
      </c>
      <c r="BM119" s="451">
        <v>110000</v>
      </c>
      <c r="BN119" s="451">
        <v>0</v>
      </c>
      <c r="BO119" s="451">
        <v>1100000</v>
      </c>
      <c r="BP119" s="451">
        <v>0</v>
      </c>
      <c r="BQ119" s="451">
        <v>0</v>
      </c>
      <c r="BR119" s="451">
        <v>0</v>
      </c>
      <c r="BS119" s="451">
        <v>0</v>
      </c>
      <c r="BT119" s="451">
        <v>0</v>
      </c>
      <c r="BU119" s="451">
        <v>1400000</v>
      </c>
      <c r="BV119" s="451">
        <v>1120000</v>
      </c>
      <c r="BW119" s="451">
        <v>280000</v>
      </c>
      <c r="BX119" s="451">
        <v>0</v>
      </c>
      <c r="BY119" s="451">
        <v>2800000</v>
      </c>
      <c r="BZ119" s="451">
        <v>1400000</v>
      </c>
      <c r="CA119" s="451">
        <v>1120000</v>
      </c>
      <c r="CB119" s="451">
        <v>280000</v>
      </c>
      <c r="CC119" s="451">
        <v>0</v>
      </c>
      <c r="CD119" s="451">
        <v>2800000</v>
      </c>
      <c r="CE119" s="104"/>
      <c r="CF119" s="104"/>
      <c r="CG119" s="104"/>
    </row>
    <row r="120" spans="1:85" ht="12.75" x14ac:dyDescent="0.2">
      <c r="A120" s="446">
        <v>113</v>
      </c>
      <c r="B120" s="447" t="s">
        <v>109</v>
      </c>
      <c r="C120" s="448" t="s">
        <v>1104</v>
      </c>
      <c r="D120" s="449" t="s">
        <v>1099</v>
      </c>
      <c r="E120" s="450" t="s">
        <v>108</v>
      </c>
      <c r="F120" s="451">
        <v>41334910</v>
      </c>
      <c r="G120" s="451">
        <v>24800946</v>
      </c>
      <c r="H120" s="451">
        <v>16533964</v>
      </c>
      <c r="I120" s="451">
        <v>0</v>
      </c>
      <c r="J120" s="451">
        <v>82669820</v>
      </c>
      <c r="K120" s="451">
        <v>0</v>
      </c>
      <c r="L120" s="451">
        <v>0</v>
      </c>
      <c r="M120" s="451">
        <v>41334910</v>
      </c>
      <c r="N120" s="451">
        <v>82669820</v>
      </c>
      <c r="O120" s="451">
        <v>506812</v>
      </c>
      <c r="P120" s="451">
        <v>506812</v>
      </c>
      <c r="Q120" s="451">
        <v>0</v>
      </c>
      <c r="R120" s="451">
        <v>0</v>
      </c>
      <c r="S120" s="451">
        <v>0</v>
      </c>
      <c r="T120" s="451">
        <v>0</v>
      </c>
      <c r="U120" s="451">
        <v>0</v>
      </c>
      <c r="V120" s="451">
        <v>0</v>
      </c>
      <c r="W120" s="451">
        <v>0</v>
      </c>
      <c r="X120" s="451">
        <v>0</v>
      </c>
      <c r="Y120" s="451">
        <v>0</v>
      </c>
      <c r="Z120" s="451">
        <v>0</v>
      </c>
      <c r="AA120" s="451">
        <v>0</v>
      </c>
      <c r="AB120" s="451">
        <v>9228829</v>
      </c>
      <c r="AC120" s="451">
        <v>5537298</v>
      </c>
      <c r="AD120" s="451">
        <v>3691532</v>
      </c>
      <c r="AE120" s="451">
        <v>0</v>
      </c>
      <c r="AF120" s="451">
        <v>18457659</v>
      </c>
      <c r="AG120" s="451">
        <v>3177522</v>
      </c>
      <c r="AH120" s="451">
        <v>1906513</v>
      </c>
      <c r="AI120" s="451">
        <v>1271009</v>
      </c>
      <c r="AJ120" s="451">
        <v>0</v>
      </c>
      <c r="AK120" s="451">
        <v>6355044</v>
      </c>
      <c r="AL120" s="451">
        <v>4165820</v>
      </c>
      <c r="AM120" s="451">
        <v>2499492</v>
      </c>
      <c r="AN120" s="451">
        <v>1666328</v>
      </c>
      <c r="AO120" s="451">
        <v>0</v>
      </c>
      <c r="AP120" s="451">
        <v>8331640</v>
      </c>
      <c r="AQ120" s="451">
        <v>1187701</v>
      </c>
      <c r="AR120" s="451">
        <v>712621</v>
      </c>
      <c r="AS120" s="451">
        <v>475080</v>
      </c>
      <c r="AT120" s="451">
        <v>0</v>
      </c>
      <c r="AU120" s="451">
        <v>2375402</v>
      </c>
      <c r="AV120" s="451">
        <v>5353521</v>
      </c>
      <c r="AW120" s="451">
        <v>3212113</v>
      </c>
      <c r="AX120" s="451">
        <v>2141408</v>
      </c>
      <c r="AY120" s="451">
        <v>0</v>
      </c>
      <c r="AZ120" s="451">
        <v>10707042</v>
      </c>
      <c r="BA120" s="451">
        <v>0</v>
      </c>
      <c r="BB120" s="451">
        <v>0</v>
      </c>
      <c r="BC120" s="451">
        <v>0</v>
      </c>
      <c r="BD120" s="451">
        <v>0</v>
      </c>
      <c r="BE120" s="451">
        <v>0</v>
      </c>
      <c r="BF120" s="451">
        <v>278672</v>
      </c>
      <c r="BG120" s="451">
        <v>167204</v>
      </c>
      <c r="BH120" s="451">
        <v>111469</v>
      </c>
      <c r="BI120" s="451">
        <v>0</v>
      </c>
      <c r="BJ120" s="451">
        <v>557345</v>
      </c>
      <c r="BK120" s="451">
        <v>278672</v>
      </c>
      <c r="BL120" s="451">
        <v>167204</v>
      </c>
      <c r="BM120" s="451">
        <v>111469</v>
      </c>
      <c r="BN120" s="451">
        <v>0</v>
      </c>
      <c r="BO120" s="451">
        <v>557345</v>
      </c>
      <c r="BP120" s="451">
        <v>0</v>
      </c>
      <c r="BQ120" s="451">
        <v>0</v>
      </c>
      <c r="BR120" s="451">
        <v>0</v>
      </c>
      <c r="BS120" s="451">
        <v>0</v>
      </c>
      <c r="BT120" s="451">
        <v>0</v>
      </c>
      <c r="BU120" s="451">
        <v>1018766</v>
      </c>
      <c r="BV120" s="451">
        <v>611259</v>
      </c>
      <c r="BW120" s="451">
        <v>407506</v>
      </c>
      <c r="BX120" s="451">
        <v>0</v>
      </c>
      <c r="BY120" s="451">
        <v>2037531</v>
      </c>
      <c r="BZ120" s="451">
        <v>1018766</v>
      </c>
      <c r="CA120" s="451">
        <v>611259</v>
      </c>
      <c r="CB120" s="451">
        <v>407506</v>
      </c>
      <c r="CC120" s="451">
        <v>0</v>
      </c>
      <c r="CD120" s="451">
        <v>2037531</v>
      </c>
      <c r="CE120" s="104"/>
      <c r="CF120" s="104"/>
      <c r="CG120" s="104"/>
    </row>
    <row r="121" spans="1:85" ht="12.75" x14ac:dyDescent="0.2">
      <c r="A121" s="446">
        <v>114</v>
      </c>
      <c r="B121" s="447" t="s">
        <v>111</v>
      </c>
      <c r="C121" s="448" t="s">
        <v>794</v>
      </c>
      <c r="D121" s="449" t="s">
        <v>1095</v>
      </c>
      <c r="E121" s="450" t="s">
        <v>717</v>
      </c>
      <c r="F121" s="451">
        <v>25073686</v>
      </c>
      <c r="G121" s="451">
        <v>24572213</v>
      </c>
      <c r="H121" s="451">
        <v>0</v>
      </c>
      <c r="I121" s="451">
        <v>501474</v>
      </c>
      <c r="J121" s="451">
        <v>50147373</v>
      </c>
      <c r="K121" s="451">
        <v>148633</v>
      </c>
      <c r="L121" s="451">
        <v>148633</v>
      </c>
      <c r="M121" s="451">
        <v>24925053</v>
      </c>
      <c r="N121" s="451">
        <v>49998740</v>
      </c>
      <c r="O121" s="451">
        <v>166596</v>
      </c>
      <c r="P121" s="451">
        <v>166596</v>
      </c>
      <c r="Q121" s="451">
        <v>0</v>
      </c>
      <c r="R121" s="451">
        <v>0</v>
      </c>
      <c r="S121" s="451">
        <v>0</v>
      </c>
      <c r="T121" s="451">
        <v>0</v>
      </c>
      <c r="U121" s="451">
        <v>0</v>
      </c>
      <c r="V121" s="451">
        <v>0</v>
      </c>
      <c r="W121" s="451">
        <v>0</v>
      </c>
      <c r="X121" s="451">
        <v>148321</v>
      </c>
      <c r="Y121" s="451">
        <v>0</v>
      </c>
      <c r="Z121" s="451">
        <v>312</v>
      </c>
      <c r="AA121" s="451">
        <v>148633</v>
      </c>
      <c r="AB121" s="451">
        <v>1853867</v>
      </c>
      <c r="AC121" s="451">
        <v>1816789</v>
      </c>
      <c r="AD121" s="451">
        <v>0</v>
      </c>
      <c r="AE121" s="451">
        <v>37077</v>
      </c>
      <c r="AF121" s="451">
        <v>3707733</v>
      </c>
      <c r="AG121" s="451">
        <v>585999</v>
      </c>
      <c r="AH121" s="451">
        <v>574280</v>
      </c>
      <c r="AI121" s="451">
        <v>0</v>
      </c>
      <c r="AJ121" s="451">
        <v>11720</v>
      </c>
      <c r="AK121" s="451">
        <v>1171999</v>
      </c>
      <c r="AL121" s="451">
        <v>621868</v>
      </c>
      <c r="AM121" s="451">
        <v>609430</v>
      </c>
      <c r="AN121" s="451">
        <v>0</v>
      </c>
      <c r="AO121" s="451">
        <v>12437</v>
      </c>
      <c r="AP121" s="451">
        <v>1243735</v>
      </c>
      <c r="AQ121" s="451">
        <v>733658</v>
      </c>
      <c r="AR121" s="451">
        <v>718984</v>
      </c>
      <c r="AS121" s="451">
        <v>0</v>
      </c>
      <c r="AT121" s="451">
        <v>14673</v>
      </c>
      <c r="AU121" s="451">
        <v>1467315</v>
      </c>
      <c r="AV121" s="451">
        <v>1355526</v>
      </c>
      <c r="AW121" s="451">
        <v>1328414</v>
      </c>
      <c r="AX121" s="451">
        <v>0</v>
      </c>
      <c r="AY121" s="451">
        <v>27110</v>
      </c>
      <c r="AZ121" s="451">
        <v>2711050</v>
      </c>
      <c r="BA121" s="451">
        <v>0</v>
      </c>
      <c r="BB121" s="451">
        <v>0</v>
      </c>
      <c r="BC121" s="451">
        <v>0</v>
      </c>
      <c r="BD121" s="451">
        <v>0</v>
      </c>
      <c r="BE121" s="451">
        <v>0</v>
      </c>
      <c r="BF121" s="451">
        <v>590532</v>
      </c>
      <c r="BG121" s="451">
        <v>578722</v>
      </c>
      <c r="BH121" s="451">
        <v>0</v>
      </c>
      <c r="BI121" s="451">
        <v>11811</v>
      </c>
      <c r="BJ121" s="451">
        <v>1181065</v>
      </c>
      <c r="BK121" s="451">
        <v>590532</v>
      </c>
      <c r="BL121" s="451">
        <v>578722</v>
      </c>
      <c r="BM121" s="451">
        <v>0</v>
      </c>
      <c r="BN121" s="451">
        <v>11811</v>
      </c>
      <c r="BO121" s="451">
        <v>1181065</v>
      </c>
      <c r="BP121" s="451">
        <v>0</v>
      </c>
      <c r="BQ121" s="451">
        <v>0</v>
      </c>
      <c r="BR121" s="451">
        <v>0</v>
      </c>
      <c r="BS121" s="451">
        <v>0</v>
      </c>
      <c r="BT121" s="451">
        <v>0</v>
      </c>
      <c r="BU121" s="451">
        <v>1809902</v>
      </c>
      <c r="BV121" s="451">
        <v>1773704</v>
      </c>
      <c r="BW121" s="451">
        <v>0</v>
      </c>
      <c r="BX121" s="451">
        <v>36198</v>
      </c>
      <c r="BY121" s="451">
        <v>3619804</v>
      </c>
      <c r="BZ121" s="451">
        <v>1809902</v>
      </c>
      <c r="CA121" s="451">
        <v>1773704</v>
      </c>
      <c r="CB121" s="451">
        <v>0</v>
      </c>
      <c r="CC121" s="451">
        <v>36198</v>
      </c>
      <c r="CD121" s="451">
        <v>3619804</v>
      </c>
      <c r="CE121" s="104"/>
      <c r="CF121" s="104"/>
      <c r="CG121" s="104"/>
    </row>
    <row r="122" spans="1:85" ht="12.75" x14ac:dyDescent="0.2">
      <c r="A122" s="446">
        <v>115</v>
      </c>
      <c r="B122" s="447" t="s">
        <v>113</v>
      </c>
      <c r="C122" s="448" t="s">
        <v>1093</v>
      </c>
      <c r="D122" s="449" t="s">
        <v>1101</v>
      </c>
      <c r="E122" s="450" t="s">
        <v>112</v>
      </c>
      <c r="F122" s="451">
        <v>12651259</v>
      </c>
      <c r="G122" s="451">
        <v>10121008</v>
      </c>
      <c r="H122" s="451">
        <v>2277227</v>
      </c>
      <c r="I122" s="451">
        <v>253025</v>
      </c>
      <c r="J122" s="451">
        <v>25302519</v>
      </c>
      <c r="K122" s="451">
        <v>0</v>
      </c>
      <c r="L122" s="451">
        <v>0</v>
      </c>
      <c r="M122" s="451">
        <v>12651259</v>
      </c>
      <c r="N122" s="451">
        <v>25302519</v>
      </c>
      <c r="O122" s="451">
        <v>154279</v>
      </c>
      <c r="P122" s="451">
        <v>154279</v>
      </c>
      <c r="Q122" s="451">
        <v>0</v>
      </c>
      <c r="R122" s="451">
        <v>0</v>
      </c>
      <c r="S122" s="451">
        <v>0</v>
      </c>
      <c r="T122" s="451">
        <v>0</v>
      </c>
      <c r="U122" s="451">
        <v>0</v>
      </c>
      <c r="V122" s="451">
        <v>0</v>
      </c>
      <c r="W122" s="451">
        <v>0</v>
      </c>
      <c r="X122" s="451">
        <v>0</v>
      </c>
      <c r="Y122" s="451">
        <v>0</v>
      </c>
      <c r="Z122" s="451">
        <v>0</v>
      </c>
      <c r="AA122" s="451">
        <v>0</v>
      </c>
      <c r="AB122" s="451">
        <v>319736</v>
      </c>
      <c r="AC122" s="451">
        <v>255789</v>
      </c>
      <c r="AD122" s="451">
        <v>57552</v>
      </c>
      <c r="AE122" s="451">
        <v>6395</v>
      </c>
      <c r="AF122" s="451">
        <v>639472</v>
      </c>
      <c r="AG122" s="451">
        <v>188031</v>
      </c>
      <c r="AH122" s="451">
        <v>150424</v>
      </c>
      <c r="AI122" s="451">
        <v>33845</v>
      </c>
      <c r="AJ122" s="451">
        <v>3761</v>
      </c>
      <c r="AK122" s="451">
        <v>376061</v>
      </c>
      <c r="AL122" s="451">
        <v>83753</v>
      </c>
      <c r="AM122" s="451">
        <v>67002</v>
      </c>
      <c r="AN122" s="451">
        <v>15076</v>
      </c>
      <c r="AO122" s="451">
        <v>1675</v>
      </c>
      <c r="AP122" s="451">
        <v>167506</v>
      </c>
      <c r="AQ122" s="451">
        <v>56324</v>
      </c>
      <c r="AR122" s="451">
        <v>45060</v>
      </c>
      <c r="AS122" s="451">
        <v>10139</v>
      </c>
      <c r="AT122" s="451">
        <v>1127</v>
      </c>
      <c r="AU122" s="451">
        <v>112650</v>
      </c>
      <c r="AV122" s="451">
        <v>140077</v>
      </c>
      <c r="AW122" s="451">
        <v>112062</v>
      </c>
      <c r="AX122" s="451">
        <v>25215</v>
      </c>
      <c r="AY122" s="451">
        <v>2802</v>
      </c>
      <c r="AZ122" s="451">
        <v>280156</v>
      </c>
      <c r="BA122" s="451">
        <v>0</v>
      </c>
      <c r="BB122" s="451">
        <v>0</v>
      </c>
      <c r="BC122" s="451">
        <v>0</v>
      </c>
      <c r="BD122" s="451">
        <v>0</v>
      </c>
      <c r="BE122" s="451">
        <v>0</v>
      </c>
      <c r="BF122" s="451">
        <v>72475</v>
      </c>
      <c r="BG122" s="451">
        <v>57979</v>
      </c>
      <c r="BH122" s="451">
        <v>13045</v>
      </c>
      <c r="BI122" s="451">
        <v>1449</v>
      </c>
      <c r="BJ122" s="451">
        <v>144948</v>
      </c>
      <c r="BK122" s="451">
        <v>72475</v>
      </c>
      <c r="BL122" s="451">
        <v>57979</v>
      </c>
      <c r="BM122" s="451">
        <v>13045</v>
      </c>
      <c r="BN122" s="451">
        <v>1449</v>
      </c>
      <c r="BO122" s="451">
        <v>144948</v>
      </c>
      <c r="BP122" s="451">
        <v>0</v>
      </c>
      <c r="BQ122" s="451">
        <v>0</v>
      </c>
      <c r="BR122" s="451">
        <v>0</v>
      </c>
      <c r="BS122" s="451">
        <v>0</v>
      </c>
      <c r="BT122" s="451">
        <v>0</v>
      </c>
      <c r="BU122" s="451">
        <v>268507</v>
      </c>
      <c r="BV122" s="451">
        <v>214806</v>
      </c>
      <c r="BW122" s="451">
        <v>48331</v>
      </c>
      <c r="BX122" s="451">
        <v>5370</v>
      </c>
      <c r="BY122" s="451">
        <v>537014</v>
      </c>
      <c r="BZ122" s="451">
        <v>268507</v>
      </c>
      <c r="CA122" s="451">
        <v>214806</v>
      </c>
      <c r="CB122" s="451">
        <v>48331</v>
      </c>
      <c r="CC122" s="451">
        <v>5370</v>
      </c>
      <c r="CD122" s="451">
        <v>537014</v>
      </c>
      <c r="CE122" s="104"/>
      <c r="CF122" s="104"/>
      <c r="CG122" s="104"/>
    </row>
    <row r="123" spans="1:85" ht="12.75" x14ac:dyDescent="0.2">
      <c r="A123" s="446">
        <v>116</v>
      </c>
      <c r="B123" s="447" t="s">
        <v>115</v>
      </c>
      <c r="C123" s="448" t="s">
        <v>1104</v>
      </c>
      <c r="D123" s="449" t="s">
        <v>1099</v>
      </c>
      <c r="E123" s="450" t="s">
        <v>718</v>
      </c>
      <c r="F123" s="451">
        <v>72065701</v>
      </c>
      <c r="G123" s="451">
        <v>43239420</v>
      </c>
      <c r="H123" s="451">
        <v>28826280</v>
      </c>
      <c r="I123" s="451">
        <v>0</v>
      </c>
      <c r="J123" s="451">
        <v>144131401</v>
      </c>
      <c r="K123" s="451">
        <v>0</v>
      </c>
      <c r="L123" s="451">
        <v>0</v>
      </c>
      <c r="M123" s="451">
        <v>72065701</v>
      </c>
      <c r="N123" s="451">
        <v>144131401</v>
      </c>
      <c r="O123" s="451">
        <v>574203</v>
      </c>
      <c r="P123" s="451">
        <v>574203</v>
      </c>
      <c r="Q123" s="451">
        <v>0</v>
      </c>
      <c r="R123" s="451">
        <v>0</v>
      </c>
      <c r="S123" s="451">
        <v>0</v>
      </c>
      <c r="T123" s="451">
        <v>0</v>
      </c>
      <c r="U123" s="451">
        <v>0</v>
      </c>
      <c r="V123" s="451">
        <v>0</v>
      </c>
      <c r="W123" s="451">
        <v>0</v>
      </c>
      <c r="X123" s="451">
        <v>0</v>
      </c>
      <c r="Y123" s="451">
        <v>0</v>
      </c>
      <c r="Z123" s="451">
        <v>0</v>
      </c>
      <c r="AA123" s="451">
        <v>0</v>
      </c>
      <c r="AB123" s="451">
        <v>13794320</v>
      </c>
      <c r="AC123" s="451">
        <v>8276592</v>
      </c>
      <c r="AD123" s="451">
        <v>5517728</v>
      </c>
      <c r="AE123" s="451">
        <v>0</v>
      </c>
      <c r="AF123" s="451">
        <v>27588640</v>
      </c>
      <c r="AG123" s="451">
        <v>7076689</v>
      </c>
      <c r="AH123" s="451">
        <v>4246014</v>
      </c>
      <c r="AI123" s="451">
        <v>2830676</v>
      </c>
      <c r="AJ123" s="451">
        <v>0</v>
      </c>
      <c r="AK123" s="451">
        <v>14153379</v>
      </c>
      <c r="AL123" s="451">
        <v>9200579</v>
      </c>
      <c r="AM123" s="451">
        <v>5520348</v>
      </c>
      <c r="AN123" s="451">
        <v>3680232</v>
      </c>
      <c r="AO123" s="451">
        <v>0</v>
      </c>
      <c r="AP123" s="451">
        <v>18401159</v>
      </c>
      <c r="AQ123" s="451">
        <v>967554.43</v>
      </c>
      <c r="AR123" s="451">
        <v>580533</v>
      </c>
      <c r="AS123" s="451">
        <v>387022</v>
      </c>
      <c r="AT123" s="451">
        <v>0</v>
      </c>
      <c r="AU123" s="451">
        <v>1935109.43</v>
      </c>
      <c r="AV123" s="451">
        <v>10168133.4</v>
      </c>
      <c r="AW123" s="451">
        <v>6100881</v>
      </c>
      <c r="AX123" s="451">
        <v>4067254</v>
      </c>
      <c r="AY123" s="451">
        <v>0</v>
      </c>
      <c r="AZ123" s="451">
        <v>20336268.399999999</v>
      </c>
      <c r="BA123" s="451">
        <v>0</v>
      </c>
      <c r="BB123" s="451">
        <v>0</v>
      </c>
      <c r="BC123" s="451">
        <v>0</v>
      </c>
      <c r="BD123" s="451">
        <v>0</v>
      </c>
      <c r="BE123" s="451">
        <v>0</v>
      </c>
      <c r="BF123" s="451">
        <v>4854101</v>
      </c>
      <c r="BG123" s="451">
        <v>2912461</v>
      </c>
      <c r="BH123" s="451">
        <v>1941641</v>
      </c>
      <c r="BI123" s="451">
        <v>0</v>
      </c>
      <c r="BJ123" s="451">
        <v>9708203</v>
      </c>
      <c r="BK123" s="451">
        <v>4854101</v>
      </c>
      <c r="BL123" s="451">
        <v>2912461</v>
      </c>
      <c r="BM123" s="451">
        <v>1941641</v>
      </c>
      <c r="BN123" s="451">
        <v>0</v>
      </c>
      <c r="BO123" s="451">
        <v>9708203</v>
      </c>
      <c r="BP123" s="451">
        <v>0</v>
      </c>
      <c r="BQ123" s="451">
        <v>0</v>
      </c>
      <c r="BR123" s="451">
        <v>0</v>
      </c>
      <c r="BS123" s="451">
        <v>0</v>
      </c>
      <c r="BT123" s="451">
        <v>0</v>
      </c>
      <c r="BU123" s="451">
        <v>14687601</v>
      </c>
      <c r="BV123" s="451">
        <v>8812561</v>
      </c>
      <c r="BW123" s="451">
        <v>5875041</v>
      </c>
      <c r="BX123" s="451">
        <v>0</v>
      </c>
      <c r="BY123" s="451">
        <v>29375203</v>
      </c>
      <c r="BZ123" s="451">
        <v>14687601</v>
      </c>
      <c r="CA123" s="451">
        <v>8812561</v>
      </c>
      <c r="CB123" s="451">
        <v>5875041</v>
      </c>
      <c r="CC123" s="451">
        <v>0</v>
      </c>
      <c r="CD123" s="451">
        <v>29375203</v>
      </c>
      <c r="CE123" s="104"/>
      <c r="CF123" s="104"/>
      <c r="CG123" s="104"/>
    </row>
    <row r="124" spans="1:85" ht="12.75" x14ac:dyDescent="0.2">
      <c r="A124" s="446">
        <v>117</v>
      </c>
      <c r="B124" s="447" t="s">
        <v>117</v>
      </c>
      <c r="C124" s="448" t="s">
        <v>1093</v>
      </c>
      <c r="D124" s="449" t="s">
        <v>1096</v>
      </c>
      <c r="E124" s="450" t="s">
        <v>116</v>
      </c>
      <c r="F124" s="451">
        <v>18135601</v>
      </c>
      <c r="G124" s="451">
        <v>14508480</v>
      </c>
      <c r="H124" s="451">
        <v>3264408</v>
      </c>
      <c r="I124" s="451">
        <v>362712</v>
      </c>
      <c r="J124" s="451">
        <v>36271201</v>
      </c>
      <c r="K124" s="451">
        <v>0</v>
      </c>
      <c r="L124" s="451">
        <v>0</v>
      </c>
      <c r="M124" s="451">
        <v>18135601</v>
      </c>
      <c r="N124" s="451">
        <v>36271201</v>
      </c>
      <c r="O124" s="451">
        <v>123350</v>
      </c>
      <c r="P124" s="451">
        <v>123350</v>
      </c>
      <c r="Q124" s="451">
        <v>0</v>
      </c>
      <c r="R124" s="451">
        <v>0</v>
      </c>
      <c r="S124" s="451">
        <v>0</v>
      </c>
      <c r="T124" s="451">
        <v>0</v>
      </c>
      <c r="U124" s="451">
        <v>0</v>
      </c>
      <c r="V124" s="451">
        <v>0</v>
      </c>
      <c r="W124" s="451">
        <v>0</v>
      </c>
      <c r="X124" s="451">
        <v>0</v>
      </c>
      <c r="Y124" s="451">
        <v>0</v>
      </c>
      <c r="Z124" s="451">
        <v>0</v>
      </c>
      <c r="AA124" s="451">
        <v>0</v>
      </c>
      <c r="AB124" s="451">
        <v>289856</v>
      </c>
      <c r="AC124" s="451">
        <v>231884</v>
      </c>
      <c r="AD124" s="451">
        <v>52174</v>
      </c>
      <c r="AE124" s="451">
        <v>5797</v>
      </c>
      <c r="AF124" s="451">
        <v>579711</v>
      </c>
      <c r="AG124" s="451">
        <v>232102.66</v>
      </c>
      <c r="AH124" s="451">
        <v>185682</v>
      </c>
      <c r="AI124" s="451">
        <v>41779</v>
      </c>
      <c r="AJ124" s="451">
        <v>4642</v>
      </c>
      <c r="AK124" s="451">
        <v>464205.66</v>
      </c>
      <c r="AL124" s="451">
        <v>275457</v>
      </c>
      <c r="AM124" s="451">
        <v>220365</v>
      </c>
      <c r="AN124" s="451">
        <v>49582</v>
      </c>
      <c r="AO124" s="451">
        <v>5509</v>
      </c>
      <c r="AP124" s="451">
        <v>550913</v>
      </c>
      <c r="AQ124" s="451">
        <v>-246681</v>
      </c>
      <c r="AR124" s="451">
        <v>-197346</v>
      </c>
      <c r="AS124" s="451">
        <v>-44403</v>
      </c>
      <c r="AT124" s="451">
        <v>-4934</v>
      </c>
      <c r="AU124" s="451">
        <v>-493364</v>
      </c>
      <c r="AV124" s="451">
        <v>28776</v>
      </c>
      <c r="AW124" s="451">
        <v>23019</v>
      </c>
      <c r="AX124" s="451">
        <v>5179</v>
      </c>
      <c r="AY124" s="451">
        <v>575</v>
      </c>
      <c r="AZ124" s="451">
        <v>57549</v>
      </c>
      <c r="BA124" s="451">
        <v>0</v>
      </c>
      <c r="BB124" s="451">
        <v>0</v>
      </c>
      <c r="BC124" s="451">
        <v>0</v>
      </c>
      <c r="BD124" s="451">
        <v>0</v>
      </c>
      <c r="BE124" s="451">
        <v>0</v>
      </c>
      <c r="BF124" s="451">
        <v>83972</v>
      </c>
      <c r="BG124" s="451">
        <v>67177</v>
      </c>
      <c r="BH124" s="451">
        <v>15115</v>
      </c>
      <c r="BI124" s="451">
        <v>1679</v>
      </c>
      <c r="BJ124" s="451">
        <v>167943</v>
      </c>
      <c r="BK124" s="451">
        <v>83972</v>
      </c>
      <c r="BL124" s="451">
        <v>67177</v>
      </c>
      <c r="BM124" s="451">
        <v>15115</v>
      </c>
      <c r="BN124" s="451">
        <v>1679</v>
      </c>
      <c r="BO124" s="451">
        <v>167943</v>
      </c>
      <c r="BP124" s="451">
        <v>0</v>
      </c>
      <c r="BQ124" s="451">
        <v>0</v>
      </c>
      <c r="BR124" s="451">
        <v>0</v>
      </c>
      <c r="BS124" s="451">
        <v>0</v>
      </c>
      <c r="BT124" s="451">
        <v>0</v>
      </c>
      <c r="BU124" s="451">
        <v>182881</v>
      </c>
      <c r="BV124" s="451">
        <v>146306</v>
      </c>
      <c r="BW124" s="451">
        <v>32919</v>
      </c>
      <c r="BX124" s="451">
        <v>3658</v>
      </c>
      <c r="BY124" s="451">
        <v>365764</v>
      </c>
      <c r="BZ124" s="451">
        <v>182881</v>
      </c>
      <c r="CA124" s="451">
        <v>146306</v>
      </c>
      <c r="CB124" s="451">
        <v>32919</v>
      </c>
      <c r="CC124" s="451">
        <v>3658</v>
      </c>
      <c r="CD124" s="451">
        <v>365764</v>
      </c>
      <c r="CE124" s="104"/>
      <c r="CF124" s="104"/>
      <c r="CG124" s="104"/>
    </row>
    <row r="125" spans="1:85" ht="12.75" x14ac:dyDescent="0.2">
      <c r="A125" s="446">
        <v>118</v>
      </c>
      <c r="B125" s="447" t="s">
        <v>119</v>
      </c>
      <c r="C125" s="448" t="s">
        <v>1098</v>
      </c>
      <c r="D125" s="449" t="s">
        <v>1099</v>
      </c>
      <c r="E125" s="450" t="s">
        <v>118</v>
      </c>
      <c r="F125" s="451">
        <v>30717341</v>
      </c>
      <c r="G125" s="451">
        <v>18430405</v>
      </c>
      <c r="H125" s="451">
        <v>12286937</v>
      </c>
      <c r="I125" s="451">
        <v>0</v>
      </c>
      <c r="J125" s="451">
        <v>61434683</v>
      </c>
      <c r="K125" s="451">
        <v>0</v>
      </c>
      <c r="L125" s="451">
        <v>0</v>
      </c>
      <c r="M125" s="451">
        <v>30717341</v>
      </c>
      <c r="N125" s="451">
        <v>61434683</v>
      </c>
      <c r="O125" s="451">
        <v>309107</v>
      </c>
      <c r="P125" s="451">
        <v>309107</v>
      </c>
      <c r="Q125" s="451">
        <v>0</v>
      </c>
      <c r="R125" s="451">
        <v>0</v>
      </c>
      <c r="S125" s="451">
        <v>0</v>
      </c>
      <c r="T125" s="451">
        <v>0</v>
      </c>
      <c r="U125" s="451">
        <v>0</v>
      </c>
      <c r="V125" s="451">
        <v>0</v>
      </c>
      <c r="W125" s="451">
        <v>0</v>
      </c>
      <c r="X125" s="451">
        <v>0</v>
      </c>
      <c r="Y125" s="451">
        <v>0</v>
      </c>
      <c r="Z125" s="451">
        <v>0</v>
      </c>
      <c r="AA125" s="451">
        <v>0</v>
      </c>
      <c r="AB125" s="451">
        <v>5446873</v>
      </c>
      <c r="AC125" s="451">
        <v>3268124</v>
      </c>
      <c r="AD125" s="451">
        <v>2178749</v>
      </c>
      <c r="AE125" s="451">
        <v>0</v>
      </c>
      <c r="AF125" s="451">
        <v>10893746</v>
      </c>
      <c r="AG125" s="451">
        <v>3470674</v>
      </c>
      <c r="AH125" s="451">
        <v>2082404</v>
      </c>
      <c r="AI125" s="451">
        <v>1388269</v>
      </c>
      <c r="AJ125" s="451">
        <v>0</v>
      </c>
      <c r="AK125" s="451">
        <v>6941347</v>
      </c>
      <c r="AL125" s="451">
        <v>1032657.34</v>
      </c>
      <c r="AM125" s="451">
        <v>619595</v>
      </c>
      <c r="AN125" s="451">
        <v>413063</v>
      </c>
      <c r="AO125" s="451">
        <v>0</v>
      </c>
      <c r="AP125" s="451">
        <v>2065315.34</v>
      </c>
      <c r="AQ125" s="451">
        <v>2342</v>
      </c>
      <c r="AR125" s="451">
        <v>1406</v>
      </c>
      <c r="AS125" s="451">
        <v>937</v>
      </c>
      <c r="AT125" s="451">
        <v>0</v>
      </c>
      <c r="AU125" s="451">
        <v>4685</v>
      </c>
      <c r="AV125" s="451">
        <v>1034999.34</v>
      </c>
      <c r="AW125" s="451">
        <v>621001</v>
      </c>
      <c r="AX125" s="451">
        <v>414000</v>
      </c>
      <c r="AY125" s="451">
        <v>0</v>
      </c>
      <c r="AZ125" s="451">
        <v>2070000.34</v>
      </c>
      <c r="BA125" s="451">
        <v>0</v>
      </c>
      <c r="BB125" s="451">
        <v>0</v>
      </c>
      <c r="BC125" s="451">
        <v>0</v>
      </c>
      <c r="BD125" s="451">
        <v>0</v>
      </c>
      <c r="BE125" s="451">
        <v>0</v>
      </c>
      <c r="BF125" s="451">
        <v>363127</v>
      </c>
      <c r="BG125" s="451">
        <v>217876</v>
      </c>
      <c r="BH125" s="451">
        <v>145251</v>
      </c>
      <c r="BI125" s="451">
        <v>0</v>
      </c>
      <c r="BJ125" s="451">
        <v>726254</v>
      </c>
      <c r="BK125" s="451">
        <v>363127</v>
      </c>
      <c r="BL125" s="451">
        <v>217876</v>
      </c>
      <c r="BM125" s="451">
        <v>145251</v>
      </c>
      <c r="BN125" s="451">
        <v>0</v>
      </c>
      <c r="BO125" s="451">
        <v>726254</v>
      </c>
      <c r="BP125" s="451">
        <v>0</v>
      </c>
      <c r="BQ125" s="451">
        <v>0</v>
      </c>
      <c r="BR125" s="451">
        <v>0</v>
      </c>
      <c r="BS125" s="451">
        <v>0</v>
      </c>
      <c r="BT125" s="451">
        <v>0</v>
      </c>
      <c r="BU125" s="451">
        <v>501461</v>
      </c>
      <c r="BV125" s="451">
        <v>300876</v>
      </c>
      <c r="BW125" s="451">
        <v>200584</v>
      </c>
      <c r="BX125" s="451">
        <v>0</v>
      </c>
      <c r="BY125" s="451">
        <v>1002921</v>
      </c>
      <c r="BZ125" s="451">
        <v>501461</v>
      </c>
      <c r="CA125" s="451">
        <v>300876</v>
      </c>
      <c r="CB125" s="451">
        <v>200584</v>
      </c>
      <c r="CC125" s="451">
        <v>0</v>
      </c>
      <c r="CD125" s="451">
        <v>1002921</v>
      </c>
      <c r="CE125" s="104"/>
      <c r="CF125" s="104"/>
      <c r="CG125" s="104"/>
    </row>
    <row r="126" spans="1:85" ht="12.75" x14ac:dyDescent="0.2">
      <c r="A126" s="446">
        <v>119</v>
      </c>
      <c r="B126" s="447" t="s">
        <v>121</v>
      </c>
      <c r="C126" s="448" t="s">
        <v>1093</v>
      </c>
      <c r="D126" s="449" t="s">
        <v>1097</v>
      </c>
      <c r="E126" s="450" t="s">
        <v>120</v>
      </c>
      <c r="F126" s="451">
        <v>18960597</v>
      </c>
      <c r="G126" s="451">
        <v>15168477</v>
      </c>
      <c r="H126" s="451">
        <v>3412907</v>
      </c>
      <c r="I126" s="451">
        <v>379212</v>
      </c>
      <c r="J126" s="451">
        <v>37921193</v>
      </c>
      <c r="K126" s="451">
        <v>0</v>
      </c>
      <c r="L126" s="451">
        <v>0</v>
      </c>
      <c r="M126" s="451">
        <v>18960597</v>
      </c>
      <c r="N126" s="451">
        <v>37921193</v>
      </c>
      <c r="O126" s="451">
        <v>124428</v>
      </c>
      <c r="P126" s="451">
        <v>124428</v>
      </c>
      <c r="Q126" s="451">
        <v>0</v>
      </c>
      <c r="R126" s="451">
        <v>0</v>
      </c>
      <c r="S126" s="451">
        <v>0</v>
      </c>
      <c r="T126" s="451">
        <v>0</v>
      </c>
      <c r="U126" s="451">
        <v>0</v>
      </c>
      <c r="V126" s="451">
        <v>0</v>
      </c>
      <c r="W126" s="451">
        <v>0</v>
      </c>
      <c r="X126" s="451">
        <v>0</v>
      </c>
      <c r="Y126" s="451">
        <v>0</v>
      </c>
      <c r="Z126" s="451">
        <v>0</v>
      </c>
      <c r="AA126" s="451">
        <v>0</v>
      </c>
      <c r="AB126" s="451">
        <v>1147358</v>
      </c>
      <c r="AC126" s="451">
        <v>917887</v>
      </c>
      <c r="AD126" s="451">
        <v>206525</v>
      </c>
      <c r="AE126" s="451">
        <v>22947</v>
      </c>
      <c r="AF126" s="451">
        <v>2294717</v>
      </c>
      <c r="AG126" s="451">
        <v>143330</v>
      </c>
      <c r="AH126" s="451">
        <v>114665</v>
      </c>
      <c r="AI126" s="451">
        <v>25800</v>
      </c>
      <c r="AJ126" s="451">
        <v>2867</v>
      </c>
      <c r="AK126" s="451">
        <v>286662</v>
      </c>
      <c r="AL126" s="451">
        <v>623500</v>
      </c>
      <c r="AM126" s="451">
        <v>498800</v>
      </c>
      <c r="AN126" s="451">
        <v>112230</v>
      </c>
      <c r="AO126" s="451">
        <v>12470</v>
      </c>
      <c r="AP126" s="451">
        <v>1247000</v>
      </c>
      <c r="AQ126" s="451">
        <v>395250</v>
      </c>
      <c r="AR126" s="451">
        <v>316200</v>
      </c>
      <c r="AS126" s="451">
        <v>71145</v>
      </c>
      <c r="AT126" s="451">
        <v>7905</v>
      </c>
      <c r="AU126" s="451">
        <v>790500</v>
      </c>
      <c r="AV126" s="451">
        <v>1018750</v>
      </c>
      <c r="AW126" s="451">
        <v>815000</v>
      </c>
      <c r="AX126" s="451">
        <v>183375</v>
      </c>
      <c r="AY126" s="451">
        <v>20375</v>
      </c>
      <c r="AZ126" s="451">
        <v>2037500</v>
      </c>
      <c r="BA126" s="451">
        <v>0</v>
      </c>
      <c r="BB126" s="451">
        <v>0</v>
      </c>
      <c r="BC126" s="451">
        <v>0</v>
      </c>
      <c r="BD126" s="451">
        <v>0</v>
      </c>
      <c r="BE126" s="451">
        <v>0</v>
      </c>
      <c r="BF126" s="451">
        <v>931162</v>
      </c>
      <c r="BG126" s="451">
        <v>744930</v>
      </c>
      <c r="BH126" s="451">
        <v>167609</v>
      </c>
      <c r="BI126" s="451">
        <v>18623</v>
      </c>
      <c r="BJ126" s="451">
        <v>1862324</v>
      </c>
      <c r="BK126" s="451">
        <v>931162</v>
      </c>
      <c r="BL126" s="451">
        <v>744930</v>
      </c>
      <c r="BM126" s="451">
        <v>167609</v>
      </c>
      <c r="BN126" s="451">
        <v>18623</v>
      </c>
      <c r="BO126" s="451">
        <v>1862324</v>
      </c>
      <c r="BP126" s="451">
        <v>0</v>
      </c>
      <c r="BQ126" s="451">
        <v>0</v>
      </c>
      <c r="BR126" s="451">
        <v>0</v>
      </c>
      <c r="BS126" s="451">
        <v>0</v>
      </c>
      <c r="BT126" s="451">
        <v>0</v>
      </c>
      <c r="BU126" s="451">
        <v>1228065</v>
      </c>
      <c r="BV126" s="451">
        <v>982452</v>
      </c>
      <c r="BW126" s="451">
        <v>221052</v>
      </c>
      <c r="BX126" s="451">
        <v>24561</v>
      </c>
      <c r="BY126" s="451">
        <v>2456130</v>
      </c>
      <c r="BZ126" s="451">
        <v>1228065</v>
      </c>
      <c r="CA126" s="451">
        <v>982452</v>
      </c>
      <c r="CB126" s="451">
        <v>221052</v>
      </c>
      <c r="CC126" s="451">
        <v>24561</v>
      </c>
      <c r="CD126" s="451">
        <v>2456130</v>
      </c>
      <c r="CE126" s="104"/>
      <c r="CF126" s="104"/>
      <c r="CG126" s="104"/>
    </row>
    <row r="127" spans="1:85" ht="12.75" x14ac:dyDescent="0.2">
      <c r="A127" s="446">
        <v>120</v>
      </c>
      <c r="B127" s="447" t="s">
        <v>123</v>
      </c>
      <c r="C127" s="448" t="s">
        <v>1093</v>
      </c>
      <c r="D127" s="449" t="s">
        <v>1101</v>
      </c>
      <c r="E127" s="450" t="s">
        <v>122</v>
      </c>
      <c r="F127" s="451">
        <v>28853074</v>
      </c>
      <c r="G127" s="451">
        <v>23082458</v>
      </c>
      <c r="H127" s="451">
        <v>5193553</v>
      </c>
      <c r="I127" s="451">
        <v>577061</v>
      </c>
      <c r="J127" s="451">
        <v>57706146</v>
      </c>
      <c r="K127" s="451">
        <v>0</v>
      </c>
      <c r="L127" s="451">
        <v>0</v>
      </c>
      <c r="M127" s="451">
        <v>28853074</v>
      </c>
      <c r="N127" s="451">
        <v>57706146</v>
      </c>
      <c r="O127" s="451">
        <v>284541</v>
      </c>
      <c r="P127" s="451">
        <v>284541</v>
      </c>
      <c r="Q127" s="451">
        <v>0</v>
      </c>
      <c r="R127" s="451">
        <v>0</v>
      </c>
      <c r="S127" s="451">
        <v>0</v>
      </c>
      <c r="T127" s="451">
        <v>0</v>
      </c>
      <c r="U127" s="451">
        <v>0</v>
      </c>
      <c r="V127" s="451">
        <v>0</v>
      </c>
      <c r="W127" s="451">
        <v>0</v>
      </c>
      <c r="X127" s="451">
        <v>0</v>
      </c>
      <c r="Y127" s="451">
        <v>0</v>
      </c>
      <c r="Z127" s="451">
        <v>0</v>
      </c>
      <c r="AA127" s="451">
        <v>0</v>
      </c>
      <c r="AB127" s="451">
        <v>948734</v>
      </c>
      <c r="AC127" s="451">
        <v>758988</v>
      </c>
      <c r="AD127" s="451">
        <v>170772</v>
      </c>
      <c r="AE127" s="451">
        <v>18975</v>
      </c>
      <c r="AF127" s="451">
        <v>1897469</v>
      </c>
      <c r="AG127" s="451">
        <v>371469</v>
      </c>
      <c r="AH127" s="451">
        <v>297176</v>
      </c>
      <c r="AI127" s="451">
        <v>66865</v>
      </c>
      <c r="AJ127" s="451">
        <v>7429</v>
      </c>
      <c r="AK127" s="451">
        <v>742939</v>
      </c>
      <c r="AL127" s="451">
        <v>407958</v>
      </c>
      <c r="AM127" s="451">
        <v>326366</v>
      </c>
      <c r="AN127" s="451">
        <v>73432</v>
      </c>
      <c r="AO127" s="451">
        <v>8159</v>
      </c>
      <c r="AP127" s="451">
        <v>815915</v>
      </c>
      <c r="AQ127" s="451">
        <v>174747</v>
      </c>
      <c r="AR127" s="451">
        <v>139798</v>
      </c>
      <c r="AS127" s="451">
        <v>31454</v>
      </c>
      <c r="AT127" s="451">
        <v>3495</v>
      </c>
      <c r="AU127" s="451">
        <v>349494</v>
      </c>
      <c r="AV127" s="451">
        <v>582705</v>
      </c>
      <c r="AW127" s="451">
        <v>466164</v>
      </c>
      <c r="AX127" s="451">
        <v>104886</v>
      </c>
      <c r="AY127" s="451">
        <v>11654</v>
      </c>
      <c r="AZ127" s="451">
        <v>1165409</v>
      </c>
      <c r="BA127" s="451">
        <v>0</v>
      </c>
      <c r="BB127" s="451">
        <v>0</v>
      </c>
      <c r="BC127" s="451">
        <v>0</v>
      </c>
      <c r="BD127" s="451">
        <v>0</v>
      </c>
      <c r="BE127" s="451">
        <v>0</v>
      </c>
      <c r="BF127" s="451">
        <v>371062</v>
      </c>
      <c r="BG127" s="451">
        <v>296850</v>
      </c>
      <c r="BH127" s="451">
        <v>66791</v>
      </c>
      <c r="BI127" s="451">
        <v>7421</v>
      </c>
      <c r="BJ127" s="451">
        <v>742124</v>
      </c>
      <c r="BK127" s="451">
        <v>371062</v>
      </c>
      <c r="BL127" s="451">
        <v>296850</v>
      </c>
      <c r="BM127" s="451">
        <v>66791</v>
      </c>
      <c r="BN127" s="451">
        <v>7421</v>
      </c>
      <c r="BO127" s="451">
        <v>742124</v>
      </c>
      <c r="BP127" s="451">
        <v>0</v>
      </c>
      <c r="BQ127" s="451">
        <v>0</v>
      </c>
      <c r="BR127" s="451">
        <v>0</v>
      </c>
      <c r="BS127" s="451">
        <v>0</v>
      </c>
      <c r="BT127" s="451">
        <v>0</v>
      </c>
      <c r="BU127" s="451">
        <v>497664</v>
      </c>
      <c r="BV127" s="451">
        <v>398130</v>
      </c>
      <c r="BW127" s="451">
        <v>89579</v>
      </c>
      <c r="BX127" s="451">
        <v>9953</v>
      </c>
      <c r="BY127" s="451">
        <v>995326</v>
      </c>
      <c r="BZ127" s="451">
        <v>497664</v>
      </c>
      <c r="CA127" s="451">
        <v>398130</v>
      </c>
      <c r="CB127" s="451">
        <v>89579</v>
      </c>
      <c r="CC127" s="451">
        <v>9953</v>
      </c>
      <c r="CD127" s="451">
        <v>995326</v>
      </c>
      <c r="CE127" s="104"/>
      <c r="CF127" s="104"/>
      <c r="CG127" s="104"/>
    </row>
    <row r="128" spans="1:85" ht="12.75" x14ac:dyDescent="0.2">
      <c r="A128" s="446">
        <v>121</v>
      </c>
      <c r="B128" s="447" t="s">
        <v>125</v>
      </c>
      <c r="C128" s="448" t="s">
        <v>1098</v>
      </c>
      <c r="D128" s="449" t="s">
        <v>1099</v>
      </c>
      <c r="E128" s="450" t="s">
        <v>124</v>
      </c>
      <c r="F128" s="451">
        <v>24054697</v>
      </c>
      <c r="G128" s="451">
        <v>14432819</v>
      </c>
      <c r="H128" s="451">
        <v>9621879</v>
      </c>
      <c r="I128" s="451">
        <v>0</v>
      </c>
      <c r="J128" s="451">
        <v>48109395</v>
      </c>
      <c r="K128" s="451">
        <v>0</v>
      </c>
      <c r="L128" s="451">
        <v>0</v>
      </c>
      <c r="M128" s="451">
        <v>24054697</v>
      </c>
      <c r="N128" s="451">
        <v>48109395</v>
      </c>
      <c r="O128" s="451">
        <v>255455</v>
      </c>
      <c r="P128" s="451">
        <v>255455</v>
      </c>
      <c r="Q128" s="451">
        <v>0</v>
      </c>
      <c r="R128" s="451">
        <v>0</v>
      </c>
      <c r="S128" s="451">
        <v>0</v>
      </c>
      <c r="T128" s="451">
        <v>0</v>
      </c>
      <c r="U128" s="451">
        <v>0</v>
      </c>
      <c r="V128" s="451">
        <v>0</v>
      </c>
      <c r="W128" s="451">
        <v>0</v>
      </c>
      <c r="X128" s="451">
        <v>0</v>
      </c>
      <c r="Y128" s="451">
        <v>0</v>
      </c>
      <c r="Z128" s="451">
        <v>0</v>
      </c>
      <c r="AA128" s="451">
        <v>0</v>
      </c>
      <c r="AB128" s="451">
        <v>1922757</v>
      </c>
      <c r="AC128" s="451">
        <v>1153654</v>
      </c>
      <c r="AD128" s="451">
        <v>769103</v>
      </c>
      <c r="AE128" s="451">
        <v>0</v>
      </c>
      <c r="AF128" s="451">
        <v>3845514</v>
      </c>
      <c r="AG128" s="451">
        <v>91963</v>
      </c>
      <c r="AH128" s="451">
        <v>55178</v>
      </c>
      <c r="AI128" s="451">
        <v>36785</v>
      </c>
      <c r="AJ128" s="451">
        <v>0</v>
      </c>
      <c r="AK128" s="451">
        <v>183926</v>
      </c>
      <c r="AL128" s="451">
        <v>1105677</v>
      </c>
      <c r="AM128" s="451">
        <v>663407</v>
      </c>
      <c r="AN128" s="451">
        <v>442271</v>
      </c>
      <c r="AO128" s="451">
        <v>0</v>
      </c>
      <c r="AP128" s="451">
        <v>2211355</v>
      </c>
      <c r="AQ128" s="451">
        <v>142596</v>
      </c>
      <c r="AR128" s="451">
        <v>85557</v>
      </c>
      <c r="AS128" s="451">
        <v>57038</v>
      </c>
      <c r="AT128" s="451">
        <v>0</v>
      </c>
      <c r="AU128" s="451">
        <v>285191</v>
      </c>
      <c r="AV128" s="451">
        <v>1248273</v>
      </c>
      <c r="AW128" s="451">
        <v>748964</v>
      </c>
      <c r="AX128" s="451">
        <v>499309</v>
      </c>
      <c r="AY128" s="451">
        <v>0</v>
      </c>
      <c r="AZ128" s="451">
        <v>2496546</v>
      </c>
      <c r="BA128" s="451">
        <v>0</v>
      </c>
      <c r="BB128" s="451">
        <v>0</v>
      </c>
      <c r="BC128" s="451">
        <v>0</v>
      </c>
      <c r="BD128" s="451">
        <v>0</v>
      </c>
      <c r="BE128" s="451">
        <v>0</v>
      </c>
      <c r="BF128" s="451">
        <v>700000</v>
      </c>
      <c r="BG128" s="451">
        <v>420000</v>
      </c>
      <c r="BH128" s="451">
        <v>280000</v>
      </c>
      <c r="BI128" s="451">
        <v>0</v>
      </c>
      <c r="BJ128" s="451">
        <v>1400000</v>
      </c>
      <c r="BK128" s="451">
        <v>700000</v>
      </c>
      <c r="BL128" s="451">
        <v>420000</v>
      </c>
      <c r="BM128" s="451">
        <v>280000</v>
      </c>
      <c r="BN128" s="451">
        <v>0</v>
      </c>
      <c r="BO128" s="451">
        <v>1400000</v>
      </c>
      <c r="BP128" s="451">
        <v>0</v>
      </c>
      <c r="BQ128" s="451">
        <v>0</v>
      </c>
      <c r="BR128" s="451">
        <v>0</v>
      </c>
      <c r="BS128" s="451">
        <v>0</v>
      </c>
      <c r="BT128" s="451">
        <v>0</v>
      </c>
      <c r="BU128" s="451">
        <v>0</v>
      </c>
      <c r="BV128" s="451">
        <v>0</v>
      </c>
      <c r="BW128" s="451">
        <v>0</v>
      </c>
      <c r="BX128" s="451">
        <v>0</v>
      </c>
      <c r="BY128" s="451">
        <v>0</v>
      </c>
      <c r="BZ128" s="451">
        <v>0</v>
      </c>
      <c r="CA128" s="451">
        <v>0</v>
      </c>
      <c r="CB128" s="451">
        <v>0</v>
      </c>
      <c r="CC128" s="451">
        <v>0</v>
      </c>
      <c r="CD128" s="451">
        <v>0</v>
      </c>
      <c r="CE128" s="104"/>
      <c r="CF128" s="104"/>
      <c r="CG128" s="104"/>
    </row>
    <row r="129" spans="1:85" ht="12.75" x14ac:dyDescent="0.2">
      <c r="A129" s="446">
        <v>122</v>
      </c>
      <c r="B129" s="447" t="s">
        <v>127</v>
      </c>
      <c r="C129" s="448" t="s">
        <v>1093</v>
      </c>
      <c r="D129" s="449" t="s">
        <v>1094</v>
      </c>
      <c r="E129" s="450" t="s">
        <v>126</v>
      </c>
      <c r="F129" s="451">
        <v>13174526</v>
      </c>
      <c r="G129" s="451">
        <v>10539621</v>
      </c>
      <c r="H129" s="451">
        <v>2371415</v>
      </c>
      <c r="I129" s="451">
        <v>263491</v>
      </c>
      <c r="J129" s="451">
        <v>26349053</v>
      </c>
      <c r="K129" s="451">
        <v>0</v>
      </c>
      <c r="L129" s="451">
        <v>0</v>
      </c>
      <c r="M129" s="451">
        <v>13174526</v>
      </c>
      <c r="N129" s="451">
        <v>26349053</v>
      </c>
      <c r="O129" s="451">
        <v>100079</v>
      </c>
      <c r="P129" s="451">
        <v>100079</v>
      </c>
      <c r="Q129" s="451">
        <v>0</v>
      </c>
      <c r="R129" s="451">
        <v>0</v>
      </c>
      <c r="S129" s="451">
        <v>0</v>
      </c>
      <c r="T129" s="451">
        <v>0</v>
      </c>
      <c r="U129" s="451">
        <v>0</v>
      </c>
      <c r="V129" s="451">
        <v>0</v>
      </c>
      <c r="W129" s="451">
        <v>0</v>
      </c>
      <c r="X129" s="451">
        <v>0</v>
      </c>
      <c r="Y129" s="451">
        <v>0</v>
      </c>
      <c r="Z129" s="451">
        <v>0</v>
      </c>
      <c r="AA129" s="451">
        <v>0</v>
      </c>
      <c r="AB129" s="451">
        <v>895087.08</v>
      </c>
      <c r="AC129" s="451">
        <v>716070</v>
      </c>
      <c r="AD129" s="451">
        <v>161116</v>
      </c>
      <c r="AE129" s="451">
        <v>17902</v>
      </c>
      <c r="AF129" s="451">
        <v>1790175.08</v>
      </c>
      <c r="AG129" s="451">
        <v>254475.35</v>
      </c>
      <c r="AH129" s="451">
        <v>203580</v>
      </c>
      <c r="AI129" s="451">
        <v>45805</v>
      </c>
      <c r="AJ129" s="451">
        <v>5089</v>
      </c>
      <c r="AK129" s="451">
        <v>508949.35</v>
      </c>
      <c r="AL129" s="451">
        <v>33175149</v>
      </c>
      <c r="AM129" s="451">
        <v>26540120</v>
      </c>
      <c r="AN129" s="451">
        <v>5971527</v>
      </c>
      <c r="AO129" s="451">
        <v>663503</v>
      </c>
      <c r="AP129" s="451">
        <v>66350299</v>
      </c>
      <c r="AQ129" s="451">
        <v>4175.41</v>
      </c>
      <c r="AR129" s="451">
        <v>3341</v>
      </c>
      <c r="AS129" s="451">
        <v>752</v>
      </c>
      <c r="AT129" s="451">
        <v>84</v>
      </c>
      <c r="AU129" s="451">
        <v>8352.41</v>
      </c>
      <c r="AV129" s="451">
        <v>33179324.399999999</v>
      </c>
      <c r="AW129" s="451">
        <v>26543461</v>
      </c>
      <c r="AX129" s="451">
        <v>5972279</v>
      </c>
      <c r="AY129" s="451">
        <v>663587</v>
      </c>
      <c r="AZ129" s="451">
        <v>66358651.399999999</v>
      </c>
      <c r="BA129" s="451">
        <v>0</v>
      </c>
      <c r="BB129" s="451">
        <v>0</v>
      </c>
      <c r="BC129" s="451">
        <v>0</v>
      </c>
      <c r="BD129" s="451">
        <v>0</v>
      </c>
      <c r="BE129" s="451">
        <v>0</v>
      </c>
      <c r="BF129" s="451">
        <v>229026.77</v>
      </c>
      <c r="BG129" s="451">
        <v>183222</v>
      </c>
      <c r="BH129" s="451">
        <v>41225</v>
      </c>
      <c r="BI129" s="451">
        <v>4581</v>
      </c>
      <c r="BJ129" s="451">
        <v>458054.77</v>
      </c>
      <c r="BK129" s="451">
        <v>229026.77</v>
      </c>
      <c r="BL129" s="451">
        <v>183222</v>
      </c>
      <c r="BM129" s="451">
        <v>41225</v>
      </c>
      <c r="BN129" s="451">
        <v>4581</v>
      </c>
      <c r="BO129" s="451">
        <v>458054.77</v>
      </c>
      <c r="BP129" s="451">
        <v>0</v>
      </c>
      <c r="BQ129" s="451">
        <v>0</v>
      </c>
      <c r="BR129" s="451">
        <v>0</v>
      </c>
      <c r="BS129" s="451">
        <v>0</v>
      </c>
      <c r="BT129" s="451">
        <v>0</v>
      </c>
      <c r="BU129" s="451">
        <v>719326.58</v>
      </c>
      <c r="BV129" s="451">
        <v>575462</v>
      </c>
      <c r="BW129" s="451">
        <v>129479</v>
      </c>
      <c r="BX129" s="451">
        <v>14387</v>
      </c>
      <c r="BY129" s="451">
        <v>1438654.58</v>
      </c>
      <c r="BZ129" s="451">
        <v>719326.58</v>
      </c>
      <c r="CA129" s="451">
        <v>575462</v>
      </c>
      <c r="CB129" s="451">
        <v>129479</v>
      </c>
      <c r="CC129" s="451">
        <v>14387</v>
      </c>
      <c r="CD129" s="451">
        <v>1438654.58</v>
      </c>
      <c r="CE129" s="104"/>
      <c r="CF129" s="104"/>
      <c r="CG129" s="104"/>
    </row>
    <row r="130" spans="1:85" ht="12.75" x14ac:dyDescent="0.2">
      <c r="A130" s="446">
        <v>123</v>
      </c>
      <c r="B130" s="447" t="s">
        <v>129</v>
      </c>
      <c r="C130" s="448" t="s">
        <v>794</v>
      </c>
      <c r="D130" s="449" t="s">
        <v>1105</v>
      </c>
      <c r="E130" s="450" t="s">
        <v>719</v>
      </c>
      <c r="F130" s="451">
        <v>17420224</v>
      </c>
      <c r="G130" s="451">
        <v>17071819</v>
      </c>
      <c r="H130" s="451">
        <v>0</v>
      </c>
      <c r="I130" s="451">
        <v>348404</v>
      </c>
      <c r="J130" s="451">
        <v>34840447</v>
      </c>
      <c r="K130" s="451">
        <v>67812</v>
      </c>
      <c r="L130" s="451">
        <v>67812</v>
      </c>
      <c r="M130" s="451">
        <v>17352412</v>
      </c>
      <c r="N130" s="451">
        <v>34772635</v>
      </c>
      <c r="O130" s="451">
        <v>124827</v>
      </c>
      <c r="P130" s="451">
        <v>124827</v>
      </c>
      <c r="Q130" s="451">
        <v>0</v>
      </c>
      <c r="R130" s="451">
        <v>0</v>
      </c>
      <c r="S130" s="451">
        <v>0</v>
      </c>
      <c r="T130" s="451">
        <v>0</v>
      </c>
      <c r="U130" s="451">
        <v>0</v>
      </c>
      <c r="V130" s="451">
        <v>0</v>
      </c>
      <c r="W130" s="451">
        <v>0</v>
      </c>
      <c r="X130" s="451">
        <v>67812</v>
      </c>
      <c r="Y130" s="451">
        <v>0</v>
      </c>
      <c r="Z130" s="451">
        <v>0</v>
      </c>
      <c r="AA130" s="451">
        <v>67812</v>
      </c>
      <c r="AB130" s="451">
        <v>707344</v>
      </c>
      <c r="AC130" s="451">
        <v>693198</v>
      </c>
      <c r="AD130" s="451">
        <v>0</v>
      </c>
      <c r="AE130" s="451">
        <v>14147</v>
      </c>
      <c r="AF130" s="451">
        <v>1414689</v>
      </c>
      <c r="AG130" s="451">
        <v>269431</v>
      </c>
      <c r="AH130" s="451">
        <v>264043</v>
      </c>
      <c r="AI130" s="451">
        <v>0</v>
      </c>
      <c r="AJ130" s="451">
        <v>5389</v>
      </c>
      <c r="AK130" s="451">
        <v>538863</v>
      </c>
      <c r="AL130" s="451">
        <v>338411</v>
      </c>
      <c r="AM130" s="451">
        <v>331642</v>
      </c>
      <c r="AN130" s="451">
        <v>0</v>
      </c>
      <c r="AO130" s="451">
        <v>6768</v>
      </c>
      <c r="AP130" s="451">
        <v>676821</v>
      </c>
      <c r="AQ130" s="451">
        <v>48429</v>
      </c>
      <c r="AR130" s="451">
        <v>47461</v>
      </c>
      <c r="AS130" s="451">
        <v>0</v>
      </c>
      <c r="AT130" s="451">
        <v>969</v>
      </c>
      <c r="AU130" s="451">
        <v>96859</v>
      </c>
      <c r="AV130" s="451">
        <v>386840</v>
      </c>
      <c r="AW130" s="451">
        <v>379103</v>
      </c>
      <c r="AX130" s="451">
        <v>0</v>
      </c>
      <c r="AY130" s="451">
        <v>7737</v>
      </c>
      <c r="AZ130" s="451">
        <v>773680</v>
      </c>
      <c r="BA130" s="451">
        <v>0</v>
      </c>
      <c r="BB130" s="451">
        <v>0</v>
      </c>
      <c r="BC130" s="451">
        <v>0</v>
      </c>
      <c r="BD130" s="451">
        <v>0</v>
      </c>
      <c r="BE130" s="451">
        <v>0</v>
      </c>
      <c r="BF130" s="451">
        <v>520369</v>
      </c>
      <c r="BG130" s="451">
        <v>509962</v>
      </c>
      <c r="BH130" s="451">
        <v>0</v>
      </c>
      <c r="BI130" s="451">
        <v>10407</v>
      </c>
      <c r="BJ130" s="451">
        <v>1040738</v>
      </c>
      <c r="BK130" s="451">
        <v>520369</v>
      </c>
      <c r="BL130" s="451">
        <v>509962</v>
      </c>
      <c r="BM130" s="451">
        <v>0</v>
      </c>
      <c r="BN130" s="451">
        <v>10407</v>
      </c>
      <c r="BO130" s="451">
        <v>1040738</v>
      </c>
      <c r="BP130" s="451">
        <v>0</v>
      </c>
      <c r="BQ130" s="451">
        <v>0</v>
      </c>
      <c r="BR130" s="451">
        <v>0</v>
      </c>
      <c r="BS130" s="451">
        <v>0</v>
      </c>
      <c r="BT130" s="451">
        <v>0</v>
      </c>
      <c r="BU130" s="451">
        <v>1461530</v>
      </c>
      <c r="BV130" s="451">
        <v>1432300</v>
      </c>
      <c r="BW130" s="451">
        <v>0</v>
      </c>
      <c r="BX130" s="451">
        <v>29231</v>
      </c>
      <c r="BY130" s="451">
        <v>2923061</v>
      </c>
      <c r="BZ130" s="451">
        <v>1461530</v>
      </c>
      <c r="CA130" s="451">
        <v>1432300</v>
      </c>
      <c r="CB130" s="451">
        <v>0</v>
      </c>
      <c r="CC130" s="451">
        <v>29231</v>
      </c>
      <c r="CD130" s="451">
        <v>2923061</v>
      </c>
      <c r="CE130" s="104"/>
      <c r="CF130" s="104"/>
      <c r="CG130" s="104"/>
    </row>
    <row r="131" spans="1:85" ht="12.75" x14ac:dyDescent="0.2">
      <c r="A131" s="446">
        <v>124</v>
      </c>
      <c r="B131" s="447" t="s">
        <v>131</v>
      </c>
      <c r="C131" s="448" t="s">
        <v>1093</v>
      </c>
      <c r="D131" s="449" t="s">
        <v>1094</v>
      </c>
      <c r="E131" s="450" t="s">
        <v>130</v>
      </c>
      <c r="F131" s="451">
        <v>9900551</v>
      </c>
      <c r="G131" s="451">
        <v>7920440</v>
      </c>
      <c r="H131" s="451">
        <v>1782099</v>
      </c>
      <c r="I131" s="451">
        <v>198011</v>
      </c>
      <c r="J131" s="451">
        <v>19801101</v>
      </c>
      <c r="K131" s="451">
        <v>0</v>
      </c>
      <c r="L131" s="451">
        <v>0</v>
      </c>
      <c r="M131" s="451">
        <v>9900551</v>
      </c>
      <c r="N131" s="451">
        <v>19801101</v>
      </c>
      <c r="O131" s="451">
        <v>123130</v>
      </c>
      <c r="P131" s="451">
        <v>123130</v>
      </c>
      <c r="Q131" s="451">
        <v>0</v>
      </c>
      <c r="R131" s="451">
        <v>0</v>
      </c>
      <c r="S131" s="451">
        <v>0</v>
      </c>
      <c r="T131" s="451">
        <v>0</v>
      </c>
      <c r="U131" s="451">
        <v>0</v>
      </c>
      <c r="V131" s="451">
        <v>0</v>
      </c>
      <c r="W131" s="451">
        <v>0</v>
      </c>
      <c r="X131" s="451">
        <v>0</v>
      </c>
      <c r="Y131" s="451">
        <v>0</v>
      </c>
      <c r="Z131" s="451">
        <v>0</v>
      </c>
      <c r="AA131" s="451">
        <v>0</v>
      </c>
      <c r="AB131" s="451">
        <v>611409</v>
      </c>
      <c r="AC131" s="451">
        <v>489126</v>
      </c>
      <c r="AD131" s="451">
        <v>110053</v>
      </c>
      <c r="AE131" s="451">
        <v>12228</v>
      </c>
      <c r="AF131" s="451">
        <v>1222816</v>
      </c>
      <c r="AG131" s="451">
        <v>132542</v>
      </c>
      <c r="AH131" s="451">
        <v>106034</v>
      </c>
      <c r="AI131" s="451">
        <v>23858</v>
      </c>
      <c r="AJ131" s="451">
        <v>2651</v>
      </c>
      <c r="AK131" s="451">
        <v>265085</v>
      </c>
      <c r="AL131" s="451">
        <v>369720</v>
      </c>
      <c r="AM131" s="451">
        <v>295776</v>
      </c>
      <c r="AN131" s="451">
        <v>66550</v>
      </c>
      <c r="AO131" s="451">
        <v>7394</v>
      </c>
      <c r="AP131" s="451">
        <v>739440</v>
      </c>
      <c r="AQ131" s="451">
        <v>-3378</v>
      </c>
      <c r="AR131" s="451">
        <v>-2702</v>
      </c>
      <c r="AS131" s="451">
        <v>-608</v>
      </c>
      <c r="AT131" s="451">
        <v>-68</v>
      </c>
      <c r="AU131" s="451">
        <v>-6756</v>
      </c>
      <c r="AV131" s="451">
        <v>366342</v>
      </c>
      <c r="AW131" s="451">
        <v>293074</v>
      </c>
      <c r="AX131" s="451">
        <v>65942</v>
      </c>
      <c r="AY131" s="451">
        <v>7326</v>
      </c>
      <c r="AZ131" s="451">
        <v>732684</v>
      </c>
      <c r="BA131" s="451">
        <v>0</v>
      </c>
      <c r="BB131" s="451">
        <v>0</v>
      </c>
      <c r="BC131" s="451">
        <v>0</v>
      </c>
      <c r="BD131" s="451">
        <v>0</v>
      </c>
      <c r="BE131" s="451">
        <v>0</v>
      </c>
      <c r="BF131" s="451">
        <v>257238</v>
      </c>
      <c r="BG131" s="451">
        <v>205790</v>
      </c>
      <c r="BH131" s="451">
        <v>46303</v>
      </c>
      <c r="BI131" s="451">
        <v>5145</v>
      </c>
      <c r="BJ131" s="451">
        <v>514476</v>
      </c>
      <c r="BK131" s="451">
        <v>257238</v>
      </c>
      <c r="BL131" s="451">
        <v>205790</v>
      </c>
      <c r="BM131" s="451">
        <v>46303</v>
      </c>
      <c r="BN131" s="451">
        <v>5145</v>
      </c>
      <c r="BO131" s="451">
        <v>514476</v>
      </c>
      <c r="BP131" s="451">
        <v>0</v>
      </c>
      <c r="BQ131" s="451">
        <v>0</v>
      </c>
      <c r="BR131" s="451">
        <v>0</v>
      </c>
      <c r="BS131" s="451">
        <v>0</v>
      </c>
      <c r="BT131" s="451">
        <v>0</v>
      </c>
      <c r="BU131" s="451">
        <v>642594</v>
      </c>
      <c r="BV131" s="451">
        <v>514075</v>
      </c>
      <c r="BW131" s="451">
        <v>115667</v>
      </c>
      <c r="BX131" s="451">
        <v>12852</v>
      </c>
      <c r="BY131" s="451">
        <v>1285188</v>
      </c>
      <c r="BZ131" s="451">
        <v>642594</v>
      </c>
      <c r="CA131" s="451">
        <v>514075</v>
      </c>
      <c r="CB131" s="451">
        <v>115667</v>
      </c>
      <c r="CC131" s="451">
        <v>12852</v>
      </c>
      <c r="CD131" s="451">
        <v>1285188</v>
      </c>
      <c r="CE131" s="104" t="s">
        <v>1120</v>
      </c>
      <c r="CF131" s="104"/>
      <c r="CG131" s="104"/>
    </row>
    <row r="132" spans="1:85" ht="12.75" x14ac:dyDescent="0.2">
      <c r="A132" s="446">
        <v>125</v>
      </c>
      <c r="B132" s="447" t="s">
        <v>133</v>
      </c>
      <c r="C132" s="448" t="s">
        <v>1093</v>
      </c>
      <c r="D132" s="449" t="s">
        <v>1094</v>
      </c>
      <c r="E132" s="450" t="s">
        <v>132</v>
      </c>
      <c r="F132" s="451">
        <v>15270409</v>
      </c>
      <c r="G132" s="451">
        <v>12216326</v>
      </c>
      <c r="H132" s="451">
        <v>2748673</v>
      </c>
      <c r="I132" s="451">
        <v>305408</v>
      </c>
      <c r="J132" s="451">
        <v>30540816</v>
      </c>
      <c r="K132" s="451">
        <v>0</v>
      </c>
      <c r="L132" s="451">
        <v>0</v>
      </c>
      <c r="M132" s="451">
        <v>15270409</v>
      </c>
      <c r="N132" s="451">
        <v>30540816</v>
      </c>
      <c r="O132" s="451">
        <v>140839</v>
      </c>
      <c r="P132" s="451">
        <v>140839</v>
      </c>
      <c r="Q132" s="451">
        <v>0</v>
      </c>
      <c r="R132" s="451">
        <v>0</v>
      </c>
      <c r="S132" s="451">
        <v>0</v>
      </c>
      <c r="T132" s="451">
        <v>0</v>
      </c>
      <c r="U132" s="451">
        <v>0</v>
      </c>
      <c r="V132" s="451">
        <v>0</v>
      </c>
      <c r="W132" s="451">
        <v>0</v>
      </c>
      <c r="X132" s="451">
        <v>0</v>
      </c>
      <c r="Y132" s="451">
        <v>0</v>
      </c>
      <c r="Z132" s="451">
        <v>0</v>
      </c>
      <c r="AA132" s="451">
        <v>0</v>
      </c>
      <c r="AB132" s="451">
        <v>279820</v>
      </c>
      <c r="AC132" s="451">
        <v>223856</v>
      </c>
      <c r="AD132" s="451">
        <v>50368</v>
      </c>
      <c r="AE132" s="451">
        <v>5596</v>
      </c>
      <c r="AF132" s="451">
        <v>559640</v>
      </c>
      <c r="AG132" s="451">
        <v>281802</v>
      </c>
      <c r="AH132" s="451">
        <v>225441</v>
      </c>
      <c r="AI132" s="451">
        <v>50724</v>
      </c>
      <c r="AJ132" s="451">
        <v>5636</v>
      </c>
      <c r="AK132" s="451">
        <v>563603</v>
      </c>
      <c r="AL132" s="451">
        <v>134331</v>
      </c>
      <c r="AM132" s="451">
        <v>107464</v>
      </c>
      <c r="AN132" s="451">
        <v>24179</v>
      </c>
      <c r="AO132" s="451">
        <v>2687</v>
      </c>
      <c r="AP132" s="451">
        <v>268661</v>
      </c>
      <c r="AQ132" s="451">
        <v>-38098</v>
      </c>
      <c r="AR132" s="451">
        <v>-30478</v>
      </c>
      <c r="AS132" s="451">
        <v>-6858</v>
      </c>
      <c r="AT132" s="451">
        <v>-762</v>
      </c>
      <c r="AU132" s="451">
        <v>-76196</v>
      </c>
      <c r="AV132" s="451">
        <v>96233</v>
      </c>
      <c r="AW132" s="451">
        <v>76986</v>
      </c>
      <c r="AX132" s="451">
        <v>17321</v>
      </c>
      <c r="AY132" s="451">
        <v>1925</v>
      </c>
      <c r="AZ132" s="451">
        <v>192465</v>
      </c>
      <c r="BA132" s="451">
        <v>0</v>
      </c>
      <c r="BB132" s="451">
        <v>0</v>
      </c>
      <c r="BC132" s="451">
        <v>0</v>
      </c>
      <c r="BD132" s="451">
        <v>0</v>
      </c>
      <c r="BE132" s="451">
        <v>0</v>
      </c>
      <c r="BF132" s="451">
        <v>229825</v>
      </c>
      <c r="BG132" s="451">
        <v>183859</v>
      </c>
      <c r="BH132" s="451">
        <v>41368</v>
      </c>
      <c r="BI132" s="451">
        <v>4596</v>
      </c>
      <c r="BJ132" s="451">
        <v>459648</v>
      </c>
      <c r="BK132" s="451">
        <v>229825</v>
      </c>
      <c r="BL132" s="451">
        <v>183859</v>
      </c>
      <c r="BM132" s="451">
        <v>41368</v>
      </c>
      <c r="BN132" s="451">
        <v>4596</v>
      </c>
      <c r="BO132" s="451">
        <v>459648</v>
      </c>
      <c r="BP132" s="451">
        <v>0</v>
      </c>
      <c r="BQ132" s="451">
        <v>0</v>
      </c>
      <c r="BR132" s="451">
        <v>0</v>
      </c>
      <c r="BS132" s="451">
        <v>0</v>
      </c>
      <c r="BT132" s="451">
        <v>0</v>
      </c>
      <c r="BU132" s="451">
        <v>330731</v>
      </c>
      <c r="BV132" s="451">
        <v>264584</v>
      </c>
      <c r="BW132" s="451">
        <v>59531</v>
      </c>
      <c r="BX132" s="451">
        <v>6615</v>
      </c>
      <c r="BY132" s="451">
        <v>661461</v>
      </c>
      <c r="BZ132" s="451">
        <v>330731</v>
      </c>
      <c r="CA132" s="451">
        <v>264584</v>
      </c>
      <c r="CB132" s="451">
        <v>59531</v>
      </c>
      <c r="CC132" s="451">
        <v>6615</v>
      </c>
      <c r="CD132" s="451">
        <v>661461</v>
      </c>
      <c r="CE132" s="104"/>
      <c r="CF132" s="104"/>
      <c r="CG132" s="104"/>
    </row>
    <row r="133" spans="1:85" ht="12.75" x14ac:dyDescent="0.2">
      <c r="A133" s="446">
        <v>126</v>
      </c>
      <c r="B133" s="447" t="s">
        <v>135</v>
      </c>
      <c r="C133" s="448" t="s">
        <v>1098</v>
      </c>
      <c r="D133" s="449" t="s">
        <v>1099</v>
      </c>
      <c r="E133" s="450" t="s">
        <v>134</v>
      </c>
      <c r="F133" s="451">
        <v>32482782</v>
      </c>
      <c r="G133" s="451">
        <v>19489670</v>
      </c>
      <c r="H133" s="451">
        <v>12993113</v>
      </c>
      <c r="I133" s="451">
        <v>0</v>
      </c>
      <c r="J133" s="451">
        <v>64965565</v>
      </c>
      <c r="K133" s="451">
        <v>0</v>
      </c>
      <c r="L133" s="451">
        <v>0</v>
      </c>
      <c r="M133" s="451">
        <v>32482782</v>
      </c>
      <c r="N133" s="451">
        <v>64965565</v>
      </c>
      <c r="O133" s="451">
        <v>274180</v>
      </c>
      <c r="P133" s="451">
        <v>274180</v>
      </c>
      <c r="Q133" s="451">
        <v>0</v>
      </c>
      <c r="R133" s="451">
        <v>0</v>
      </c>
      <c r="S133" s="451">
        <v>0</v>
      </c>
      <c r="T133" s="451">
        <v>0</v>
      </c>
      <c r="U133" s="451">
        <v>0</v>
      </c>
      <c r="V133" s="451">
        <v>0</v>
      </c>
      <c r="W133" s="451">
        <v>0</v>
      </c>
      <c r="X133" s="451">
        <v>0</v>
      </c>
      <c r="Y133" s="451">
        <v>0</v>
      </c>
      <c r="Z133" s="451">
        <v>0</v>
      </c>
      <c r="AA133" s="451">
        <v>0</v>
      </c>
      <c r="AB133" s="451">
        <v>3087347.85</v>
      </c>
      <c r="AC133" s="451">
        <v>1852408</v>
      </c>
      <c r="AD133" s="451">
        <v>1234939</v>
      </c>
      <c r="AE133" s="451">
        <v>0</v>
      </c>
      <c r="AF133" s="451">
        <v>6174694.8499999996</v>
      </c>
      <c r="AG133" s="451">
        <v>2953639.12</v>
      </c>
      <c r="AH133" s="451">
        <v>1772183</v>
      </c>
      <c r="AI133" s="451">
        <v>1181455</v>
      </c>
      <c r="AJ133" s="451">
        <v>0</v>
      </c>
      <c r="AK133" s="451">
        <v>5907277.1200000001</v>
      </c>
      <c r="AL133" s="451">
        <v>1824242.08</v>
      </c>
      <c r="AM133" s="451">
        <v>1094545</v>
      </c>
      <c r="AN133" s="451">
        <v>729697</v>
      </c>
      <c r="AO133" s="451">
        <v>0</v>
      </c>
      <c r="AP133" s="451">
        <v>3648484.08</v>
      </c>
      <c r="AQ133" s="451">
        <v>-45958.66</v>
      </c>
      <c r="AR133" s="451">
        <v>-27576</v>
      </c>
      <c r="AS133" s="451">
        <v>-18384</v>
      </c>
      <c r="AT133" s="451">
        <v>0</v>
      </c>
      <c r="AU133" s="451">
        <v>-91918.66</v>
      </c>
      <c r="AV133" s="451">
        <v>1778283.42</v>
      </c>
      <c r="AW133" s="451">
        <v>1066969</v>
      </c>
      <c r="AX133" s="451">
        <v>711313</v>
      </c>
      <c r="AY133" s="451">
        <v>0</v>
      </c>
      <c r="AZ133" s="451">
        <v>3556565.42</v>
      </c>
      <c r="BA133" s="451">
        <v>0</v>
      </c>
      <c r="BB133" s="451">
        <v>0</v>
      </c>
      <c r="BC133" s="451">
        <v>0</v>
      </c>
      <c r="BD133" s="451">
        <v>0</v>
      </c>
      <c r="BE133" s="451">
        <v>0</v>
      </c>
      <c r="BF133" s="451">
        <v>628852.41</v>
      </c>
      <c r="BG133" s="451">
        <v>377312</v>
      </c>
      <c r="BH133" s="451">
        <v>251541</v>
      </c>
      <c r="BI133" s="451">
        <v>0</v>
      </c>
      <c r="BJ133" s="451">
        <v>1257705.4099999999</v>
      </c>
      <c r="BK133" s="451">
        <v>628852.41</v>
      </c>
      <c r="BL133" s="451">
        <v>377312</v>
      </c>
      <c r="BM133" s="451">
        <v>251541</v>
      </c>
      <c r="BN133" s="451">
        <v>0</v>
      </c>
      <c r="BO133" s="451">
        <v>1257705.4099999999</v>
      </c>
      <c r="BP133" s="451">
        <v>0</v>
      </c>
      <c r="BQ133" s="451">
        <v>0</v>
      </c>
      <c r="BR133" s="451">
        <v>0</v>
      </c>
      <c r="BS133" s="451">
        <v>0</v>
      </c>
      <c r="BT133" s="451">
        <v>0</v>
      </c>
      <c r="BU133" s="451">
        <v>2313592.0699999998</v>
      </c>
      <c r="BV133" s="451">
        <v>1388155</v>
      </c>
      <c r="BW133" s="451">
        <v>925437</v>
      </c>
      <c r="BX133" s="451">
        <v>0</v>
      </c>
      <c r="BY133" s="451">
        <v>4627184.07</v>
      </c>
      <c r="BZ133" s="451">
        <v>2313592.0699999998</v>
      </c>
      <c r="CA133" s="451">
        <v>1388155</v>
      </c>
      <c r="CB133" s="451">
        <v>925437</v>
      </c>
      <c r="CC133" s="451">
        <v>0</v>
      </c>
      <c r="CD133" s="451">
        <v>4627184.07</v>
      </c>
      <c r="CE133" s="104"/>
      <c r="CF133" s="104"/>
      <c r="CG133" s="104"/>
    </row>
    <row r="134" spans="1:85" ht="12.75" x14ac:dyDescent="0.2">
      <c r="A134" s="446">
        <v>127</v>
      </c>
      <c r="B134" s="447" t="s">
        <v>137</v>
      </c>
      <c r="C134" s="448" t="s">
        <v>794</v>
      </c>
      <c r="D134" s="449" t="s">
        <v>1103</v>
      </c>
      <c r="E134" s="450" t="s">
        <v>720</v>
      </c>
      <c r="F134" s="451">
        <v>20937540</v>
      </c>
      <c r="G134" s="451">
        <v>20518790</v>
      </c>
      <c r="H134" s="451">
        <v>0</v>
      </c>
      <c r="I134" s="451">
        <v>418751</v>
      </c>
      <c r="J134" s="451">
        <v>41875081</v>
      </c>
      <c r="K134" s="451">
        <v>60548</v>
      </c>
      <c r="L134" s="451">
        <v>60548</v>
      </c>
      <c r="M134" s="451">
        <v>20876992</v>
      </c>
      <c r="N134" s="451">
        <v>41814533</v>
      </c>
      <c r="O134" s="451">
        <v>298886</v>
      </c>
      <c r="P134" s="451">
        <v>298886</v>
      </c>
      <c r="Q134" s="451">
        <v>0</v>
      </c>
      <c r="R134" s="451">
        <v>0</v>
      </c>
      <c r="S134" s="451">
        <v>0</v>
      </c>
      <c r="T134" s="451">
        <v>0</v>
      </c>
      <c r="U134" s="451">
        <v>42597</v>
      </c>
      <c r="V134" s="451">
        <v>0</v>
      </c>
      <c r="W134" s="451">
        <v>42597</v>
      </c>
      <c r="X134" s="451">
        <v>60548</v>
      </c>
      <c r="Y134" s="451">
        <v>0</v>
      </c>
      <c r="Z134" s="451">
        <v>0</v>
      </c>
      <c r="AA134" s="451">
        <v>60548</v>
      </c>
      <c r="AB134" s="451">
        <v>549993</v>
      </c>
      <c r="AC134" s="451">
        <v>538993</v>
      </c>
      <c r="AD134" s="451">
        <v>0</v>
      </c>
      <c r="AE134" s="451">
        <v>11000</v>
      </c>
      <c r="AF134" s="451">
        <v>1099986</v>
      </c>
      <c r="AG134" s="451">
        <v>353314</v>
      </c>
      <c r="AH134" s="451">
        <v>346247</v>
      </c>
      <c r="AI134" s="451">
        <v>0</v>
      </c>
      <c r="AJ134" s="451">
        <v>7066</v>
      </c>
      <c r="AK134" s="451">
        <v>706627</v>
      </c>
      <c r="AL134" s="451">
        <v>102704</v>
      </c>
      <c r="AM134" s="451">
        <v>100649</v>
      </c>
      <c r="AN134" s="451">
        <v>0</v>
      </c>
      <c r="AO134" s="451">
        <v>2054</v>
      </c>
      <c r="AP134" s="451">
        <v>205407</v>
      </c>
      <c r="AQ134" s="451">
        <v>40026.42</v>
      </c>
      <c r="AR134" s="451">
        <v>39226</v>
      </c>
      <c r="AS134" s="451">
        <v>0</v>
      </c>
      <c r="AT134" s="451">
        <v>801</v>
      </c>
      <c r="AU134" s="451">
        <v>80053.42</v>
      </c>
      <c r="AV134" s="451">
        <v>142730.42000000001</v>
      </c>
      <c r="AW134" s="451">
        <v>139875</v>
      </c>
      <c r="AX134" s="451">
        <v>0</v>
      </c>
      <c r="AY134" s="451">
        <v>2855</v>
      </c>
      <c r="AZ134" s="451">
        <v>285460.42</v>
      </c>
      <c r="BA134" s="451">
        <v>0</v>
      </c>
      <c r="BB134" s="451">
        <v>0</v>
      </c>
      <c r="BC134" s="451">
        <v>0</v>
      </c>
      <c r="BD134" s="451">
        <v>0</v>
      </c>
      <c r="BE134" s="451">
        <v>0</v>
      </c>
      <c r="BF134" s="451">
        <v>261797</v>
      </c>
      <c r="BG134" s="451">
        <v>256561</v>
      </c>
      <c r="BH134" s="451">
        <v>0</v>
      </c>
      <c r="BI134" s="451">
        <v>5236</v>
      </c>
      <c r="BJ134" s="451">
        <v>523594</v>
      </c>
      <c r="BK134" s="451">
        <v>261797</v>
      </c>
      <c r="BL134" s="451">
        <v>256561</v>
      </c>
      <c r="BM134" s="451">
        <v>0</v>
      </c>
      <c r="BN134" s="451">
        <v>5236</v>
      </c>
      <c r="BO134" s="451">
        <v>523594</v>
      </c>
      <c r="BP134" s="451">
        <v>0</v>
      </c>
      <c r="BQ134" s="451">
        <v>0</v>
      </c>
      <c r="BR134" s="451">
        <v>0</v>
      </c>
      <c r="BS134" s="451">
        <v>0</v>
      </c>
      <c r="BT134" s="451">
        <v>0</v>
      </c>
      <c r="BU134" s="451">
        <v>801597</v>
      </c>
      <c r="BV134" s="451">
        <v>785566</v>
      </c>
      <c r="BW134" s="451">
        <v>0</v>
      </c>
      <c r="BX134" s="451">
        <v>16032</v>
      </c>
      <c r="BY134" s="451">
        <v>1603195</v>
      </c>
      <c r="BZ134" s="451">
        <v>801597</v>
      </c>
      <c r="CA134" s="451">
        <v>785566</v>
      </c>
      <c r="CB134" s="451">
        <v>0</v>
      </c>
      <c r="CC134" s="451">
        <v>16032</v>
      </c>
      <c r="CD134" s="451">
        <v>1603195</v>
      </c>
      <c r="CE134" s="104"/>
      <c r="CF134" s="104"/>
      <c r="CG134" s="104"/>
    </row>
    <row r="135" spans="1:85" ht="12.75" x14ac:dyDescent="0.2">
      <c r="A135" s="446">
        <v>128</v>
      </c>
      <c r="B135" s="447" t="s">
        <v>139</v>
      </c>
      <c r="C135" s="448" t="s">
        <v>1093</v>
      </c>
      <c r="D135" s="449" t="s">
        <v>1097</v>
      </c>
      <c r="E135" s="450" t="s">
        <v>138</v>
      </c>
      <c r="F135" s="451">
        <v>18907041</v>
      </c>
      <c r="G135" s="451">
        <v>15125632</v>
      </c>
      <c r="H135" s="451">
        <v>3781408</v>
      </c>
      <c r="I135" s="451">
        <v>0</v>
      </c>
      <c r="J135" s="451">
        <v>37814081</v>
      </c>
      <c r="K135" s="451">
        <v>0</v>
      </c>
      <c r="L135" s="451">
        <v>0</v>
      </c>
      <c r="M135" s="451">
        <v>18907041</v>
      </c>
      <c r="N135" s="451">
        <v>37814081</v>
      </c>
      <c r="O135" s="451">
        <v>146387</v>
      </c>
      <c r="P135" s="451">
        <v>146387</v>
      </c>
      <c r="Q135" s="451">
        <v>0</v>
      </c>
      <c r="R135" s="451">
        <v>0</v>
      </c>
      <c r="S135" s="451">
        <v>0</v>
      </c>
      <c r="T135" s="451">
        <v>0</v>
      </c>
      <c r="U135" s="451">
        <v>0</v>
      </c>
      <c r="V135" s="451">
        <v>0</v>
      </c>
      <c r="W135" s="451">
        <v>0</v>
      </c>
      <c r="X135" s="451">
        <v>0</v>
      </c>
      <c r="Y135" s="451">
        <v>0</v>
      </c>
      <c r="Z135" s="451">
        <v>0</v>
      </c>
      <c r="AA135" s="451">
        <v>0</v>
      </c>
      <c r="AB135" s="451">
        <v>815494.17</v>
      </c>
      <c r="AC135" s="451">
        <v>652396</v>
      </c>
      <c r="AD135" s="451">
        <v>163099</v>
      </c>
      <c r="AE135" s="451">
        <v>0</v>
      </c>
      <c r="AF135" s="451">
        <v>1630989.17</v>
      </c>
      <c r="AG135" s="451">
        <v>662033.1</v>
      </c>
      <c r="AH135" s="451">
        <v>529626</v>
      </c>
      <c r="AI135" s="451">
        <v>132407</v>
      </c>
      <c r="AJ135" s="451">
        <v>0</v>
      </c>
      <c r="AK135" s="451">
        <v>1324066.1000000001</v>
      </c>
      <c r="AL135" s="451">
        <v>198919.53</v>
      </c>
      <c r="AM135" s="451">
        <v>159136</v>
      </c>
      <c r="AN135" s="451">
        <v>39784</v>
      </c>
      <c r="AO135" s="451">
        <v>0</v>
      </c>
      <c r="AP135" s="451">
        <v>397839.53</v>
      </c>
      <c r="AQ135" s="451">
        <v>104272.38</v>
      </c>
      <c r="AR135" s="451">
        <v>83417</v>
      </c>
      <c r="AS135" s="451">
        <v>20854</v>
      </c>
      <c r="AT135" s="451">
        <v>0</v>
      </c>
      <c r="AU135" s="451">
        <v>208543.38</v>
      </c>
      <c r="AV135" s="451">
        <v>303191.90999999997</v>
      </c>
      <c r="AW135" s="451">
        <v>242553</v>
      </c>
      <c r="AX135" s="451">
        <v>60638</v>
      </c>
      <c r="AY135" s="451">
        <v>0</v>
      </c>
      <c r="AZ135" s="451">
        <v>606382.91</v>
      </c>
      <c r="BA135" s="451">
        <v>0</v>
      </c>
      <c r="BB135" s="451">
        <v>0</v>
      </c>
      <c r="BC135" s="451">
        <v>0</v>
      </c>
      <c r="BD135" s="451">
        <v>0</v>
      </c>
      <c r="BE135" s="451">
        <v>0</v>
      </c>
      <c r="BF135" s="451">
        <v>778502.6</v>
      </c>
      <c r="BG135" s="451">
        <v>622801</v>
      </c>
      <c r="BH135" s="451">
        <v>155700</v>
      </c>
      <c r="BI135" s="451">
        <v>0</v>
      </c>
      <c r="BJ135" s="451">
        <v>1557003.6</v>
      </c>
      <c r="BK135" s="451">
        <v>778502.6</v>
      </c>
      <c r="BL135" s="451">
        <v>622801</v>
      </c>
      <c r="BM135" s="451">
        <v>155700</v>
      </c>
      <c r="BN135" s="451">
        <v>0</v>
      </c>
      <c r="BO135" s="451">
        <v>1557003.6</v>
      </c>
      <c r="BP135" s="451">
        <v>0</v>
      </c>
      <c r="BQ135" s="451">
        <v>0</v>
      </c>
      <c r="BR135" s="451">
        <v>0</v>
      </c>
      <c r="BS135" s="451">
        <v>0</v>
      </c>
      <c r="BT135" s="451">
        <v>0</v>
      </c>
      <c r="BU135" s="451">
        <v>2105312.4</v>
      </c>
      <c r="BV135" s="451">
        <v>1684250</v>
      </c>
      <c r="BW135" s="451">
        <v>421062</v>
      </c>
      <c r="BX135" s="451">
        <v>0</v>
      </c>
      <c r="BY135" s="451">
        <v>4210624.4000000004</v>
      </c>
      <c r="BZ135" s="451">
        <v>2105312.4</v>
      </c>
      <c r="CA135" s="451">
        <v>1684250</v>
      </c>
      <c r="CB135" s="451">
        <v>421062</v>
      </c>
      <c r="CC135" s="451">
        <v>0</v>
      </c>
      <c r="CD135" s="451">
        <v>4210624.4000000004</v>
      </c>
      <c r="CE135" s="104"/>
      <c r="CF135" s="104"/>
      <c r="CG135" s="104"/>
    </row>
    <row r="136" spans="1:85" ht="12.75" x14ac:dyDescent="0.2">
      <c r="A136" s="446">
        <v>129</v>
      </c>
      <c r="B136" s="447" t="s">
        <v>141</v>
      </c>
      <c r="C136" s="448" t="s">
        <v>1093</v>
      </c>
      <c r="D136" s="449" t="s">
        <v>1096</v>
      </c>
      <c r="E136" s="450" t="s">
        <v>140</v>
      </c>
      <c r="F136" s="451">
        <v>11338662</v>
      </c>
      <c r="G136" s="451">
        <v>9070929</v>
      </c>
      <c r="H136" s="451">
        <v>2040959</v>
      </c>
      <c r="I136" s="451">
        <v>226773</v>
      </c>
      <c r="J136" s="451">
        <v>22677323</v>
      </c>
      <c r="K136" s="451">
        <v>0</v>
      </c>
      <c r="L136" s="451">
        <v>0</v>
      </c>
      <c r="M136" s="451">
        <v>11338662</v>
      </c>
      <c r="N136" s="451">
        <v>22677323</v>
      </c>
      <c r="O136" s="451">
        <v>135442</v>
      </c>
      <c r="P136" s="451">
        <v>135442</v>
      </c>
      <c r="Q136" s="451">
        <v>0</v>
      </c>
      <c r="R136" s="451">
        <v>0</v>
      </c>
      <c r="S136" s="451">
        <v>0</v>
      </c>
      <c r="T136" s="451">
        <v>0</v>
      </c>
      <c r="U136" s="451">
        <v>0</v>
      </c>
      <c r="V136" s="451">
        <v>0</v>
      </c>
      <c r="W136" s="451">
        <v>0</v>
      </c>
      <c r="X136" s="451">
        <v>0</v>
      </c>
      <c r="Y136" s="451">
        <v>0</v>
      </c>
      <c r="Z136" s="451">
        <v>0</v>
      </c>
      <c r="AA136" s="451">
        <v>0</v>
      </c>
      <c r="AB136" s="451">
        <v>496184</v>
      </c>
      <c r="AC136" s="451">
        <v>396947</v>
      </c>
      <c r="AD136" s="451">
        <v>89313</v>
      </c>
      <c r="AE136" s="451">
        <v>9924</v>
      </c>
      <c r="AF136" s="451">
        <v>992368</v>
      </c>
      <c r="AG136" s="451">
        <v>113467</v>
      </c>
      <c r="AH136" s="451">
        <v>90774</v>
      </c>
      <c r="AI136" s="451">
        <v>20424</v>
      </c>
      <c r="AJ136" s="451">
        <v>2269</v>
      </c>
      <c r="AK136" s="451">
        <v>226934</v>
      </c>
      <c r="AL136" s="451">
        <v>285891</v>
      </c>
      <c r="AM136" s="451">
        <v>228714</v>
      </c>
      <c r="AN136" s="451">
        <v>51461</v>
      </c>
      <c r="AO136" s="451">
        <v>5718</v>
      </c>
      <c r="AP136" s="451">
        <v>571784</v>
      </c>
      <c r="AQ136" s="451">
        <v>29276</v>
      </c>
      <c r="AR136" s="451">
        <v>23421</v>
      </c>
      <c r="AS136" s="451">
        <v>5270</v>
      </c>
      <c r="AT136" s="451">
        <v>586</v>
      </c>
      <c r="AU136" s="451">
        <v>58553</v>
      </c>
      <c r="AV136" s="451">
        <v>315167</v>
      </c>
      <c r="AW136" s="451">
        <v>252135</v>
      </c>
      <c r="AX136" s="451">
        <v>56731</v>
      </c>
      <c r="AY136" s="451">
        <v>6304</v>
      </c>
      <c r="AZ136" s="451">
        <v>630337</v>
      </c>
      <c r="BA136" s="451">
        <v>0</v>
      </c>
      <c r="BB136" s="451">
        <v>0</v>
      </c>
      <c r="BC136" s="451">
        <v>0</v>
      </c>
      <c r="BD136" s="451">
        <v>0</v>
      </c>
      <c r="BE136" s="451">
        <v>0</v>
      </c>
      <c r="BF136" s="451">
        <v>41890</v>
      </c>
      <c r="BG136" s="451">
        <v>33512</v>
      </c>
      <c r="BH136" s="451">
        <v>7540</v>
      </c>
      <c r="BI136" s="451">
        <v>838</v>
      </c>
      <c r="BJ136" s="451">
        <v>83780</v>
      </c>
      <c r="BK136" s="451">
        <v>41890</v>
      </c>
      <c r="BL136" s="451">
        <v>33512</v>
      </c>
      <c r="BM136" s="451">
        <v>7540</v>
      </c>
      <c r="BN136" s="451">
        <v>838</v>
      </c>
      <c r="BO136" s="451">
        <v>83780</v>
      </c>
      <c r="BP136" s="451">
        <v>0</v>
      </c>
      <c r="BQ136" s="451">
        <v>0</v>
      </c>
      <c r="BR136" s="451">
        <v>0</v>
      </c>
      <c r="BS136" s="451">
        <v>0</v>
      </c>
      <c r="BT136" s="451">
        <v>0</v>
      </c>
      <c r="BU136" s="451">
        <v>103528</v>
      </c>
      <c r="BV136" s="451">
        <v>82822</v>
      </c>
      <c r="BW136" s="451">
        <v>18635</v>
      </c>
      <c r="BX136" s="451">
        <v>2071</v>
      </c>
      <c r="BY136" s="451">
        <v>207056</v>
      </c>
      <c r="BZ136" s="451">
        <v>103528</v>
      </c>
      <c r="CA136" s="451">
        <v>82822</v>
      </c>
      <c r="CB136" s="451">
        <v>18635</v>
      </c>
      <c r="CC136" s="451">
        <v>2071</v>
      </c>
      <c r="CD136" s="451">
        <v>207056</v>
      </c>
      <c r="CE136" s="104"/>
      <c r="CF136" s="104"/>
      <c r="CG136" s="104"/>
    </row>
    <row r="137" spans="1:85" ht="12.75" x14ac:dyDescent="0.2">
      <c r="A137" s="446">
        <v>130</v>
      </c>
      <c r="B137" s="447" t="s">
        <v>143</v>
      </c>
      <c r="C137" s="448" t="s">
        <v>1098</v>
      </c>
      <c r="D137" s="449" t="s">
        <v>1099</v>
      </c>
      <c r="E137" s="450" t="s">
        <v>142</v>
      </c>
      <c r="F137" s="451">
        <v>165003295</v>
      </c>
      <c r="G137" s="451">
        <v>99001977</v>
      </c>
      <c r="H137" s="451">
        <v>66001318</v>
      </c>
      <c r="I137" s="451">
        <v>0</v>
      </c>
      <c r="J137" s="451">
        <v>330006590</v>
      </c>
      <c r="K137" s="451">
        <v>0</v>
      </c>
      <c r="L137" s="451">
        <v>0</v>
      </c>
      <c r="M137" s="451">
        <v>165003295</v>
      </c>
      <c r="N137" s="451">
        <v>330006590</v>
      </c>
      <c r="O137" s="451">
        <v>598040</v>
      </c>
      <c r="P137" s="451">
        <v>598040</v>
      </c>
      <c r="Q137" s="451">
        <v>0</v>
      </c>
      <c r="R137" s="451">
        <v>0</v>
      </c>
      <c r="S137" s="451">
        <v>0</v>
      </c>
      <c r="T137" s="451">
        <v>0</v>
      </c>
      <c r="U137" s="451">
        <v>0</v>
      </c>
      <c r="V137" s="451">
        <v>0</v>
      </c>
      <c r="W137" s="451">
        <v>0</v>
      </c>
      <c r="X137" s="451">
        <v>0</v>
      </c>
      <c r="Y137" s="451">
        <v>0</v>
      </c>
      <c r="Z137" s="451">
        <v>0</v>
      </c>
      <c r="AA137" s="451">
        <v>0</v>
      </c>
      <c r="AB137" s="451">
        <v>2969533</v>
      </c>
      <c r="AC137" s="451">
        <v>1781720</v>
      </c>
      <c r="AD137" s="451">
        <v>1187813</v>
      </c>
      <c r="AE137" s="451">
        <v>0</v>
      </c>
      <c r="AF137" s="451">
        <v>5939066</v>
      </c>
      <c r="AG137" s="451">
        <v>7461781</v>
      </c>
      <c r="AH137" s="451">
        <v>4477069</v>
      </c>
      <c r="AI137" s="451">
        <v>2984712</v>
      </c>
      <c r="AJ137" s="451">
        <v>0</v>
      </c>
      <c r="AK137" s="451">
        <v>14923562</v>
      </c>
      <c r="AL137" s="451">
        <v>1777979</v>
      </c>
      <c r="AM137" s="451">
        <v>1066787</v>
      </c>
      <c r="AN137" s="451">
        <v>711191</v>
      </c>
      <c r="AO137" s="451">
        <v>0</v>
      </c>
      <c r="AP137" s="451">
        <v>3555957</v>
      </c>
      <c r="AQ137" s="451">
        <v>-196385</v>
      </c>
      <c r="AR137" s="451">
        <v>-117831</v>
      </c>
      <c r="AS137" s="451">
        <v>-78554</v>
      </c>
      <c r="AT137" s="451">
        <v>0</v>
      </c>
      <c r="AU137" s="451">
        <v>-392770</v>
      </c>
      <c r="AV137" s="451">
        <v>1581594</v>
      </c>
      <c r="AW137" s="451">
        <v>948956</v>
      </c>
      <c r="AX137" s="451">
        <v>632637</v>
      </c>
      <c r="AY137" s="451">
        <v>0</v>
      </c>
      <c r="AZ137" s="451">
        <v>3163187</v>
      </c>
      <c r="BA137" s="451">
        <v>0</v>
      </c>
      <c r="BB137" s="451">
        <v>0</v>
      </c>
      <c r="BC137" s="451">
        <v>0</v>
      </c>
      <c r="BD137" s="451">
        <v>0</v>
      </c>
      <c r="BE137" s="451">
        <v>0</v>
      </c>
      <c r="BF137" s="451">
        <v>1457114</v>
      </c>
      <c r="BG137" s="451">
        <v>874268</v>
      </c>
      <c r="BH137" s="451">
        <v>582845</v>
      </c>
      <c r="BI137" s="451">
        <v>0</v>
      </c>
      <c r="BJ137" s="451">
        <v>2914227</v>
      </c>
      <c r="BK137" s="451">
        <v>1457114</v>
      </c>
      <c r="BL137" s="451">
        <v>874268</v>
      </c>
      <c r="BM137" s="451">
        <v>582845</v>
      </c>
      <c r="BN137" s="451">
        <v>0</v>
      </c>
      <c r="BO137" s="451">
        <v>2914227</v>
      </c>
      <c r="BP137" s="451">
        <v>0</v>
      </c>
      <c r="BQ137" s="451">
        <v>0</v>
      </c>
      <c r="BR137" s="451">
        <v>0</v>
      </c>
      <c r="BS137" s="451">
        <v>0</v>
      </c>
      <c r="BT137" s="451">
        <v>0</v>
      </c>
      <c r="BU137" s="451">
        <v>690412</v>
      </c>
      <c r="BV137" s="451">
        <v>414248</v>
      </c>
      <c r="BW137" s="451">
        <v>276165</v>
      </c>
      <c r="BX137" s="451">
        <v>0</v>
      </c>
      <c r="BY137" s="451">
        <v>1380825</v>
      </c>
      <c r="BZ137" s="451">
        <v>690412</v>
      </c>
      <c r="CA137" s="451">
        <v>414248</v>
      </c>
      <c r="CB137" s="451">
        <v>276165</v>
      </c>
      <c r="CC137" s="451">
        <v>0</v>
      </c>
      <c r="CD137" s="451">
        <v>1380825</v>
      </c>
      <c r="CE137" s="104"/>
      <c r="CF137" s="104"/>
      <c r="CG137" s="104"/>
    </row>
    <row r="138" spans="1:85" ht="12.75" x14ac:dyDescent="0.2">
      <c r="A138" s="446">
        <v>131</v>
      </c>
      <c r="B138" s="447" t="s">
        <v>145</v>
      </c>
      <c r="C138" s="448" t="s">
        <v>1093</v>
      </c>
      <c r="D138" s="449" t="s">
        <v>1096</v>
      </c>
      <c r="E138" s="450" t="s">
        <v>721</v>
      </c>
      <c r="F138" s="451">
        <v>13564004</v>
      </c>
      <c r="G138" s="451">
        <v>10851203</v>
      </c>
      <c r="H138" s="451">
        <v>2441521</v>
      </c>
      <c r="I138" s="451">
        <v>271280</v>
      </c>
      <c r="J138" s="451">
        <v>27128008</v>
      </c>
      <c r="K138" s="451">
        <v>0</v>
      </c>
      <c r="L138" s="451">
        <v>0</v>
      </c>
      <c r="M138" s="451">
        <v>13564004</v>
      </c>
      <c r="N138" s="451">
        <v>27128008</v>
      </c>
      <c r="O138" s="451">
        <v>123176</v>
      </c>
      <c r="P138" s="451">
        <v>123176</v>
      </c>
      <c r="Q138" s="451">
        <v>76823</v>
      </c>
      <c r="R138" s="451">
        <v>76823</v>
      </c>
      <c r="S138" s="451">
        <v>0</v>
      </c>
      <c r="T138" s="451">
        <v>0</v>
      </c>
      <c r="U138" s="451">
        <v>0</v>
      </c>
      <c r="V138" s="451">
        <v>0</v>
      </c>
      <c r="W138" s="451">
        <v>0</v>
      </c>
      <c r="X138" s="451">
        <v>0</v>
      </c>
      <c r="Y138" s="451">
        <v>0</v>
      </c>
      <c r="Z138" s="451">
        <v>0</v>
      </c>
      <c r="AA138" s="451">
        <v>0</v>
      </c>
      <c r="AB138" s="451">
        <v>375131</v>
      </c>
      <c r="AC138" s="451">
        <v>300104</v>
      </c>
      <c r="AD138" s="451">
        <v>67523</v>
      </c>
      <c r="AE138" s="451">
        <v>7503</v>
      </c>
      <c r="AF138" s="451">
        <v>750261</v>
      </c>
      <c r="AG138" s="451">
        <v>264392</v>
      </c>
      <c r="AH138" s="451">
        <v>211513</v>
      </c>
      <c r="AI138" s="451">
        <v>47590</v>
      </c>
      <c r="AJ138" s="451">
        <v>5288</v>
      </c>
      <c r="AK138" s="451">
        <v>528783</v>
      </c>
      <c r="AL138" s="451">
        <v>18404</v>
      </c>
      <c r="AM138" s="451">
        <v>14724</v>
      </c>
      <c r="AN138" s="451">
        <v>3313</v>
      </c>
      <c r="AO138" s="451">
        <v>368</v>
      </c>
      <c r="AP138" s="451">
        <v>36809</v>
      </c>
      <c r="AQ138" s="451">
        <v>-1975</v>
      </c>
      <c r="AR138" s="451">
        <v>-1579</v>
      </c>
      <c r="AS138" s="451">
        <v>-355</v>
      </c>
      <c r="AT138" s="451">
        <v>-39</v>
      </c>
      <c r="AU138" s="451">
        <v>-3948</v>
      </c>
      <c r="AV138" s="451">
        <v>16429</v>
      </c>
      <c r="AW138" s="451">
        <v>13145</v>
      </c>
      <c r="AX138" s="451">
        <v>2958</v>
      </c>
      <c r="AY138" s="451">
        <v>329</v>
      </c>
      <c r="AZ138" s="451">
        <v>32861</v>
      </c>
      <c r="BA138" s="451">
        <v>0</v>
      </c>
      <c r="BB138" s="451">
        <v>0</v>
      </c>
      <c r="BC138" s="451">
        <v>0</v>
      </c>
      <c r="BD138" s="451">
        <v>0</v>
      </c>
      <c r="BE138" s="451">
        <v>0</v>
      </c>
      <c r="BF138" s="451">
        <v>55893</v>
      </c>
      <c r="BG138" s="451">
        <v>44715</v>
      </c>
      <c r="BH138" s="451">
        <v>10061</v>
      </c>
      <c r="BI138" s="451">
        <v>1118</v>
      </c>
      <c r="BJ138" s="451">
        <v>111787</v>
      </c>
      <c r="BK138" s="451">
        <v>55893</v>
      </c>
      <c r="BL138" s="451">
        <v>44715</v>
      </c>
      <c r="BM138" s="451">
        <v>10061</v>
      </c>
      <c r="BN138" s="451">
        <v>1118</v>
      </c>
      <c r="BO138" s="451">
        <v>111787</v>
      </c>
      <c r="BP138" s="451">
        <v>0</v>
      </c>
      <c r="BQ138" s="451">
        <v>0</v>
      </c>
      <c r="BR138" s="451">
        <v>0</v>
      </c>
      <c r="BS138" s="451">
        <v>0</v>
      </c>
      <c r="BT138" s="451">
        <v>0</v>
      </c>
      <c r="BU138" s="451">
        <v>213153</v>
      </c>
      <c r="BV138" s="451">
        <v>170523</v>
      </c>
      <c r="BW138" s="451">
        <v>38368</v>
      </c>
      <c r="BX138" s="451">
        <v>4263</v>
      </c>
      <c r="BY138" s="451">
        <v>426307</v>
      </c>
      <c r="BZ138" s="451">
        <v>213153</v>
      </c>
      <c r="CA138" s="451">
        <v>170523</v>
      </c>
      <c r="CB138" s="451">
        <v>38368</v>
      </c>
      <c r="CC138" s="451">
        <v>4263</v>
      </c>
      <c r="CD138" s="451">
        <v>426307</v>
      </c>
      <c r="CE138" s="104"/>
      <c r="CF138" s="104"/>
      <c r="CG138" s="104"/>
    </row>
    <row r="139" spans="1:85" ht="12.75" x14ac:dyDescent="0.2">
      <c r="A139" s="446">
        <v>132</v>
      </c>
      <c r="B139" s="447" t="s">
        <v>147</v>
      </c>
      <c r="C139" s="448" t="s">
        <v>1093</v>
      </c>
      <c r="D139" s="449" t="s">
        <v>1094</v>
      </c>
      <c r="E139" s="450" t="s">
        <v>146</v>
      </c>
      <c r="F139" s="451">
        <v>18606052</v>
      </c>
      <c r="G139" s="451">
        <v>14884841</v>
      </c>
      <c r="H139" s="451">
        <v>3721210</v>
      </c>
      <c r="I139" s="451">
        <v>0</v>
      </c>
      <c r="J139" s="451">
        <v>37212103</v>
      </c>
      <c r="K139" s="451">
        <v>0</v>
      </c>
      <c r="L139" s="451">
        <v>0</v>
      </c>
      <c r="M139" s="451">
        <v>18606052</v>
      </c>
      <c r="N139" s="451">
        <v>37212103</v>
      </c>
      <c r="O139" s="451">
        <v>177362</v>
      </c>
      <c r="P139" s="451">
        <v>177362</v>
      </c>
      <c r="Q139" s="451">
        <v>0</v>
      </c>
      <c r="R139" s="451">
        <v>0</v>
      </c>
      <c r="S139" s="451">
        <v>0</v>
      </c>
      <c r="T139" s="451">
        <v>0</v>
      </c>
      <c r="U139" s="451">
        <v>0</v>
      </c>
      <c r="V139" s="451">
        <v>0</v>
      </c>
      <c r="W139" s="451">
        <v>0</v>
      </c>
      <c r="X139" s="451">
        <v>0</v>
      </c>
      <c r="Y139" s="451">
        <v>0</v>
      </c>
      <c r="Z139" s="451">
        <v>0</v>
      </c>
      <c r="AA139" s="451">
        <v>0</v>
      </c>
      <c r="AB139" s="451">
        <v>1224887</v>
      </c>
      <c r="AC139" s="451">
        <v>979909</v>
      </c>
      <c r="AD139" s="451">
        <v>244977</v>
      </c>
      <c r="AE139" s="451">
        <v>0</v>
      </c>
      <c r="AF139" s="451">
        <v>2449773</v>
      </c>
      <c r="AG139" s="451">
        <v>458432</v>
      </c>
      <c r="AH139" s="451">
        <v>366746</v>
      </c>
      <c r="AI139" s="451">
        <v>91686</v>
      </c>
      <c r="AJ139" s="451">
        <v>0</v>
      </c>
      <c r="AK139" s="451">
        <v>916864</v>
      </c>
      <c r="AL139" s="451">
        <v>346278</v>
      </c>
      <c r="AM139" s="451">
        <v>277022</v>
      </c>
      <c r="AN139" s="451">
        <v>69256</v>
      </c>
      <c r="AO139" s="451">
        <v>0</v>
      </c>
      <c r="AP139" s="451">
        <v>692556</v>
      </c>
      <c r="AQ139" s="451">
        <v>140097</v>
      </c>
      <c r="AR139" s="451">
        <v>112078</v>
      </c>
      <c r="AS139" s="451">
        <v>28019</v>
      </c>
      <c r="AT139" s="451">
        <v>0</v>
      </c>
      <c r="AU139" s="451">
        <v>280194</v>
      </c>
      <c r="AV139" s="451">
        <v>486375</v>
      </c>
      <c r="AW139" s="451">
        <v>389100</v>
      </c>
      <c r="AX139" s="451">
        <v>97275</v>
      </c>
      <c r="AY139" s="451">
        <v>0</v>
      </c>
      <c r="AZ139" s="451">
        <v>972750</v>
      </c>
      <c r="BA139" s="451">
        <v>0</v>
      </c>
      <c r="BB139" s="451">
        <v>0</v>
      </c>
      <c r="BC139" s="451">
        <v>0</v>
      </c>
      <c r="BD139" s="451">
        <v>0</v>
      </c>
      <c r="BE139" s="451">
        <v>0</v>
      </c>
      <c r="BF139" s="451">
        <v>325652</v>
      </c>
      <c r="BG139" s="451">
        <v>260522</v>
      </c>
      <c r="BH139" s="451">
        <v>65130</v>
      </c>
      <c r="BI139" s="451">
        <v>0</v>
      </c>
      <c r="BJ139" s="451">
        <v>651304</v>
      </c>
      <c r="BK139" s="451">
        <v>325652</v>
      </c>
      <c r="BL139" s="451">
        <v>260522</v>
      </c>
      <c r="BM139" s="451">
        <v>65130</v>
      </c>
      <c r="BN139" s="451">
        <v>0</v>
      </c>
      <c r="BO139" s="451">
        <v>651304</v>
      </c>
      <c r="BP139" s="451">
        <v>0</v>
      </c>
      <c r="BQ139" s="451">
        <v>0</v>
      </c>
      <c r="BR139" s="451">
        <v>0</v>
      </c>
      <c r="BS139" s="451">
        <v>0</v>
      </c>
      <c r="BT139" s="451">
        <v>0</v>
      </c>
      <c r="BU139" s="451">
        <v>1011456</v>
      </c>
      <c r="BV139" s="451">
        <v>809164</v>
      </c>
      <c r="BW139" s="451">
        <v>202291</v>
      </c>
      <c r="BX139" s="451">
        <v>0</v>
      </c>
      <c r="BY139" s="451">
        <v>2022911</v>
      </c>
      <c r="BZ139" s="451">
        <v>1011456</v>
      </c>
      <c r="CA139" s="451">
        <v>809164</v>
      </c>
      <c r="CB139" s="451">
        <v>202291</v>
      </c>
      <c r="CC139" s="451">
        <v>0</v>
      </c>
      <c r="CD139" s="451">
        <v>2022911</v>
      </c>
      <c r="CE139" s="104"/>
      <c r="CF139" s="104"/>
      <c r="CG139" s="104"/>
    </row>
    <row r="140" spans="1:85" ht="12.75" x14ac:dyDescent="0.2">
      <c r="A140" s="446">
        <v>133</v>
      </c>
      <c r="B140" s="447" t="s">
        <v>149</v>
      </c>
      <c r="C140" s="448" t="s">
        <v>1098</v>
      </c>
      <c r="D140" s="449" t="s">
        <v>1099</v>
      </c>
      <c r="E140" s="450" t="s">
        <v>148</v>
      </c>
      <c r="F140" s="451">
        <v>66666599</v>
      </c>
      <c r="G140" s="451">
        <v>39999959</v>
      </c>
      <c r="H140" s="451">
        <v>26666640</v>
      </c>
      <c r="I140" s="451">
        <v>0</v>
      </c>
      <c r="J140" s="451">
        <v>133333198</v>
      </c>
      <c r="K140" s="451">
        <v>0</v>
      </c>
      <c r="L140" s="451">
        <v>0</v>
      </c>
      <c r="M140" s="451">
        <v>66666599</v>
      </c>
      <c r="N140" s="451">
        <v>133333198</v>
      </c>
      <c r="O140" s="451">
        <v>401106</v>
      </c>
      <c r="P140" s="451">
        <v>401106</v>
      </c>
      <c r="Q140" s="451">
        <v>0</v>
      </c>
      <c r="R140" s="451">
        <v>0</v>
      </c>
      <c r="S140" s="451">
        <v>0</v>
      </c>
      <c r="T140" s="451">
        <v>0</v>
      </c>
      <c r="U140" s="451">
        <v>0</v>
      </c>
      <c r="V140" s="451">
        <v>0</v>
      </c>
      <c r="W140" s="451">
        <v>0</v>
      </c>
      <c r="X140" s="451">
        <v>0</v>
      </c>
      <c r="Y140" s="451">
        <v>0</v>
      </c>
      <c r="Z140" s="451">
        <v>0</v>
      </c>
      <c r="AA140" s="451">
        <v>0</v>
      </c>
      <c r="AB140" s="451">
        <v>4655982.2699999996</v>
      </c>
      <c r="AC140" s="451">
        <v>2793589</v>
      </c>
      <c r="AD140" s="451">
        <v>1862393</v>
      </c>
      <c r="AE140" s="451">
        <v>0</v>
      </c>
      <c r="AF140" s="451">
        <v>9311964.2699999996</v>
      </c>
      <c r="AG140" s="451">
        <v>5522496.3200000003</v>
      </c>
      <c r="AH140" s="451">
        <v>3313498</v>
      </c>
      <c r="AI140" s="451">
        <v>2208999</v>
      </c>
      <c r="AJ140" s="451">
        <v>0</v>
      </c>
      <c r="AK140" s="451">
        <v>11044993.300000001</v>
      </c>
      <c r="AL140" s="451">
        <v>1100000</v>
      </c>
      <c r="AM140" s="451">
        <v>660000</v>
      </c>
      <c r="AN140" s="451">
        <v>440000</v>
      </c>
      <c r="AO140" s="451">
        <v>0</v>
      </c>
      <c r="AP140" s="451">
        <v>2200000</v>
      </c>
      <c r="AQ140" s="451">
        <v>50000</v>
      </c>
      <c r="AR140" s="451">
        <v>30000</v>
      </c>
      <c r="AS140" s="451">
        <v>20000</v>
      </c>
      <c r="AT140" s="451">
        <v>0</v>
      </c>
      <c r="AU140" s="451">
        <v>100000</v>
      </c>
      <c r="AV140" s="451">
        <v>1150000</v>
      </c>
      <c r="AW140" s="451">
        <v>690000</v>
      </c>
      <c r="AX140" s="451">
        <v>460000</v>
      </c>
      <c r="AY140" s="451">
        <v>0</v>
      </c>
      <c r="AZ140" s="451">
        <v>2300000</v>
      </c>
      <c r="BA140" s="451">
        <v>0</v>
      </c>
      <c r="BB140" s="451">
        <v>0</v>
      </c>
      <c r="BC140" s="451">
        <v>0</v>
      </c>
      <c r="BD140" s="451">
        <v>0</v>
      </c>
      <c r="BE140" s="451">
        <v>0</v>
      </c>
      <c r="BF140" s="451">
        <v>1750000</v>
      </c>
      <c r="BG140" s="451">
        <v>1050000</v>
      </c>
      <c r="BH140" s="451">
        <v>700000</v>
      </c>
      <c r="BI140" s="451">
        <v>0</v>
      </c>
      <c r="BJ140" s="451">
        <v>3500000</v>
      </c>
      <c r="BK140" s="451">
        <v>1750000</v>
      </c>
      <c r="BL140" s="451">
        <v>1050000</v>
      </c>
      <c r="BM140" s="451">
        <v>700000</v>
      </c>
      <c r="BN140" s="451">
        <v>0</v>
      </c>
      <c r="BO140" s="451">
        <v>3500000</v>
      </c>
      <c r="BP140" s="451">
        <v>0</v>
      </c>
      <c r="BQ140" s="451">
        <v>0</v>
      </c>
      <c r="BR140" s="451">
        <v>0</v>
      </c>
      <c r="BS140" s="451">
        <v>0</v>
      </c>
      <c r="BT140" s="451">
        <v>0</v>
      </c>
      <c r="BU140" s="451">
        <v>4750000</v>
      </c>
      <c r="BV140" s="451">
        <v>2850000</v>
      </c>
      <c r="BW140" s="451">
        <v>1900000</v>
      </c>
      <c r="BX140" s="451">
        <v>0</v>
      </c>
      <c r="BY140" s="451">
        <v>9500000</v>
      </c>
      <c r="BZ140" s="451">
        <v>4750000</v>
      </c>
      <c r="CA140" s="451">
        <v>2850000</v>
      </c>
      <c r="CB140" s="451">
        <v>1900000</v>
      </c>
      <c r="CC140" s="451">
        <v>0</v>
      </c>
      <c r="CD140" s="451">
        <v>9500000</v>
      </c>
      <c r="CE140" s="104"/>
      <c r="CF140" s="104"/>
      <c r="CG140" s="104"/>
    </row>
    <row r="141" spans="1:85" ht="12.75" x14ac:dyDescent="0.2">
      <c r="A141" s="446">
        <v>134</v>
      </c>
      <c r="B141" s="447" t="s">
        <v>151</v>
      </c>
      <c r="C141" s="448" t="s">
        <v>1093</v>
      </c>
      <c r="D141" s="449" t="s">
        <v>1097</v>
      </c>
      <c r="E141" s="450" t="s">
        <v>1113</v>
      </c>
      <c r="F141" s="451">
        <v>25012429</v>
      </c>
      <c r="G141" s="451">
        <v>20009944</v>
      </c>
      <c r="H141" s="451">
        <v>4502237</v>
      </c>
      <c r="I141" s="451">
        <v>500249</v>
      </c>
      <c r="J141" s="451">
        <v>50024859</v>
      </c>
      <c r="K141" s="451">
        <v>512193</v>
      </c>
      <c r="L141" s="451">
        <v>512193</v>
      </c>
      <c r="M141" s="451">
        <v>24500236</v>
      </c>
      <c r="N141" s="451">
        <v>49512666</v>
      </c>
      <c r="O141" s="451">
        <v>221475</v>
      </c>
      <c r="P141" s="451">
        <v>221475</v>
      </c>
      <c r="Q141" s="451">
        <v>79342</v>
      </c>
      <c r="R141" s="451">
        <v>79342</v>
      </c>
      <c r="S141" s="451">
        <v>0</v>
      </c>
      <c r="T141" s="451">
        <v>0</v>
      </c>
      <c r="U141" s="451">
        <v>190755</v>
      </c>
      <c r="V141" s="451">
        <v>0</v>
      </c>
      <c r="W141" s="451">
        <v>190755</v>
      </c>
      <c r="X141" s="451">
        <v>512193</v>
      </c>
      <c r="Y141" s="451">
        <v>0</v>
      </c>
      <c r="Z141" s="451">
        <v>0</v>
      </c>
      <c r="AA141" s="451">
        <v>512193</v>
      </c>
      <c r="AB141" s="451">
        <v>482994</v>
      </c>
      <c r="AC141" s="451">
        <v>386396</v>
      </c>
      <c r="AD141" s="451">
        <v>86939</v>
      </c>
      <c r="AE141" s="451">
        <v>9660</v>
      </c>
      <c r="AF141" s="451">
        <v>965989</v>
      </c>
      <c r="AG141" s="451">
        <v>82273</v>
      </c>
      <c r="AH141" s="451">
        <v>65818</v>
      </c>
      <c r="AI141" s="451">
        <v>14809</v>
      </c>
      <c r="AJ141" s="451">
        <v>1645</v>
      </c>
      <c r="AK141" s="451">
        <v>164545</v>
      </c>
      <c r="AL141" s="451">
        <v>0</v>
      </c>
      <c r="AM141" s="451">
        <v>0</v>
      </c>
      <c r="AN141" s="451">
        <v>0</v>
      </c>
      <c r="AO141" s="451">
        <v>0</v>
      </c>
      <c r="AP141" s="451">
        <v>0</v>
      </c>
      <c r="AQ141" s="451">
        <v>-34500</v>
      </c>
      <c r="AR141" s="451">
        <v>-27600</v>
      </c>
      <c r="AS141" s="451">
        <v>-6210</v>
      </c>
      <c r="AT141" s="451">
        <v>-690</v>
      </c>
      <c r="AU141" s="451">
        <v>-69000</v>
      </c>
      <c r="AV141" s="451">
        <v>-34500</v>
      </c>
      <c r="AW141" s="451">
        <v>-27600</v>
      </c>
      <c r="AX141" s="451">
        <v>-6210</v>
      </c>
      <c r="AY141" s="451">
        <v>-690</v>
      </c>
      <c r="AZ141" s="451">
        <v>-69000</v>
      </c>
      <c r="BA141" s="451">
        <v>0</v>
      </c>
      <c r="BB141" s="451">
        <v>0</v>
      </c>
      <c r="BC141" s="451">
        <v>0</v>
      </c>
      <c r="BD141" s="451">
        <v>0</v>
      </c>
      <c r="BE141" s="451">
        <v>0</v>
      </c>
      <c r="BF141" s="451">
        <v>791500</v>
      </c>
      <c r="BG141" s="451">
        <v>633200</v>
      </c>
      <c r="BH141" s="451">
        <v>142470</v>
      </c>
      <c r="BI141" s="451">
        <v>15830</v>
      </c>
      <c r="BJ141" s="451">
        <v>1583000</v>
      </c>
      <c r="BK141" s="451">
        <v>791500</v>
      </c>
      <c r="BL141" s="451">
        <v>633200</v>
      </c>
      <c r="BM141" s="451">
        <v>142470</v>
      </c>
      <c r="BN141" s="451">
        <v>15830</v>
      </c>
      <c r="BO141" s="451">
        <v>1583000</v>
      </c>
      <c r="BP141" s="451">
        <v>0</v>
      </c>
      <c r="BQ141" s="451">
        <v>0</v>
      </c>
      <c r="BR141" s="451">
        <v>0</v>
      </c>
      <c r="BS141" s="451">
        <v>0</v>
      </c>
      <c r="BT141" s="451">
        <v>0</v>
      </c>
      <c r="BU141" s="451">
        <v>1776000</v>
      </c>
      <c r="BV141" s="451">
        <v>1420800</v>
      </c>
      <c r="BW141" s="451">
        <v>319680</v>
      </c>
      <c r="BX141" s="451">
        <v>35520</v>
      </c>
      <c r="BY141" s="451">
        <v>3552000</v>
      </c>
      <c r="BZ141" s="451">
        <v>1776000</v>
      </c>
      <c r="CA141" s="451">
        <v>1420800</v>
      </c>
      <c r="CB141" s="451">
        <v>319680</v>
      </c>
      <c r="CC141" s="451">
        <v>35520</v>
      </c>
      <c r="CD141" s="451">
        <v>3552000</v>
      </c>
      <c r="CE141" s="104"/>
      <c r="CF141" s="104"/>
      <c r="CG141" s="104"/>
    </row>
    <row r="142" spans="1:85" ht="12.75" x14ac:dyDescent="0.2">
      <c r="A142" s="446">
        <v>135</v>
      </c>
      <c r="B142" s="447" t="s">
        <v>153</v>
      </c>
      <c r="C142" s="448" t="s">
        <v>1093</v>
      </c>
      <c r="D142" s="449" t="s">
        <v>1095</v>
      </c>
      <c r="E142" s="450" t="s">
        <v>152</v>
      </c>
      <c r="F142" s="451">
        <v>9641014</v>
      </c>
      <c r="G142" s="451">
        <v>7712811</v>
      </c>
      <c r="H142" s="451">
        <v>1735383</v>
      </c>
      <c r="I142" s="451">
        <v>192820</v>
      </c>
      <c r="J142" s="451">
        <v>19282028</v>
      </c>
      <c r="K142" s="451">
        <v>0</v>
      </c>
      <c r="L142" s="451">
        <v>0</v>
      </c>
      <c r="M142" s="451">
        <v>9641014</v>
      </c>
      <c r="N142" s="451">
        <v>19282028</v>
      </c>
      <c r="O142" s="451">
        <v>133530</v>
      </c>
      <c r="P142" s="451">
        <v>133530</v>
      </c>
      <c r="Q142" s="451">
        <v>0</v>
      </c>
      <c r="R142" s="451">
        <v>0</v>
      </c>
      <c r="S142" s="451">
        <v>0</v>
      </c>
      <c r="T142" s="451">
        <v>0</v>
      </c>
      <c r="U142" s="451">
        <v>0</v>
      </c>
      <c r="V142" s="451">
        <v>0</v>
      </c>
      <c r="W142" s="451">
        <v>0</v>
      </c>
      <c r="X142" s="451">
        <v>0</v>
      </c>
      <c r="Y142" s="451">
        <v>0</v>
      </c>
      <c r="Z142" s="451">
        <v>0</v>
      </c>
      <c r="AA142" s="451">
        <v>0</v>
      </c>
      <c r="AB142" s="451">
        <v>1915744</v>
      </c>
      <c r="AC142" s="451">
        <v>1532595</v>
      </c>
      <c r="AD142" s="451">
        <v>344834</v>
      </c>
      <c r="AE142" s="451">
        <v>38315</v>
      </c>
      <c r="AF142" s="451">
        <v>3831488</v>
      </c>
      <c r="AG142" s="451">
        <v>479688.25</v>
      </c>
      <c r="AH142" s="451">
        <v>383751</v>
      </c>
      <c r="AI142" s="451">
        <v>86344</v>
      </c>
      <c r="AJ142" s="451">
        <v>9594</v>
      </c>
      <c r="AK142" s="451">
        <v>959377.25</v>
      </c>
      <c r="AL142" s="451">
        <v>1080014</v>
      </c>
      <c r="AM142" s="451">
        <v>864011</v>
      </c>
      <c r="AN142" s="451">
        <v>194402</v>
      </c>
      <c r="AO142" s="451">
        <v>21600</v>
      </c>
      <c r="AP142" s="451">
        <v>2160027</v>
      </c>
      <c r="AQ142" s="451">
        <v>85932</v>
      </c>
      <c r="AR142" s="451">
        <v>68746</v>
      </c>
      <c r="AS142" s="451">
        <v>15468</v>
      </c>
      <c r="AT142" s="451">
        <v>1719</v>
      </c>
      <c r="AU142" s="451">
        <v>171865</v>
      </c>
      <c r="AV142" s="451">
        <v>1165946</v>
      </c>
      <c r="AW142" s="451">
        <v>932757</v>
      </c>
      <c r="AX142" s="451">
        <v>209870</v>
      </c>
      <c r="AY142" s="451">
        <v>23319</v>
      </c>
      <c r="AZ142" s="451">
        <v>2331892</v>
      </c>
      <c r="BA142" s="451">
        <v>0</v>
      </c>
      <c r="BB142" s="451">
        <v>0</v>
      </c>
      <c r="BC142" s="451">
        <v>0</v>
      </c>
      <c r="BD142" s="451">
        <v>0</v>
      </c>
      <c r="BE142" s="451">
        <v>0</v>
      </c>
      <c r="BF142" s="451">
        <v>123266</v>
      </c>
      <c r="BG142" s="451">
        <v>98612</v>
      </c>
      <c r="BH142" s="451">
        <v>22188</v>
      </c>
      <c r="BI142" s="451">
        <v>2465</v>
      </c>
      <c r="BJ142" s="451">
        <v>246531</v>
      </c>
      <c r="BK142" s="451">
        <v>123266</v>
      </c>
      <c r="BL142" s="451">
        <v>98612</v>
      </c>
      <c r="BM142" s="451">
        <v>22188</v>
      </c>
      <c r="BN142" s="451">
        <v>2465</v>
      </c>
      <c r="BO142" s="451">
        <v>246531</v>
      </c>
      <c r="BP142" s="451">
        <v>0</v>
      </c>
      <c r="BQ142" s="451">
        <v>0</v>
      </c>
      <c r="BR142" s="451">
        <v>0</v>
      </c>
      <c r="BS142" s="451">
        <v>0</v>
      </c>
      <c r="BT142" s="451">
        <v>0</v>
      </c>
      <c r="BU142" s="451">
        <v>370630.26</v>
      </c>
      <c r="BV142" s="451">
        <v>296505</v>
      </c>
      <c r="BW142" s="451">
        <v>66714</v>
      </c>
      <c r="BX142" s="451">
        <v>7413</v>
      </c>
      <c r="BY142" s="451">
        <v>741262.26</v>
      </c>
      <c r="BZ142" s="451">
        <v>370630.26</v>
      </c>
      <c r="CA142" s="451">
        <v>296505</v>
      </c>
      <c r="CB142" s="451">
        <v>66714</v>
      </c>
      <c r="CC142" s="451">
        <v>7413</v>
      </c>
      <c r="CD142" s="451">
        <v>741262.26</v>
      </c>
      <c r="CE142" s="104"/>
      <c r="CF142" s="104"/>
      <c r="CG142" s="104"/>
    </row>
    <row r="143" spans="1:85" ht="12.75" x14ac:dyDescent="0.2">
      <c r="A143" s="446">
        <v>136</v>
      </c>
      <c r="B143" s="447" t="s">
        <v>155</v>
      </c>
      <c r="C143" s="448" t="s">
        <v>1093</v>
      </c>
      <c r="D143" s="449" t="s">
        <v>1097</v>
      </c>
      <c r="E143" s="450" t="s">
        <v>154</v>
      </c>
      <c r="F143" s="451">
        <v>26245208</v>
      </c>
      <c r="G143" s="451">
        <v>20996166</v>
      </c>
      <c r="H143" s="451">
        <v>5249042</v>
      </c>
      <c r="I143" s="451">
        <v>0</v>
      </c>
      <c r="J143" s="451">
        <v>52490416</v>
      </c>
      <c r="K143" s="451">
        <v>0</v>
      </c>
      <c r="L143" s="451">
        <v>0</v>
      </c>
      <c r="M143" s="451">
        <v>26245208</v>
      </c>
      <c r="N143" s="451">
        <v>52490416</v>
      </c>
      <c r="O143" s="451">
        <v>192368</v>
      </c>
      <c r="P143" s="451">
        <v>192368</v>
      </c>
      <c r="Q143" s="451">
        <v>0</v>
      </c>
      <c r="R143" s="451">
        <v>0</v>
      </c>
      <c r="S143" s="451">
        <v>0</v>
      </c>
      <c r="T143" s="451">
        <v>0</v>
      </c>
      <c r="U143" s="451">
        <v>0</v>
      </c>
      <c r="V143" s="451">
        <v>0</v>
      </c>
      <c r="W143" s="451">
        <v>0</v>
      </c>
      <c r="X143" s="451">
        <v>0</v>
      </c>
      <c r="Y143" s="451">
        <v>0</v>
      </c>
      <c r="Z143" s="451">
        <v>0</v>
      </c>
      <c r="AA143" s="451">
        <v>0</v>
      </c>
      <c r="AB143" s="451">
        <v>1058579.1299999999</v>
      </c>
      <c r="AC143" s="451">
        <v>846863</v>
      </c>
      <c r="AD143" s="451">
        <v>211716</v>
      </c>
      <c r="AE143" s="451">
        <v>0</v>
      </c>
      <c r="AF143" s="451">
        <v>2117158.13</v>
      </c>
      <c r="AG143" s="451">
        <v>21897.88</v>
      </c>
      <c r="AH143" s="451">
        <v>17518</v>
      </c>
      <c r="AI143" s="451">
        <v>4380</v>
      </c>
      <c r="AJ143" s="451">
        <v>0</v>
      </c>
      <c r="AK143" s="451">
        <v>43795.88</v>
      </c>
      <c r="AL143" s="451">
        <v>497107</v>
      </c>
      <c r="AM143" s="451">
        <v>397686</v>
      </c>
      <c r="AN143" s="451">
        <v>99422</v>
      </c>
      <c r="AO143" s="451">
        <v>0</v>
      </c>
      <c r="AP143" s="451">
        <v>994215</v>
      </c>
      <c r="AQ143" s="451">
        <v>17943</v>
      </c>
      <c r="AR143" s="451">
        <v>14354</v>
      </c>
      <c r="AS143" s="451">
        <v>3589</v>
      </c>
      <c r="AT143" s="451">
        <v>0</v>
      </c>
      <c r="AU143" s="451">
        <v>35886</v>
      </c>
      <c r="AV143" s="451">
        <v>515050</v>
      </c>
      <c r="AW143" s="451">
        <v>412040</v>
      </c>
      <c r="AX143" s="451">
        <v>103011</v>
      </c>
      <c r="AY143" s="451">
        <v>0</v>
      </c>
      <c r="AZ143" s="451">
        <v>1030101</v>
      </c>
      <c r="BA143" s="451">
        <v>0</v>
      </c>
      <c r="BB143" s="451">
        <v>0</v>
      </c>
      <c r="BC143" s="451">
        <v>0</v>
      </c>
      <c r="BD143" s="451">
        <v>0</v>
      </c>
      <c r="BE143" s="451">
        <v>0</v>
      </c>
      <c r="BF143" s="451">
        <v>273549</v>
      </c>
      <c r="BG143" s="451">
        <v>218839</v>
      </c>
      <c r="BH143" s="451">
        <v>54710</v>
      </c>
      <c r="BI143" s="451">
        <v>0</v>
      </c>
      <c r="BJ143" s="451">
        <v>547098</v>
      </c>
      <c r="BK143" s="451">
        <v>273549</v>
      </c>
      <c r="BL143" s="451">
        <v>218839</v>
      </c>
      <c r="BM143" s="451">
        <v>54710</v>
      </c>
      <c r="BN143" s="451">
        <v>0</v>
      </c>
      <c r="BO143" s="451">
        <v>547098</v>
      </c>
      <c r="BP143" s="451">
        <v>0</v>
      </c>
      <c r="BQ143" s="451">
        <v>0</v>
      </c>
      <c r="BR143" s="451">
        <v>0</v>
      </c>
      <c r="BS143" s="451">
        <v>0</v>
      </c>
      <c r="BT143" s="451">
        <v>0</v>
      </c>
      <c r="BU143" s="451">
        <v>707224</v>
      </c>
      <c r="BV143" s="451">
        <v>565779</v>
      </c>
      <c r="BW143" s="451">
        <v>141445</v>
      </c>
      <c r="BX143" s="451">
        <v>0</v>
      </c>
      <c r="BY143" s="451">
        <v>1414448</v>
      </c>
      <c r="BZ143" s="451">
        <v>707224</v>
      </c>
      <c r="CA143" s="451">
        <v>565779</v>
      </c>
      <c r="CB143" s="451">
        <v>141445</v>
      </c>
      <c r="CC143" s="451">
        <v>0</v>
      </c>
      <c r="CD143" s="451">
        <v>1414448</v>
      </c>
      <c r="CE143" s="104"/>
      <c r="CF143" s="104"/>
      <c r="CG143" s="104"/>
    </row>
    <row r="144" spans="1:85" ht="12.75" x14ac:dyDescent="0.2">
      <c r="A144" s="446">
        <v>137</v>
      </c>
      <c r="B144" s="447" t="s">
        <v>157</v>
      </c>
      <c r="C144" s="448" t="s">
        <v>794</v>
      </c>
      <c r="D144" s="449" t="s">
        <v>1094</v>
      </c>
      <c r="E144" s="450" t="s">
        <v>1114</v>
      </c>
      <c r="F144" s="451">
        <v>15249748</v>
      </c>
      <c r="G144" s="451">
        <v>15249749</v>
      </c>
      <c r="H144" s="451">
        <v>0</v>
      </c>
      <c r="I144" s="451">
        <v>0</v>
      </c>
      <c r="J144" s="451">
        <v>30499497</v>
      </c>
      <c r="K144" s="451">
        <v>0</v>
      </c>
      <c r="L144" s="451">
        <v>0</v>
      </c>
      <c r="M144" s="451">
        <v>15249748</v>
      </c>
      <c r="N144" s="451">
        <v>30499497</v>
      </c>
      <c r="O144" s="451">
        <v>250493</v>
      </c>
      <c r="P144" s="451">
        <v>250493</v>
      </c>
      <c r="Q144" s="451">
        <v>0</v>
      </c>
      <c r="R144" s="451">
        <v>0</v>
      </c>
      <c r="S144" s="451">
        <v>0</v>
      </c>
      <c r="T144" s="451">
        <v>0</v>
      </c>
      <c r="U144" s="451">
        <v>79257</v>
      </c>
      <c r="V144" s="451">
        <v>0</v>
      </c>
      <c r="W144" s="451">
        <v>79257</v>
      </c>
      <c r="X144" s="451">
        <v>0</v>
      </c>
      <c r="Y144" s="451">
        <v>0</v>
      </c>
      <c r="Z144" s="451">
        <v>0</v>
      </c>
      <c r="AA144" s="451">
        <v>0</v>
      </c>
      <c r="AB144" s="451">
        <v>755008</v>
      </c>
      <c r="AC144" s="451">
        <v>755009</v>
      </c>
      <c r="AD144" s="451">
        <v>0</v>
      </c>
      <c r="AE144" s="451">
        <v>0</v>
      </c>
      <c r="AF144" s="451">
        <v>1510017</v>
      </c>
      <c r="AG144" s="451">
        <v>256846</v>
      </c>
      <c r="AH144" s="451">
        <v>256847</v>
      </c>
      <c r="AI144" s="451">
        <v>0</v>
      </c>
      <c r="AJ144" s="451">
        <v>0</v>
      </c>
      <c r="AK144" s="451">
        <v>513693</v>
      </c>
      <c r="AL144" s="451">
        <v>221175</v>
      </c>
      <c r="AM144" s="451">
        <v>221176</v>
      </c>
      <c r="AN144" s="451">
        <v>0</v>
      </c>
      <c r="AO144" s="451">
        <v>0</v>
      </c>
      <c r="AP144" s="451">
        <v>442351</v>
      </c>
      <c r="AQ144" s="451">
        <v>7117</v>
      </c>
      <c r="AR144" s="451">
        <v>7118</v>
      </c>
      <c r="AS144" s="451">
        <v>0</v>
      </c>
      <c r="AT144" s="451">
        <v>0</v>
      </c>
      <c r="AU144" s="451">
        <v>14235</v>
      </c>
      <c r="AV144" s="451">
        <v>228292</v>
      </c>
      <c r="AW144" s="451">
        <v>228294</v>
      </c>
      <c r="AX144" s="451">
        <v>0</v>
      </c>
      <c r="AY144" s="451">
        <v>0</v>
      </c>
      <c r="AZ144" s="451">
        <v>456586</v>
      </c>
      <c r="BA144" s="451">
        <v>0</v>
      </c>
      <c r="BB144" s="451">
        <v>0</v>
      </c>
      <c r="BC144" s="451">
        <v>0</v>
      </c>
      <c r="BD144" s="451">
        <v>0</v>
      </c>
      <c r="BE144" s="451">
        <v>0</v>
      </c>
      <c r="BF144" s="451">
        <v>12349</v>
      </c>
      <c r="BG144" s="451">
        <v>12350</v>
      </c>
      <c r="BH144" s="451">
        <v>0</v>
      </c>
      <c r="BI144" s="451">
        <v>0</v>
      </c>
      <c r="BJ144" s="451">
        <v>24699</v>
      </c>
      <c r="BK144" s="451">
        <v>12349</v>
      </c>
      <c r="BL144" s="451">
        <v>12350</v>
      </c>
      <c r="BM144" s="451">
        <v>0</v>
      </c>
      <c r="BN144" s="451">
        <v>0</v>
      </c>
      <c r="BO144" s="451">
        <v>24699</v>
      </c>
      <c r="BP144" s="451">
        <v>0</v>
      </c>
      <c r="BQ144" s="451">
        <v>0</v>
      </c>
      <c r="BR144" s="451">
        <v>0</v>
      </c>
      <c r="BS144" s="451">
        <v>0</v>
      </c>
      <c r="BT144" s="451">
        <v>0</v>
      </c>
      <c r="BU144" s="451">
        <v>1565872</v>
      </c>
      <c r="BV144" s="451">
        <v>1565873</v>
      </c>
      <c r="BW144" s="451">
        <v>0</v>
      </c>
      <c r="BX144" s="451">
        <v>0</v>
      </c>
      <c r="BY144" s="451">
        <v>3131745</v>
      </c>
      <c r="BZ144" s="451">
        <v>1565872</v>
      </c>
      <c r="CA144" s="451">
        <v>1565873</v>
      </c>
      <c r="CB144" s="451">
        <v>0</v>
      </c>
      <c r="CC144" s="451">
        <v>0</v>
      </c>
      <c r="CD144" s="451">
        <v>3131745</v>
      </c>
      <c r="CE144" s="104"/>
      <c r="CF144" s="104"/>
      <c r="CG144" s="104"/>
    </row>
    <row r="145" spans="1:85" ht="12.75" x14ac:dyDescent="0.2">
      <c r="A145" s="446">
        <v>138</v>
      </c>
      <c r="B145" s="447" t="s">
        <v>159</v>
      </c>
      <c r="C145" s="448" t="s">
        <v>794</v>
      </c>
      <c r="D145" s="449" t="s">
        <v>1102</v>
      </c>
      <c r="E145" s="450" t="s">
        <v>158</v>
      </c>
      <c r="F145" s="451">
        <v>710178</v>
      </c>
      <c r="G145" s="451">
        <v>710179</v>
      </c>
      <c r="H145" s="451">
        <v>0</v>
      </c>
      <c r="I145" s="451">
        <v>0</v>
      </c>
      <c r="J145" s="451">
        <v>1420357</v>
      </c>
      <c r="K145" s="451">
        <v>0</v>
      </c>
      <c r="L145" s="451">
        <v>0</v>
      </c>
      <c r="M145" s="451">
        <v>710178</v>
      </c>
      <c r="N145" s="451">
        <v>1420357</v>
      </c>
      <c r="O145" s="451">
        <v>24797</v>
      </c>
      <c r="P145" s="451">
        <v>24797</v>
      </c>
      <c r="Q145" s="451">
        <v>0</v>
      </c>
      <c r="R145" s="451">
        <v>0</v>
      </c>
      <c r="S145" s="451">
        <v>0</v>
      </c>
      <c r="T145" s="451">
        <v>0</v>
      </c>
      <c r="U145" s="451">
        <v>0</v>
      </c>
      <c r="V145" s="451">
        <v>0</v>
      </c>
      <c r="W145" s="451">
        <v>0</v>
      </c>
      <c r="X145" s="451">
        <v>0</v>
      </c>
      <c r="Y145" s="451">
        <v>0</v>
      </c>
      <c r="Z145" s="451">
        <v>0</v>
      </c>
      <c r="AA145" s="451">
        <v>0</v>
      </c>
      <c r="AB145" s="451">
        <v>116218</v>
      </c>
      <c r="AC145" s="451">
        <v>116219</v>
      </c>
      <c r="AD145" s="451">
        <v>0</v>
      </c>
      <c r="AE145" s="451">
        <v>0</v>
      </c>
      <c r="AF145" s="451">
        <v>232437</v>
      </c>
      <c r="AG145" s="451">
        <v>15548</v>
      </c>
      <c r="AH145" s="451">
        <v>15548</v>
      </c>
      <c r="AI145" s="451">
        <v>0</v>
      </c>
      <c r="AJ145" s="451">
        <v>0</v>
      </c>
      <c r="AK145" s="451">
        <v>31096</v>
      </c>
      <c r="AL145" s="451">
        <v>0</v>
      </c>
      <c r="AM145" s="451">
        <v>0</v>
      </c>
      <c r="AN145" s="451">
        <v>0</v>
      </c>
      <c r="AO145" s="451">
        <v>0</v>
      </c>
      <c r="AP145" s="451">
        <v>0</v>
      </c>
      <c r="AQ145" s="451">
        <v>20402</v>
      </c>
      <c r="AR145" s="451">
        <v>20402</v>
      </c>
      <c r="AS145" s="451">
        <v>0</v>
      </c>
      <c r="AT145" s="451">
        <v>0</v>
      </c>
      <c r="AU145" s="451">
        <v>40804</v>
      </c>
      <c r="AV145" s="451">
        <v>20402</v>
      </c>
      <c r="AW145" s="451">
        <v>20402</v>
      </c>
      <c r="AX145" s="451">
        <v>0</v>
      </c>
      <c r="AY145" s="451">
        <v>0</v>
      </c>
      <c r="AZ145" s="451">
        <v>40804</v>
      </c>
      <c r="BA145" s="451">
        <v>0</v>
      </c>
      <c r="BB145" s="451">
        <v>0</v>
      </c>
      <c r="BC145" s="451">
        <v>0</v>
      </c>
      <c r="BD145" s="451">
        <v>0</v>
      </c>
      <c r="BE145" s="451">
        <v>0</v>
      </c>
      <c r="BF145" s="451">
        <v>27500</v>
      </c>
      <c r="BG145" s="451">
        <v>27500</v>
      </c>
      <c r="BH145" s="451">
        <v>0</v>
      </c>
      <c r="BI145" s="451">
        <v>0</v>
      </c>
      <c r="BJ145" s="451">
        <v>55000</v>
      </c>
      <c r="BK145" s="451">
        <v>27500</v>
      </c>
      <c r="BL145" s="451">
        <v>27500</v>
      </c>
      <c r="BM145" s="451">
        <v>0</v>
      </c>
      <c r="BN145" s="451">
        <v>0</v>
      </c>
      <c r="BO145" s="451">
        <v>55000</v>
      </c>
      <c r="BP145" s="451">
        <v>0</v>
      </c>
      <c r="BQ145" s="451">
        <v>0</v>
      </c>
      <c r="BR145" s="451">
        <v>0</v>
      </c>
      <c r="BS145" s="451">
        <v>0</v>
      </c>
      <c r="BT145" s="451">
        <v>0</v>
      </c>
      <c r="BU145" s="451">
        <v>0</v>
      </c>
      <c r="BV145" s="451">
        <v>0</v>
      </c>
      <c r="BW145" s="451">
        <v>0</v>
      </c>
      <c r="BX145" s="451">
        <v>0</v>
      </c>
      <c r="BY145" s="451">
        <v>0</v>
      </c>
      <c r="BZ145" s="451">
        <v>0</v>
      </c>
      <c r="CA145" s="451">
        <v>0</v>
      </c>
      <c r="CB145" s="451">
        <v>0</v>
      </c>
      <c r="CC145" s="451">
        <v>0</v>
      </c>
      <c r="CD145" s="451">
        <v>0</v>
      </c>
      <c r="CE145" s="104"/>
      <c r="CF145" s="104"/>
      <c r="CG145" s="104"/>
    </row>
    <row r="146" spans="1:85" ht="12.75" x14ac:dyDescent="0.2">
      <c r="A146" s="446">
        <v>139</v>
      </c>
      <c r="B146" s="447" t="s">
        <v>161</v>
      </c>
      <c r="C146" s="448" t="s">
        <v>1104</v>
      </c>
      <c r="D146" s="449" t="s">
        <v>1099</v>
      </c>
      <c r="E146" s="450" t="s">
        <v>160</v>
      </c>
      <c r="F146" s="451">
        <v>88836201</v>
      </c>
      <c r="G146" s="451">
        <v>53301721</v>
      </c>
      <c r="H146" s="451">
        <v>35534480</v>
      </c>
      <c r="I146" s="451">
        <v>0</v>
      </c>
      <c r="J146" s="451">
        <v>177672402</v>
      </c>
      <c r="K146" s="451">
        <v>0</v>
      </c>
      <c r="L146" s="451">
        <v>0</v>
      </c>
      <c r="M146" s="451">
        <v>88836201</v>
      </c>
      <c r="N146" s="451">
        <v>177672402</v>
      </c>
      <c r="O146" s="451">
        <v>656470</v>
      </c>
      <c r="P146" s="451">
        <v>656470</v>
      </c>
      <c r="Q146" s="451">
        <v>0</v>
      </c>
      <c r="R146" s="451">
        <v>0</v>
      </c>
      <c r="S146" s="451">
        <v>0</v>
      </c>
      <c r="T146" s="451">
        <v>0</v>
      </c>
      <c r="U146" s="451">
        <v>60284</v>
      </c>
      <c r="V146" s="451">
        <v>0</v>
      </c>
      <c r="W146" s="451">
        <v>60284</v>
      </c>
      <c r="X146" s="451">
        <v>0</v>
      </c>
      <c r="Y146" s="451">
        <v>0</v>
      </c>
      <c r="Z146" s="451">
        <v>0</v>
      </c>
      <c r="AA146" s="451">
        <v>0</v>
      </c>
      <c r="AB146" s="451">
        <v>11511358.9</v>
      </c>
      <c r="AC146" s="451">
        <v>6906815</v>
      </c>
      <c r="AD146" s="451">
        <v>4604544</v>
      </c>
      <c r="AE146" s="451">
        <v>0</v>
      </c>
      <c r="AF146" s="451">
        <v>23022717.899999999</v>
      </c>
      <c r="AG146" s="451">
        <v>-8255612.0999999996</v>
      </c>
      <c r="AH146" s="451">
        <v>-4953368</v>
      </c>
      <c r="AI146" s="451">
        <v>-3302245</v>
      </c>
      <c r="AJ146" s="451">
        <v>0</v>
      </c>
      <c r="AK146" s="451">
        <v>-16511225</v>
      </c>
      <c r="AL146" s="451">
        <v>8634449.0299999993</v>
      </c>
      <c r="AM146" s="451">
        <v>5180669</v>
      </c>
      <c r="AN146" s="451">
        <v>3453779</v>
      </c>
      <c r="AO146" s="451">
        <v>0</v>
      </c>
      <c r="AP146" s="451">
        <v>17268897</v>
      </c>
      <c r="AQ146" s="451">
        <v>-92385.43</v>
      </c>
      <c r="AR146" s="451">
        <v>-55431</v>
      </c>
      <c r="AS146" s="451">
        <v>-36954</v>
      </c>
      <c r="AT146" s="451">
        <v>0</v>
      </c>
      <c r="AU146" s="451">
        <v>-184770.43</v>
      </c>
      <c r="AV146" s="451">
        <v>8542063.5999999996</v>
      </c>
      <c r="AW146" s="451">
        <v>5125238</v>
      </c>
      <c r="AX146" s="451">
        <v>3416825</v>
      </c>
      <c r="AY146" s="451">
        <v>0</v>
      </c>
      <c r="AZ146" s="451">
        <v>17084126.600000001</v>
      </c>
      <c r="BA146" s="451">
        <v>0</v>
      </c>
      <c r="BB146" s="451">
        <v>0</v>
      </c>
      <c r="BC146" s="451">
        <v>0</v>
      </c>
      <c r="BD146" s="451">
        <v>0</v>
      </c>
      <c r="BE146" s="451">
        <v>0</v>
      </c>
      <c r="BF146" s="451">
        <v>997283.8</v>
      </c>
      <c r="BG146" s="451">
        <v>598370</v>
      </c>
      <c r="BH146" s="451">
        <v>398913</v>
      </c>
      <c r="BI146" s="451">
        <v>0</v>
      </c>
      <c r="BJ146" s="451">
        <v>1994566.8</v>
      </c>
      <c r="BK146" s="451">
        <v>997283.8</v>
      </c>
      <c r="BL146" s="451">
        <v>598370</v>
      </c>
      <c r="BM146" s="451">
        <v>398913</v>
      </c>
      <c r="BN146" s="451">
        <v>0</v>
      </c>
      <c r="BO146" s="451">
        <v>1994566.8</v>
      </c>
      <c r="BP146" s="451">
        <v>0</v>
      </c>
      <c r="BQ146" s="451">
        <v>0</v>
      </c>
      <c r="BR146" s="451">
        <v>0</v>
      </c>
      <c r="BS146" s="451">
        <v>0</v>
      </c>
      <c r="BT146" s="451">
        <v>0</v>
      </c>
      <c r="BU146" s="451">
        <v>2769512.25</v>
      </c>
      <c r="BV146" s="451">
        <v>1661707</v>
      </c>
      <c r="BW146" s="451">
        <v>1107805</v>
      </c>
      <c r="BX146" s="451">
        <v>0</v>
      </c>
      <c r="BY146" s="451">
        <v>5539024.25</v>
      </c>
      <c r="BZ146" s="451">
        <v>2769512.25</v>
      </c>
      <c r="CA146" s="451">
        <v>1661707</v>
      </c>
      <c r="CB146" s="451">
        <v>1107805</v>
      </c>
      <c r="CC146" s="451">
        <v>0</v>
      </c>
      <c r="CD146" s="451">
        <v>5539024.25</v>
      </c>
      <c r="CE146" s="104"/>
      <c r="CF146" s="104"/>
      <c r="CG146" s="104"/>
    </row>
    <row r="147" spans="1:85" ht="12.75" x14ac:dyDescent="0.2">
      <c r="A147" s="446">
        <v>140</v>
      </c>
      <c r="B147" s="447" t="s">
        <v>163</v>
      </c>
      <c r="C147" s="448" t="s">
        <v>1104</v>
      </c>
      <c r="D147" s="449" t="s">
        <v>1099</v>
      </c>
      <c r="E147" s="450" t="s">
        <v>722</v>
      </c>
      <c r="F147" s="451">
        <v>130911141</v>
      </c>
      <c r="G147" s="451">
        <v>78546685</v>
      </c>
      <c r="H147" s="451">
        <v>52364456</v>
      </c>
      <c r="I147" s="451">
        <v>0</v>
      </c>
      <c r="J147" s="451">
        <v>261822282</v>
      </c>
      <c r="K147" s="451">
        <v>0</v>
      </c>
      <c r="L147" s="451">
        <v>0</v>
      </c>
      <c r="M147" s="451">
        <v>130911141</v>
      </c>
      <c r="N147" s="451">
        <v>261822282</v>
      </c>
      <c r="O147" s="451">
        <v>619513</v>
      </c>
      <c r="P147" s="451">
        <v>619513</v>
      </c>
      <c r="Q147" s="451">
        <v>0</v>
      </c>
      <c r="R147" s="451">
        <v>0</v>
      </c>
      <c r="S147" s="451">
        <v>0</v>
      </c>
      <c r="T147" s="451">
        <v>0</v>
      </c>
      <c r="U147" s="451">
        <v>0</v>
      </c>
      <c r="V147" s="451">
        <v>0</v>
      </c>
      <c r="W147" s="451">
        <v>0</v>
      </c>
      <c r="X147" s="451">
        <v>0</v>
      </c>
      <c r="Y147" s="451">
        <v>0</v>
      </c>
      <c r="Z147" s="451">
        <v>0</v>
      </c>
      <c r="AA147" s="451">
        <v>0</v>
      </c>
      <c r="AB147" s="451">
        <v>4605316</v>
      </c>
      <c r="AC147" s="451">
        <v>2763190</v>
      </c>
      <c r="AD147" s="451">
        <v>1842127</v>
      </c>
      <c r="AE147" s="451">
        <v>0</v>
      </c>
      <c r="AF147" s="451">
        <v>9210633</v>
      </c>
      <c r="AG147" s="451">
        <v>3872298</v>
      </c>
      <c r="AH147" s="451">
        <v>2323379</v>
      </c>
      <c r="AI147" s="451">
        <v>1548919</v>
      </c>
      <c r="AJ147" s="451">
        <v>0</v>
      </c>
      <c r="AK147" s="451">
        <v>7744596</v>
      </c>
      <c r="AL147" s="451">
        <v>0</v>
      </c>
      <c r="AM147" s="451">
        <v>0</v>
      </c>
      <c r="AN147" s="451">
        <v>0</v>
      </c>
      <c r="AO147" s="451">
        <v>0</v>
      </c>
      <c r="AP147" s="451">
        <v>0</v>
      </c>
      <c r="AQ147" s="451">
        <v>474406</v>
      </c>
      <c r="AR147" s="451">
        <v>284644</v>
      </c>
      <c r="AS147" s="451">
        <v>189762</v>
      </c>
      <c r="AT147" s="451">
        <v>0</v>
      </c>
      <c r="AU147" s="451">
        <v>948812</v>
      </c>
      <c r="AV147" s="451">
        <v>474406</v>
      </c>
      <c r="AW147" s="451">
        <v>284644</v>
      </c>
      <c r="AX147" s="451">
        <v>189762</v>
      </c>
      <c r="AY147" s="451">
        <v>0</v>
      </c>
      <c r="AZ147" s="451">
        <v>948812</v>
      </c>
      <c r="BA147" s="451">
        <v>0</v>
      </c>
      <c r="BB147" s="451">
        <v>0</v>
      </c>
      <c r="BC147" s="451">
        <v>0</v>
      </c>
      <c r="BD147" s="451">
        <v>0</v>
      </c>
      <c r="BE147" s="451">
        <v>0</v>
      </c>
      <c r="BF147" s="451">
        <v>1235971</v>
      </c>
      <c r="BG147" s="451">
        <v>741582</v>
      </c>
      <c r="BH147" s="451">
        <v>494388</v>
      </c>
      <c r="BI147" s="451">
        <v>0</v>
      </c>
      <c r="BJ147" s="451">
        <v>2471941</v>
      </c>
      <c r="BK147" s="451">
        <v>1235971</v>
      </c>
      <c r="BL147" s="451">
        <v>741582</v>
      </c>
      <c r="BM147" s="451">
        <v>494388</v>
      </c>
      <c r="BN147" s="451">
        <v>0</v>
      </c>
      <c r="BO147" s="451">
        <v>2471941</v>
      </c>
      <c r="BP147" s="451">
        <v>0</v>
      </c>
      <c r="BQ147" s="451">
        <v>0</v>
      </c>
      <c r="BR147" s="451">
        <v>0</v>
      </c>
      <c r="BS147" s="451">
        <v>0</v>
      </c>
      <c r="BT147" s="451">
        <v>0</v>
      </c>
      <c r="BU147" s="451">
        <v>4943882</v>
      </c>
      <c r="BV147" s="451">
        <v>2966330</v>
      </c>
      <c r="BW147" s="451">
        <v>1977553</v>
      </c>
      <c r="BX147" s="451">
        <v>0</v>
      </c>
      <c r="BY147" s="451">
        <v>9887765</v>
      </c>
      <c r="BZ147" s="451">
        <v>4943882</v>
      </c>
      <c r="CA147" s="451">
        <v>2966330</v>
      </c>
      <c r="CB147" s="451">
        <v>1977553</v>
      </c>
      <c r="CC147" s="451">
        <v>0</v>
      </c>
      <c r="CD147" s="451">
        <v>9887765</v>
      </c>
      <c r="CE147" s="104"/>
      <c r="CF147" s="104"/>
      <c r="CG147" s="104"/>
    </row>
    <row r="148" spans="1:85" ht="12.75" x14ac:dyDescent="0.2">
      <c r="A148" s="446">
        <v>141</v>
      </c>
      <c r="B148" s="447" t="s">
        <v>165</v>
      </c>
      <c r="C148" s="448" t="s">
        <v>1093</v>
      </c>
      <c r="D148" s="449" t="s">
        <v>1096</v>
      </c>
      <c r="E148" s="450" t="s">
        <v>164</v>
      </c>
      <c r="F148" s="451">
        <v>14698943</v>
      </c>
      <c r="G148" s="451">
        <v>11759155</v>
      </c>
      <c r="H148" s="451">
        <v>2939789</v>
      </c>
      <c r="I148" s="451">
        <v>0</v>
      </c>
      <c r="J148" s="451">
        <v>29397887</v>
      </c>
      <c r="K148" s="451">
        <v>0</v>
      </c>
      <c r="L148" s="451">
        <v>0</v>
      </c>
      <c r="M148" s="451">
        <v>14698943</v>
      </c>
      <c r="N148" s="451">
        <v>29397887</v>
      </c>
      <c r="O148" s="451">
        <v>110894</v>
      </c>
      <c r="P148" s="451">
        <v>110894</v>
      </c>
      <c r="Q148" s="451">
        <v>0</v>
      </c>
      <c r="R148" s="451">
        <v>0</v>
      </c>
      <c r="S148" s="451">
        <v>0</v>
      </c>
      <c r="T148" s="451">
        <v>0</v>
      </c>
      <c r="U148" s="451">
        <v>0</v>
      </c>
      <c r="V148" s="451">
        <v>0</v>
      </c>
      <c r="W148" s="451">
        <v>0</v>
      </c>
      <c r="X148" s="451">
        <v>0</v>
      </c>
      <c r="Y148" s="451">
        <v>0</v>
      </c>
      <c r="Z148" s="451">
        <v>0</v>
      </c>
      <c r="AA148" s="451">
        <v>0</v>
      </c>
      <c r="AB148" s="451">
        <v>278727</v>
      </c>
      <c r="AC148" s="451">
        <v>222982</v>
      </c>
      <c r="AD148" s="451">
        <v>55746</v>
      </c>
      <c r="AE148" s="451">
        <v>0</v>
      </c>
      <c r="AF148" s="451">
        <v>557455</v>
      </c>
      <c r="AG148" s="451">
        <v>190313</v>
      </c>
      <c r="AH148" s="451">
        <v>152250</v>
      </c>
      <c r="AI148" s="451">
        <v>38063</v>
      </c>
      <c r="AJ148" s="451">
        <v>0</v>
      </c>
      <c r="AK148" s="451">
        <v>380626</v>
      </c>
      <c r="AL148" s="451">
        <v>110552</v>
      </c>
      <c r="AM148" s="451">
        <v>88441</v>
      </c>
      <c r="AN148" s="451">
        <v>22110</v>
      </c>
      <c r="AO148" s="451">
        <v>0</v>
      </c>
      <c r="AP148" s="451">
        <v>221103</v>
      </c>
      <c r="AQ148" s="451">
        <v>-3804</v>
      </c>
      <c r="AR148" s="451">
        <v>-3043</v>
      </c>
      <c r="AS148" s="451">
        <v>-761</v>
      </c>
      <c r="AT148" s="451">
        <v>0</v>
      </c>
      <c r="AU148" s="451">
        <v>-7608</v>
      </c>
      <c r="AV148" s="451">
        <v>106748</v>
      </c>
      <c r="AW148" s="451">
        <v>85398</v>
      </c>
      <c r="AX148" s="451">
        <v>21349</v>
      </c>
      <c r="AY148" s="451">
        <v>0</v>
      </c>
      <c r="AZ148" s="451">
        <v>213495</v>
      </c>
      <c r="BA148" s="451">
        <v>0</v>
      </c>
      <c r="BB148" s="451">
        <v>0</v>
      </c>
      <c r="BC148" s="451">
        <v>0</v>
      </c>
      <c r="BD148" s="451">
        <v>0</v>
      </c>
      <c r="BE148" s="451">
        <v>0</v>
      </c>
      <c r="BF148" s="451">
        <v>32270</v>
      </c>
      <c r="BG148" s="451">
        <v>25816</v>
      </c>
      <c r="BH148" s="451">
        <v>6454</v>
      </c>
      <c r="BI148" s="451">
        <v>0</v>
      </c>
      <c r="BJ148" s="451">
        <v>64540</v>
      </c>
      <c r="BK148" s="451">
        <v>32270</v>
      </c>
      <c r="BL148" s="451">
        <v>25816</v>
      </c>
      <c r="BM148" s="451">
        <v>6454</v>
      </c>
      <c r="BN148" s="451">
        <v>0</v>
      </c>
      <c r="BO148" s="451">
        <v>64540</v>
      </c>
      <c r="BP148" s="451">
        <v>0</v>
      </c>
      <c r="BQ148" s="451">
        <v>0</v>
      </c>
      <c r="BR148" s="451">
        <v>0</v>
      </c>
      <c r="BS148" s="451">
        <v>0</v>
      </c>
      <c r="BT148" s="451">
        <v>0</v>
      </c>
      <c r="BU148" s="451">
        <v>541941</v>
      </c>
      <c r="BV148" s="451">
        <v>433552</v>
      </c>
      <c r="BW148" s="451">
        <v>108388</v>
      </c>
      <c r="BX148" s="451">
        <v>0</v>
      </c>
      <c r="BY148" s="451">
        <v>1083881</v>
      </c>
      <c r="BZ148" s="451">
        <v>541941</v>
      </c>
      <c r="CA148" s="451">
        <v>433552</v>
      </c>
      <c r="CB148" s="451">
        <v>108388</v>
      </c>
      <c r="CC148" s="451">
        <v>0</v>
      </c>
      <c r="CD148" s="451">
        <v>1083881</v>
      </c>
      <c r="CE148" s="104"/>
      <c r="CF148" s="104"/>
      <c r="CG148" s="104"/>
    </row>
    <row r="149" spans="1:85" ht="12.75" x14ac:dyDescent="0.2">
      <c r="A149" s="446">
        <v>142</v>
      </c>
      <c r="B149" s="447" t="s">
        <v>167</v>
      </c>
      <c r="C149" s="448" t="s">
        <v>1093</v>
      </c>
      <c r="D149" s="449" t="s">
        <v>1097</v>
      </c>
      <c r="E149" s="450" t="s">
        <v>1115</v>
      </c>
      <c r="F149" s="451">
        <v>17240193</v>
      </c>
      <c r="G149" s="451">
        <v>13792155</v>
      </c>
      <c r="H149" s="451">
        <v>3448039</v>
      </c>
      <c r="I149" s="451">
        <v>0</v>
      </c>
      <c r="J149" s="451">
        <v>34480387</v>
      </c>
      <c r="K149" s="451">
        <v>0</v>
      </c>
      <c r="L149" s="451">
        <v>0</v>
      </c>
      <c r="M149" s="451">
        <v>17240193</v>
      </c>
      <c r="N149" s="451">
        <v>34480387</v>
      </c>
      <c r="O149" s="451">
        <v>217154</v>
      </c>
      <c r="P149" s="451">
        <v>217154</v>
      </c>
      <c r="Q149" s="451">
        <v>0</v>
      </c>
      <c r="R149" s="451">
        <v>0</v>
      </c>
      <c r="S149" s="451">
        <v>0</v>
      </c>
      <c r="T149" s="451">
        <v>0</v>
      </c>
      <c r="U149" s="451">
        <v>329248</v>
      </c>
      <c r="V149" s="451">
        <v>0</v>
      </c>
      <c r="W149" s="451">
        <v>329248</v>
      </c>
      <c r="X149" s="451">
        <v>0</v>
      </c>
      <c r="Y149" s="451">
        <v>0</v>
      </c>
      <c r="Z149" s="451">
        <v>0</v>
      </c>
      <c r="AA149" s="451">
        <v>0</v>
      </c>
      <c r="AB149" s="451">
        <v>588077</v>
      </c>
      <c r="AC149" s="451">
        <v>470462</v>
      </c>
      <c r="AD149" s="451">
        <v>117616</v>
      </c>
      <c r="AE149" s="451">
        <v>0</v>
      </c>
      <c r="AF149" s="451">
        <v>1176155</v>
      </c>
      <c r="AG149" s="451">
        <v>182478</v>
      </c>
      <c r="AH149" s="451">
        <v>145982</v>
      </c>
      <c r="AI149" s="451">
        <v>36496</v>
      </c>
      <c r="AJ149" s="451">
        <v>0</v>
      </c>
      <c r="AK149" s="451">
        <v>364956</v>
      </c>
      <c r="AL149" s="451">
        <v>293398</v>
      </c>
      <c r="AM149" s="451">
        <v>234719</v>
      </c>
      <c r="AN149" s="451">
        <v>58680</v>
      </c>
      <c r="AO149" s="451">
        <v>0</v>
      </c>
      <c r="AP149" s="451">
        <v>586797</v>
      </c>
      <c r="AQ149" s="451">
        <v>-66274</v>
      </c>
      <c r="AR149" s="451">
        <v>-53020</v>
      </c>
      <c r="AS149" s="451">
        <v>-13255</v>
      </c>
      <c r="AT149" s="451">
        <v>0</v>
      </c>
      <c r="AU149" s="451">
        <v>-132549</v>
      </c>
      <c r="AV149" s="451">
        <v>227124</v>
      </c>
      <c r="AW149" s="451">
        <v>181699</v>
      </c>
      <c r="AX149" s="451">
        <v>45425</v>
      </c>
      <c r="AY149" s="451">
        <v>0</v>
      </c>
      <c r="AZ149" s="451">
        <v>454248</v>
      </c>
      <c r="BA149" s="451">
        <v>0</v>
      </c>
      <c r="BB149" s="451">
        <v>0</v>
      </c>
      <c r="BC149" s="451">
        <v>0</v>
      </c>
      <c r="BD149" s="451">
        <v>0</v>
      </c>
      <c r="BE149" s="451">
        <v>0</v>
      </c>
      <c r="BF149" s="451">
        <v>1434143.37</v>
      </c>
      <c r="BG149" s="451">
        <v>1147315</v>
      </c>
      <c r="BH149" s="451">
        <v>286829</v>
      </c>
      <c r="BI149" s="451">
        <v>0</v>
      </c>
      <c r="BJ149" s="451">
        <v>2868287.37</v>
      </c>
      <c r="BK149" s="451">
        <v>1434143.37</v>
      </c>
      <c r="BL149" s="451">
        <v>1147315</v>
      </c>
      <c r="BM149" s="451">
        <v>286829</v>
      </c>
      <c r="BN149" s="451">
        <v>0</v>
      </c>
      <c r="BO149" s="451">
        <v>2868287.37</v>
      </c>
      <c r="BP149" s="451">
        <v>0</v>
      </c>
      <c r="BQ149" s="451">
        <v>0</v>
      </c>
      <c r="BR149" s="451">
        <v>0</v>
      </c>
      <c r="BS149" s="451">
        <v>0</v>
      </c>
      <c r="BT149" s="451">
        <v>0</v>
      </c>
      <c r="BU149" s="451">
        <v>2868134.29</v>
      </c>
      <c r="BV149" s="451">
        <v>2294507</v>
      </c>
      <c r="BW149" s="451">
        <v>573627</v>
      </c>
      <c r="BX149" s="451">
        <v>0</v>
      </c>
      <c r="BY149" s="451">
        <v>5736268.29</v>
      </c>
      <c r="BZ149" s="451">
        <v>2868134.29</v>
      </c>
      <c r="CA149" s="451">
        <v>2294507</v>
      </c>
      <c r="CB149" s="451">
        <v>573627</v>
      </c>
      <c r="CC149" s="451">
        <v>0</v>
      </c>
      <c r="CD149" s="451">
        <v>5736268.29</v>
      </c>
      <c r="CE149" s="104"/>
      <c r="CF149" s="104"/>
      <c r="CG149" s="104"/>
    </row>
    <row r="150" spans="1:85" ht="12.75" x14ac:dyDescent="0.2">
      <c r="A150" s="446">
        <v>143</v>
      </c>
      <c r="B150" s="447" t="s">
        <v>169</v>
      </c>
      <c r="C150" s="448" t="s">
        <v>794</v>
      </c>
      <c r="D150" s="449" t="s">
        <v>1101</v>
      </c>
      <c r="E150" s="450" t="s">
        <v>1116</v>
      </c>
      <c r="F150" s="451">
        <v>40748910</v>
      </c>
      <c r="G150" s="451">
        <v>39933932</v>
      </c>
      <c r="H150" s="451">
        <v>0</v>
      </c>
      <c r="I150" s="451">
        <v>814978</v>
      </c>
      <c r="J150" s="451">
        <v>81497820</v>
      </c>
      <c r="K150" s="451">
        <v>0</v>
      </c>
      <c r="L150" s="451">
        <v>0</v>
      </c>
      <c r="M150" s="451">
        <v>40748910</v>
      </c>
      <c r="N150" s="451">
        <v>81497820</v>
      </c>
      <c r="O150" s="451">
        <v>391992</v>
      </c>
      <c r="P150" s="451">
        <v>391992</v>
      </c>
      <c r="Q150" s="451">
        <v>0</v>
      </c>
      <c r="R150" s="451">
        <v>0</v>
      </c>
      <c r="S150" s="451">
        <v>0</v>
      </c>
      <c r="T150" s="451">
        <v>0</v>
      </c>
      <c r="U150" s="451">
        <v>0</v>
      </c>
      <c r="V150" s="451">
        <v>0</v>
      </c>
      <c r="W150" s="451">
        <v>0</v>
      </c>
      <c r="X150" s="451">
        <v>0</v>
      </c>
      <c r="Y150" s="451">
        <v>0</v>
      </c>
      <c r="Z150" s="451">
        <v>0</v>
      </c>
      <c r="AA150" s="451">
        <v>0</v>
      </c>
      <c r="AB150" s="451">
        <v>3243788</v>
      </c>
      <c r="AC150" s="451">
        <v>3178912</v>
      </c>
      <c r="AD150" s="451">
        <v>0</v>
      </c>
      <c r="AE150" s="451">
        <v>64876</v>
      </c>
      <c r="AF150" s="451">
        <v>6487576</v>
      </c>
      <c r="AG150" s="451">
        <v>339208</v>
      </c>
      <c r="AH150" s="451">
        <v>332423</v>
      </c>
      <c r="AI150" s="451">
        <v>0</v>
      </c>
      <c r="AJ150" s="451">
        <v>6784</v>
      </c>
      <c r="AK150" s="451">
        <v>678415</v>
      </c>
      <c r="AL150" s="451">
        <v>615168</v>
      </c>
      <c r="AM150" s="451">
        <v>602864</v>
      </c>
      <c r="AN150" s="451">
        <v>0</v>
      </c>
      <c r="AO150" s="451">
        <v>12303</v>
      </c>
      <c r="AP150" s="451">
        <v>1230335</v>
      </c>
      <c r="AQ150" s="451">
        <v>48360</v>
      </c>
      <c r="AR150" s="451">
        <v>47393</v>
      </c>
      <c r="AS150" s="451">
        <v>0</v>
      </c>
      <c r="AT150" s="451">
        <v>967</v>
      </c>
      <c r="AU150" s="451">
        <v>96720</v>
      </c>
      <c r="AV150" s="451">
        <v>663528</v>
      </c>
      <c r="AW150" s="451">
        <v>650257</v>
      </c>
      <c r="AX150" s="451">
        <v>0</v>
      </c>
      <c r="AY150" s="451">
        <v>13270</v>
      </c>
      <c r="AZ150" s="451">
        <v>1327055</v>
      </c>
      <c r="BA150" s="451">
        <v>0</v>
      </c>
      <c r="BB150" s="451">
        <v>0</v>
      </c>
      <c r="BC150" s="451">
        <v>0</v>
      </c>
      <c r="BD150" s="451">
        <v>0</v>
      </c>
      <c r="BE150" s="451">
        <v>0</v>
      </c>
      <c r="BF150" s="451">
        <v>491000</v>
      </c>
      <c r="BG150" s="451">
        <v>481180</v>
      </c>
      <c r="BH150" s="451">
        <v>0</v>
      </c>
      <c r="BI150" s="451">
        <v>9820</v>
      </c>
      <c r="BJ150" s="451">
        <v>982000</v>
      </c>
      <c r="BK150" s="451">
        <v>491000</v>
      </c>
      <c r="BL150" s="451">
        <v>481180</v>
      </c>
      <c r="BM150" s="451">
        <v>0</v>
      </c>
      <c r="BN150" s="451">
        <v>9820</v>
      </c>
      <c r="BO150" s="451">
        <v>982000</v>
      </c>
      <c r="BP150" s="451">
        <v>0</v>
      </c>
      <c r="BQ150" s="451">
        <v>0</v>
      </c>
      <c r="BR150" s="451">
        <v>0</v>
      </c>
      <c r="BS150" s="451">
        <v>0</v>
      </c>
      <c r="BT150" s="451">
        <v>0</v>
      </c>
      <c r="BU150" s="451">
        <v>2009000</v>
      </c>
      <c r="BV150" s="451">
        <v>1968820</v>
      </c>
      <c r="BW150" s="451">
        <v>0</v>
      </c>
      <c r="BX150" s="451">
        <v>40180</v>
      </c>
      <c r="BY150" s="451">
        <v>4018000</v>
      </c>
      <c r="BZ150" s="451">
        <v>2009000</v>
      </c>
      <c r="CA150" s="451">
        <v>1968820</v>
      </c>
      <c r="CB150" s="451">
        <v>0</v>
      </c>
      <c r="CC150" s="451">
        <v>40180</v>
      </c>
      <c r="CD150" s="451">
        <v>4018000</v>
      </c>
      <c r="CE150" s="104"/>
      <c r="CF150" s="104"/>
      <c r="CG150" s="104"/>
    </row>
    <row r="151" spans="1:85" ht="12.75" x14ac:dyDescent="0.2">
      <c r="A151" s="446">
        <v>144</v>
      </c>
      <c r="B151" s="447" t="s">
        <v>171</v>
      </c>
      <c r="C151" s="448" t="s">
        <v>1098</v>
      </c>
      <c r="D151" s="449" t="s">
        <v>1099</v>
      </c>
      <c r="E151" s="450" t="s">
        <v>170</v>
      </c>
      <c r="F151" s="451">
        <v>38048957</v>
      </c>
      <c r="G151" s="451">
        <v>22829374</v>
      </c>
      <c r="H151" s="451">
        <v>15219583</v>
      </c>
      <c r="I151" s="451">
        <v>0</v>
      </c>
      <c r="J151" s="451">
        <v>76097914</v>
      </c>
      <c r="K151" s="451">
        <v>0</v>
      </c>
      <c r="L151" s="451">
        <v>0</v>
      </c>
      <c r="M151" s="451">
        <v>38048957</v>
      </c>
      <c r="N151" s="451">
        <v>76097914</v>
      </c>
      <c r="O151" s="451">
        <v>257892</v>
      </c>
      <c r="P151" s="451">
        <v>257892</v>
      </c>
      <c r="Q151" s="451">
        <v>0</v>
      </c>
      <c r="R151" s="451">
        <v>0</v>
      </c>
      <c r="S151" s="451">
        <v>0</v>
      </c>
      <c r="T151" s="451">
        <v>0</v>
      </c>
      <c r="U151" s="451">
        <v>0</v>
      </c>
      <c r="V151" s="451">
        <v>0</v>
      </c>
      <c r="W151" s="451">
        <v>0</v>
      </c>
      <c r="X151" s="451">
        <v>0</v>
      </c>
      <c r="Y151" s="451">
        <v>0</v>
      </c>
      <c r="Z151" s="451">
        <v>0</v>
      </c>
      <c r="AA151" s="451">
        <v>0</v>
      </c>
      <c r="AB151" s="451">
        <v>1974601</v>
      </c>
      <c r="AC151" s="451">
        <v>1184761</v>
      </c>
      <c r="AD151" s="451">
        <v>789841</v>
      </c>
      <c r="AE151" s="451">
        <v>0</v>
      </c>
      <c r="AF151" s="451">
        <v>3949203</v>
      </c>
      <c r="AG151" s="451">
        <v>396500</v>
      </c>
      <c r="AH151" s="451">
        <v>237900</v>
      </c>
      <c r="AI151" s="451">
        <v>158600</v>
      </c>
      <c r="AJ151" s="451">
        <v>0</v>
      </c>
      <c r="AK151" s="451">
        <v>793000</v>
      </c>
      <c r="AL151" s="451">
        <v>0</v>
      </c>
      <c r="AM151" s="451">
        <v>0</v>
      </c>
      <c r="AN151" s="451">
        <v>0</v>
      </c>
      <c r="AO151" s="451">
        <v>0</v>
      </c>
      <c r="AP151" s="451">
        <v>0</v>
      </c>
      <c r="AQ151" s="451">
        <v>549861</v>
      </c>
      <c r="AR151" s="451">
        <v>329917</v>
      </c>
      <c r="AS151" s="451">
        <v>219945</v>
      </c>
      <c r="AT151" s="451">
        <v>0</v>
      </c>
      <c r="AU151" s="451">
        <v>1099723</v>
      </c>
      <c r="AV151" s="451">
        <v>549861</v>
      </c>
      <c r="AW151" s="451">
        <v>329917</v>
      </c>
      <c r="AX151" s="451">
        <v>219945</v>
      </c>
      <c r="AY151" s="451">
        <v>0</v>
      </c>
      <c r="AZ151" s="451">
        <v>1099723</v>
      </c>
      <c r="BA151" s="451">
        <v>0</v>
      </c>
      <c r="BB151" s="451">
        <v>0</v>
      </c>
      <c r="BC151" s="451">
        <v>0</v>
      </c>
      <c r="BD151" s="451">
        <v>0</v>
      </c>
      <c r="BE151" s="451">
        <v>0</v>
      </c>
      <c r="BF151" s="451">
        <v>428821</v>
      </c>
      <c r="BG151" s="451">
        <v>257293</v>
      </c>
      <c r="BH151" s="451">
        <v>171529</v>
      </c>
      <c r="BI151" s="451">
        <v>0</v>
      </c>
      <c r="BJ151" s="451">
        <v>857643</v>
      </c>
      <c r="BK151" s="451">
        <v>428821</v>
      </c>
      <c r="BL151" s="451">
        <v>257293</v>
      </c>
      <c r="BM151" s="451">
        <v>171529</v>
      </c>
      <c r="BN151" s="451">
        <v>0</v>
      </c>
      <c r="BO151" s="451">
        <v>857643</v>
      </c>
      <c r="BP151" s="451">
        <v>0</v>
      </c>
      <c r="BQ151" s="451">
        <v>0</v>
      </c>
      <c r="BR151" s="451">
        <v>0</v>
      </c>
      <c r="BS151" s="451">
        <v>0</v>
      </c>
      <c r="BT151" s="451">
        <v>0</v>
      </c>
      <c r="BU151" s="451">
        <v>1457779</v>
      </c>
      <c r="BV151" s="451">
        <v>874668</v>
      </c>
      <c r="BW151" s="451">
        <v>583112</v>
      </c>
      <c r="BX151" s="451">
        <v>0</v>
      </c>
      <c r="BY151" s="451">
        <v>2915559</v>
      </c>
      <c r="BZ151" s="451">
        <v>1457779</v>
      </c>
      <c r="CA151" s="451">
        <v>874668</v>
      </c>
      <c r="CB151" s="451">
        <v>583112</v>
      </c>
      <c r="CC151" s="451">
        <v>0</v>
      </c>
      <c r="CD151" s="451">
        <v>2915559</v>
      </c>
      <c r="CE151" s="104"/>
      <c r="CF151" s="104"/>
      <c r="CG151" s="104"/>
    </row>
    <row r="152" spans="1:85" ht="12.75" x14ac:dyDescent="0.2">
      <c r="A152" s="446">
        <v>145</v>
      </c>
      <c r="B152" s="447" t="s">
        <v>173</v>
      </c>
      <c r="C152" s="448" t="s">
        <v>1100</v>
      </c>
      <c r="D152" s="449" t="s">
        <v>1101</v>
      </c>
      <c r="E152" s="450" t="s">
        <v>172</v>
      </c>
      <c r="F152" s="451">
        <v>47180390</v>
      </c>
      <c r="G152" s="451">
        <v>46236783</v>
      </c>
      <c r="H152" s="451">
        <v>0</v>
      </c>
      <c r="I152" s="451">
        <v>943608</v>
      </c>
      <c r="J152" s="451">
        <v>94360781</v>
      </c>
      <c r="K152" s="451">
        <v>0</v>
      </c>
      <c r="L152" s="451">
        <v>0</v>
      </c>
      <c r="M152" s="451">
        <v>47180390</v>
      </c>
      <c r="N152" s="451">
        <v>94360781</v>
      </c>
      <c r="O152" s="451">
        <v>614074</v>
      </c>
      <c r="P152" s="451">
        <v>614074</v>
      </c>
      <c r="Q152" s="451">
        <v>0</v>
      </c>
      <c r="R152" s="451">
        <v>0</v>
      </c>
      <c r="S152" s="451">
        <v>0</v>
      </c>
      <c r="T152" s="451">
        <v>0</v>
      </c>
      <c r="U152" s="451">
        <v>0</v>
      </c>
      <c r="V152" s="451">
        <v>0</v>
      </c>
      <c r="W152" s="451">
        <v>0</v>
      </c>
      <c r="X152" s="451">
        <v>0</v>
      </c>
      <c r="Y152" s="451">
        <v>0</v>
      </c>
      <c r="Z152" s="451">
        <v>0</v>
      </c>
      <c r="AA152" s="451">
        <v>0</v>
      </c>
      <c r="AB152" s="451">
        <v>2964060</v>
      </c>
      <c r="AC152" s="451">
        <v>2904778</v>
      </c>
      <c r="AD152" s="451">
        <v>0</v>
      </c>
      <c r="AE152" s="451">
        <v>59281</v>
      </c>
      <c r="AF152" s="451">
        <v>5928119</v>
      </c>
      <c r="AG152" s="451">
        <v>1105499</v>
      </c>
      <c r="AH152" s="451">
        <v>1083389</v>
      </c>
      <c r="AI152" s="451">
        <v>0</v>
      </c>
      <c r="AJ152" s="451">
        <v>22110</v>
      </c>
      <c r="AK152" s="451">
        <v>2210998</v>
      </c>
      <c r="AL152" s="451">
        <v>1284737</v>
      </c>
      <c r="AM152" s="451">
        <v>1259043</v>
      </c>
      <c r="AN152" s="451">
        <v>0</v>
      </c>
      <c r="AO152" s="451">
        <v>25695</v>
      </c>
      <c r="AP152" s="451">
        <v>2569475</v>
      </c>
      <c r="AQ152" s="451">
        <v>439371</v>
      </c>
      <c r="AR152" s="451">
        <v>430583</v>
      </c>
      <c r="AS152" s="451">
        <v>0</v>
      </c>
      <c r="AT152" s="451">
        <v>8787</v>
      </c>
      <c r="AU152" s="451">
        <v>878741</v>
      </c>
      <c r="AV152" s="451">
        <v>1724108</v>
      </c>
      <c r="AW152" s="451">
        <v>1689626</v>
      </c>
      <c r="AX152" s="451">
        <v>0</v>
      </c>
      <c r="AY152" s="451">
        <v>34482</v>
      </c>
      <c r="AZ152" s="451">
        <v>3448216</v>
      </c>
      <c r="BA152" s="451">
        <v>0</v>
      </c>
      <c r="BB152" s="451">
        <v>0</v>
      </c>
      <c r="BC152" s="451">
        <v>0</v>
      </c>
      <c r="BD152" s="451">
        <v>0</v>
      </c>
      <c r="BE152" s="451">
        <v>0</v>
      </c>
      <c r="BF152" s="451">
        <v>924962</v>
      </c>
      <c r="BG152" s="451">
        <v>906463</v>
      </c>
      <c r="BH152" s="451">
        <v>0</v>
      </c>
      <c r="BI152" s="451">
        <v>18499</v>
      </c>
      <c r="BJ152" s="451">
        <v>1849924</v>
      </c>
      <c r="BK152" s="451">
        <v>924962</v>
      </c>
      <c r="BL152" s="451">
        <v>906463</v>
      </c>
      <c r="BM152" s="451">
        <v>0</v>
      </c>
      <c r="BN152" s="451">
        <v>18499</v>
      </c>
      <c r="BO152" s="451">
        <v>1849924</v>
      </c>
      <c r="BP152" s="451">
        <v>0</v>
      </c>
      <c r="BQ152" s="451">
        <v>0</v>
      </c>
      <c r="BR152" s="451">
        <v>0</v>
      </c>
      <c r="BS152" s="451">
        <v>0</v>
      </c>
      <c r="BT152" s="451">
        <v>0</v>
      </c>
      <c r="BU152" s="451">
        <v>2737105</v>
      </c>
      <c r="BV152" s="451">
        <v>2682362</v>
      </c>
      <c r="BW152" s="451">
        <v>0</v>
      </c>
      <c r="BX152" s="451">
        <v>54742</v>
      </c>
      <c r="BY152" s="451">
        <v>5474209</v>
      </c>
      <c r="BZ152" s="451">
        <v>2737105</v>
      </c>
      <c r="CA152" s="451">
        <v>2682362</v>
      </c>
      <c r="CB152" s="451">
        <v>0</v>
      </c>
      <c r="CC152" s="451">
        <v>54742</v>
      </c>
      <c r="CD152" s="451">
        <v>5474209</v>
      </c>
      <c r="CE152" s="104"/>
      <c r="CF152" s="104"/>
      <c r="CG152" s="104"/>
    </row>
    <row r="153" spans="1:85" ht="12.75" x14ac:dyDescent="0.2">
      <c r="A153" s="446">
        <v>146</v>
      </c>
      <c r="B153" s="447" t="s">
        <v>175</v>
      </c>
      <c r="C153" s="448" t="s">
        <v>1100</v>
      </c>
      <c r="D153" s="449" t="s">
        <v>1095</v>
      </c>
      <c r="E153" s="450" t="s">
        <v>174</v>
      </c>
      <c r="F153" s="451">
        <v>12858744</v>
      </c>
      <c r="G153" s="451">
        <v>12601569</v>
      </c>
      <c r="H153" s="451">
        <v>0</v>
      </c>
      <c r="I153" s="451">
        <v>257175</v>
      </c>
      <c r="J153" s="451">
        <v>25717488</v>
      </c>
      <c r="K153" s="451">
        <v>0</v>
      </c>
      <c r="L153" s="451">
        <v>0</v>
      </c>
      <c r="M153" s="451">
        <v>12858744</v>
      </c>
      <c r="N153" s="451">
        <v>25717488</v>
      </c>
      <c r="O153" s="451">
        <v>135691</v>
      </c>
      <c r="P153" s="451">
        <v>135691</v>
      </c>
      <c r="Q153" s="451">
        <v>0</v>
      </c>
      <c r="R153" s="451">
        <v>0</v>
      </c>
      <c r="S153" s="451">
        <v>0</v>
      </c>
      <c r="T153" s="451">
        <v>0</v>
      </c>
      <c r="U153" s="451">
        <v>0</v>
      </c>
      <c r="V153" s="451">
        <v>0</v>
      </c>
      <c r="W153" s="451">
        <v>0</v>
      </c>
      <c r="X153" s="451">
        <v>0</v>
      </c>
      <c r="Y153" s="451">
        <v>0</v>
      </c>
      <c r="Z153" s="451">
        <v>0</v>
      </c>
      <c r="AA153" s="451">
        <v>0</v>
      </c>
      <c r="AB153" s="451">
        <v>1745075</v>
      </c>
      <c r="AC153" s="451">
        <v>1710174</v>
      </c>
      <c r="AD153" s="451">
        <v>0</v>
      </c>
      <c r="AE153" s="451">
        <v>34902</v>
      </c>
      <c r="AF153" s="451">
        <v>3490151</v>
      </c>
      <c r="AG153" s="451">
        <v>932180</v>
      </c>
      <c r="AH153" s="451">
        <v>913537</v>
      </c>
      <c r="AI153" s="451">
        <v>0</v>
      </c>
      <c r="AJ153" s="451">
        <v>18644</v>
      </c>
      <c r="AK153" s="451">
        <v>1864361</v>
      </c>
      <c r="AL153" s="451">
        <v>0</v>
      </c>
      <c r="AM153" s="451">
        <v>0</v>
      </c>
      <c r="AN153" s="451">
        <v>0</v>
      </c>
      <c r="AO153" s="451">
        <v>0</v>
      </c>
      <c r="AP153" s="451">
        <v>0</v>
      </c>
      <c r="AQ153" s="451">
        <v>479286</v>
      </c>
      <c r="AR153" s="451">
        <v>469700</v>
      </c>
      <c r="AS153" s="451">
        <v>0</v>
      </c>
      <c r="AT153" s="451">
        <v>9586</v>
      </c>
      <c r="AU153" s="451">
        <v>958572</v>
      </c>
      <c r="AV153" s="451">
        <v>479286</v>
      </c>
      <c r="AW153" s="451">
        <v>469700</v>
      </c>
      <c r="AX153" s="451">
        <v>0</v>
      </c>
      <c r="AY153" s="451">
        <v>9586</v>
      </c>
      <c r="AZ153" s="451">
        <v>958572</v>
      </c>
      <c r="BA153" s="451">
        <v>0</v>
      </c>
      <c r="BB153" s="451">
        <v>0</v>
      </c>
      <c r="BC153" s="451">
        <v>0</v>
      </c>
      <c r="BD153" s="451">
        <v>0</v>
      </c>
      <c r="BE153" s="451">
        <v>0</v>
      </c>
      <c r="BF153" s="451">
        <v>1364164.72</v>
      </c>
      <c r="BG153" s="451">
        <v>1336881</v>
      </c>
      <c r="BH153" s="451">
        <v>0</v>
      </c>
      <c r="BI153" s="451">
        <v>27283</v>
      </c>
      <c r="BJ153" s="451">
        <v>2728328.72</v>
      </c>
      <c r="BK153" s="451">
        <v>1364164.72</v>
      </c>
      <c r="BL153" s="451">
        <v>1336881</v>
      </c>
      <c r="BM153" s="451">
        <v>0</v>
      </c>
      <c r="BN153" s="451">
        <v>27283</v>
      </c>
      <c r="BO153" s="451">
        <v>2728328.72</v>
      </c>
      <c r="BP153" s="451">
        <v>0</v>
      </c>
      <c r="BQ153" s="451">
        <v>0</v>
      </c>
      <c r="BR153" s="451">
        <v>0</v>
      </c>
      <c r="BS153" s="451">
        <v>0</v>
      </c>
      <c r="BT153" s="451">
        <v>0</v>
      </c>
      <c r="BU153" s="451">
        <v>5157783.78</v>
      </c>
      <c r="BV153" s="451">
        <v>5054629</v>
      </c>
      <c r="BW153" s="451">
        <v>0</v>
      </c>
      <c r="BX153" s="451">
        <v>103156</v>
      </c>
      <c r="BY153" s="451">
        <v>10315568.699999999</v>
      </c>
      <c r="BZ153" s="451">
        <v>5157783.78</v>
      </c>
      <c r="CA153" s="451">
        <v>5054629</v>
      </c>
      <c r="CB153" s="451">
        <v>0</v>
      </c>
      <c r="CC153" s="451">
        <v>103156</v>
      </c>
      <c r="CD153" s="451">
        <v>10315568.699999999</v>
      </c>
      <c r="CE153" s="104"/>
      <c r="CF153" s="104"/>
      <c r="CG153" s="104"/>
    </row>
    <row r="154" spans="1:85" ht="12.75" x14ac:dyDescent="0.2">
      <c r="A154" s="446">
        <v>147</v>
      </c>
      <c r="B154" s="447" t="s">
        <v>177</v>
      </c>
      <c r="C154" s="448" t="s">
        <v>1104</v>
      </c>
      <c r="D154" s="449" t="s">
        <v>1099</v>
      </c>
      <c r="E154" s="450" t="s">
        <v>176</v>
      </c>
      <c r="F154" s="451">
        <v>54258617</v>
      </c>
      <c r="G154" s="451">
        <v>32555170</v>
      </c>
      <c r="H154" s="451">
        <v>21703447</v>
      </c>
      <c r="I154" s="451">
        <v>0</v>
      </c>
      <c r="J154" s="451">
        <v>108517234</v>
      </c>
      <c r="K154" s="451">
        <v>0</v>
      </c>
      <c r="L154" s="451">
        <v>0</v>
      </c>
      <c r="M154" s="451">
        <v>54258617</v>
      </c>
      <c r="N154" s="451">
        <v>108517234</v>
      </c>
      <c r="O154" s="451">
        <v>480534</v>
      </c>
      <c r="P154" s="451">
        <v>480534</v>
      </c>
      <c r="Q154" s="451">
        <v>0</v>
      </c>
      <c r="R154" s="451">
        <v>0</v>
      </c>
      <c r="S154" s="451">
        <v>0</v>
      </c>
      <c r="T154" s="451">
        <v>0</v>
      </c>
      <c r="U154" s="451">
        <v>0</v>
      </c>
      <c r="V154" s="451">
        <v>0</v>
      </c>
      <c r="W154" s="451">
        <v>0</v>
      </c>
      <c r="X154" s="451">
        <v>0</v>
      </c>
      <c r="Y154" s="451">
        <v>0</v>
      </c>
      <c r="Z154" s="451">
        <v>0</v>
      </c>
      <c r="AA154" s="451">
        <v>0</v>
      </c>
      <c r="AB154" s="451">
        <v>3213231</v>
      </c>
      <c r="AC154" s="451">
        <v>1927939</v>
      </c>
      <c r="AD154" s="451">
        <v>1285292</v>
      </c>
      <c r="AE154" s="451">
        <v>0</v>
      </c>
      <c r="AF154" s="451">
        <v>6426462</v>
      </c>
      <c r="AG154" s="451">
        <v>3297911</v>
      </c>
      <c r="AH154" s="451">
        <v>1978747</v>
      </c>
      <c r="AI154" s="451">
        <v>1319165</v>
      </c>
      <c r="AJ154" s="451">
        <v>0</v>
      </c>
      <c r="AK154" s="451">
        <v>6595823</v>
      </c>
      <c r="AL154" s="451">
        <v>0</v>
      </c>
      <c r="AM154" s="451">
        <v>0</v>
      </c>
      <c r="AN154" s="451">
        <v>0</v>
      </c>
      <c r="AO154" s="451">
        <v>0</v>
      </c>
      <c r="AP154" s="451">
        <v>0</v>
      </c>
      <c r="AQ154" s="451">
        <v>0</v>
      </c>
      <c r="AR154" s="451">
        <v>0</v>
      </c>
      <c r="AS154" s="451">
        <v>0</v>
      </c>
      <c r="AT154" s="451">
        <v>0</v>
      </c>
      <c r="AU154" s="451">
        <v>0</v>
      </c>
      <c r="AV154" s="451">
        <v>0</v>
      </c>
      <c r="AW154" s="451">
        <v>0</v>
      </c>
      <c r="AX154" s="451">
        <v>0</v>
      </c>
      <c r="AY154" s="451">
        <v>0</v>
      </c>
      <c r="AZ154" s="451">
        <v>0</v>
      </c>
      <c r="BA154" s="451">
        <v>0</v>
      </c>
      <c r="BB154" s="451">
        <v>0</v>
      </c>
      <c r="BC154" s="451">
        <v>0</v>
      </c>
      <c r="BD154" s="451">
        <v>0</v>
      </c>
      <c r="BE154" s="451">
        <v>0</v>
      </c>
      <c r="BF154" s="451">
        <v>1663164</v>
      </c>
      <c r="BG154" s="451">
        <v>997898</v>
      </c>
      <c r="BH154" s="451">
        <v>665265</v>
      </c>
      <c r="BI154" s="451">
        <v>0</v>
      </c>
      <c r="BJ154" s="451">
        <v>3326327</v>
      </c>
      <c r="BK154" s="451">
        <v>1663164</v>
      </c>
      <c r="BL154" s="451">
        <v>997898</v>
      </c>
      <c r="BM154" s="451">
        <v>665265</v>
      </c>
      <c r="BN154" s="451">
        <v>0</v>
      </c>
      <c r="BO154" s="451">
        <v>3326327</v>
      </c>
      <c r="BP154" s="451">
        <v>0</v>
      </c>
      <c r="BQ154" s="451">
        <v>0</v>
      </c>
      <c r="BR154" s="451">
        <v>0</v>
      </c>
      <c r="BS154" s="451">
        <v>0</v>
      </c>
      <c r="BT154" s="451">
        <v>0</v>
      </c>
      <c r="BU154" s="451">
        <v>4765573</v>
      </c>
      <c r="BV154" s="451">
        <v>2859344</v>
      </c>
      <c r="BW154" s="451">
        <v>1906229</v>
      </c>
      <c r="BX154" s="451">
        <v>0</v>
      </c>
      <c r="BY154" s="451">
        <v>9531146</v>
      </c>
      <c r="BZ154" s="451">
        <v>4765573</v>
      </c>
      <c r="CA154" s="451">
        <v>2859344</v>
      </c>
      <c r="CB154" s="451">
        <v>1906229</v>
      </c>
      <c r="CC154" s="451">
        <v>0</v>
      </c>
      <c r="CD154" s="451">
        <v>9531146</v>
      </c>
      <c r="CE154" s="104"/>
      <c r="CF154" s="104"/>
      <c r="CG154" s="104"/>
    </row>
    <row r="155" spans="1:85" ht="12.75" x14ac:dyDescent="0.2">
      <c r="A155" s="446">
        <v>148</v>
      </c>
      <c r="B155" s="447" t="s">
        <v>179</v>
      </c>
      <c r="C155" s="448" t="s">
        <v>1093</v>
      </c>
      <c r="D155" s="449" t="s">
        <v>1095</v>
      </c>
      <c r="E155" s="450" t="s">
        <v>178</v>
      </c>
      <c r="F155" s="451">
        <v>29283854</v>
      </c>
      <c r="G155" s="451">
        <v>23427083</v>
      </c>
      <c r="H155" s="451">
        <v>5271094</v>
      </c>
      <c r="I155" s="451">
        <v>585677</v>
      </c>
      <c r="J155" s="451">
        <v>58567708</v>
      </c>
      <c r="K155" s="451">
        <v>0</v>
      </c>
      <c r="L155" s="451">
        <v>0</v>
      </c>
      <c r="M155" s="451">
        <v>29283854</v>
      </c>
      <c r="N155" s="451">
        <v>58567708</v>
      </c>
      <c r="O155" s="451">
        <v>233004</v>
      </c>
      <c r="P155" s="451">
        <v>233004</v>
      </c>
      <c r="Q155" s="451">
        <v>0</v>
      </c>
      <c r="R155" s="451">
        <v>0</v>
      </c>
      <c r="S155" s="451">
        <v>0</v>
      </c>
      <c r="T155" s="451">
        <v>0</v>
      </c>
      <c r="U155" s="451">
        <v>0</v>
      </c>
      <c r="V155" s="451">
        <v>0</v>
      </c>
      <c r="W155" s="451">
        <v>0</v>
      </c>
      <c r="X155" s="451">
        <v>0</v>
      </c>
      <c r="Y155" s="451">
        <v>0</v>
      </c>
      <c r="Z155" s="451">
        <v>0</v>
      </c>
      <c r="AA155" s="451">
        <v>0</v>
      </c>
      <c r="AB155" s="451">
        <v>685313.28</v>
      </c>
      <c r="AC155" s="451">
        <v>548251</v>
      </c>
      <c r="AD155" s="451">
        <v>123356</v>
      </c>
      <c r="AE155" s="451">
        <v>13706</v>
      </c>
      <c r="AF155" s="451">
        <v>1370626.28</v>
      </c>
      <c r="AG155" s="451">
        <v>-322314</v>
      </c>
      <c r="AH155" s="451">
        <v>-257851</v>
      </c>
      <c r="AI155" s="451">
        <v>-58016</v>
      </c>
      <c r="AJ155" s="451">
        <v>-6446</v>
      </c>
      <c r="AK155" s="451">
        <v>-644627</v>
      </c>
      <c r="AL155" s="451">
        <v>43336</v>
      </c>
      <c r="AM155" s="451">
        <v>34668</v>
      </c>
      <c r="AN155" s="451">
        <v>7800</v>
      </c>
      <c r="AO155" s="451">
        <v>867</v>
      </c>
      <c r="AP155" s="451">
        <v>86671</v>
      </c>
      <c r="AQ155" s="451">
        <v>85899</v>
      </c>
      <c r="AR155" s="451">
        <v>68720</v>
      </c>
      <c r="AS155" s="451">
        <v>15462</v>
      </c>
      <c r="AT155" s="451">
        <v>1718</v>
      </c>
      <c r="AU155" s="451">
        <v>171799</v>
      </c>
      <c r="AV155" s="451">
        <v>129235</v>
      </c>
      <c r="AW155" s="451">
        <v>103388</v>
      </c>
      <c r="AX155" s="451">
        <v>23262</v>
      </c>
      <c r="AY155" s="451">
        <v>2585</v>
      </c>
      <c r="AZ155" s="451">
        <v>258470</v>
      </c>
      <c r="BA155" s="451">
        <v>0</v>
      </c>
      <c r="BB155" s="451">
        <v>0</v>
      </c>
      <c r="BC155" s="451">
        <v>0</v>
      </c>
      <c r="BD155" s="451">
        <v>0</v>
      </c>
      <c r="BE155" s="451">
        <v>0</v>
      </c>
      <c r="BF155" s="451">
        <v>0</v>
      </c>
      <c r="BG155" s="451">
        <v>0</v>
      </c>
      <c r="BH155" s="451">
        <v>0</v>
      </c>
      <c r="BI155" s="451">
        <v>0</v>
      </c>
      <c r="BJ155" s="451">
        <v>0</v>
      </c>
      <c r="BK155" s="451">
        <v>0</v>
      </c>
      <c r="BL155" s="451">
        <v>0</v>
      </c>
      <c r="BM155" s="451">
        <v>0</v>
      </c>
      <c r="BN155" s="451">
        <v>0</v>
      </c>
      <c r="BO155" s="451">
        <v>0</v>
      </c>
      <c r="BP155" s="451">
        <v>0</v>
      </c>
      <c r="BQ155" s="451">
        <v>0</v>
      </c>
      <c r="BR155" s="451">
        <v>0</v>
      </c>
      <c r="BS155" s="451">
        <v>0</v>
      </c>
      <c r="BT155" s="451">
        <v>0</v>
      </c>
      <c r="BU155" s="451">
        <v>4521151</v>
      </c>
      <c r="BV155" s="451">
        <v>3616920</v>
      </c>
      <c r="BW155" s="451">
        <v>813807</v>
      </c>
      <c r="BX155" s="451">
        <v>90423</v>
      </c>
      <c r="BY155" s="451">
        <v>9042301</v>
      </c>
      <c r="BZ155" s="451">
        <v>4521151</v>
      </c>
      <c r="CA155" s="451">
        <v>3616920</v>
      </c>
      <c r="CB155" s="451">
        <v>813807</v>
      </c>
      <c r="CC155" s="451">
        <v>90423</v>
      </c>
      <c r="CD155" s="451">
        <v>9042301</v>
      </c>
      <c r="CE155" s="104"/>
      <c r="CF155" s="104"/>
      <c r="CG155" s="104"/>
    </row>
    <row r="156" spans="1:85" ht="12.75" x14ac:dyDescent="0.2">
      <c r="A156" s="446">
        <v>149</v>
      </c>
      <c r="B156" s="447" t="s">
        <v>181</v>
      </c>
      <c r="C156" s="448" t="s">
        <v>1100</v>
      </c>
      <c r="D156" s="449" t="s">
        <v>1101</v>
      </c>
      <c r="E156" s="450" t="s">
        <v>180</v>
      </c>
      <c r="F156" s="451">
        <v>169853952</v>
      </c>
      <c r="G156" s="451">
        <v>166456872</v>
      </c>
      <c r="H156" s="451">
        <v>0</v>
      </c>
      <c r="I156" s="451">
        <v>3397079</v>
      </c>
      <c r="J156" s="451">
        <v>339707903</v>
      </c>
      <c r="K156" s="451">
        <v>274990</v>
      </c>
      <c r="L156" s="451">
        <v>274990</v>
      </c>
      <c r="M156" s="451">
        <v>169578962</v>
      </c>
      <c r="N156" s="451">
        <v>339432913</v>
      </c>
      <c r="O156" s="451">
        <v>1234002</v>
      </c>
      <c r="P156" s="451">
        <v>1234002</v>
      </c>
      <c r="Q156" s="451">
        <v>0</v>
      </c>
      <c r="R156" s="451">
        <v>0</v>
      </c>
      <c r="S156" s="451">
        <v>0</v>
      </c>
      <c r="T156" s="451">
        <v>0</v>
      </c>
      <c r="U156" s="451">
        <v>0</v>
      </c>
      <c r="V156" s="451">
        <v>0</v>
      </c>
      <c r="W156" s="451">
        <v>0</v>
      </c>
      <c r="X156" s="451">
        <v>274990</v>
      </c>
      <c r="Y156" s="451">
        <v>0</v>
      </c>
      <c r="Z156" s="451">
        <v>0</v>
      </c>
      <c r="AA156" s="451">
        <v>274990</v>
      </c>
      <c r="AB156" s="451">
        <v>6893874.3700000001</v>
      </c>
      <c r="AC156" s="451">
        <v>6755998</v>
      </c>
      <c r="AD156" s="451">
        <v>0</v>
      </c>
      <c r="AE156" s="451">
        <v>137878</v>
      </c>
      <c r="AF156" s="451">
        <v>13787750.300000001</v>
      </c>
      <c r="AG156" s="451">
        <v>3570590.09</v>
      </c>
      <c r="AH156" s="451">
        <v>3499179</v>
      </c>
      <c r="AI156" s="451">
        <v>0</v>
      </c>
      <c r="AJ156" s="451">
        <v>71412</v>
      </c>
      <c r="AK156" s="451">
        <v>7141181.0899999999</v>
      </c>
      <c r="AL156" s="451">
        <v>2324500</v>
      </c>
      <c r="AM156" s="451">
        <v>2278010</v>
      </c>
      <c r="AN156" s="451">
        <v>0</v>
      </c>
      <c r="AO156" s="451">
        <v>46490</v>
      </c>
      <c r="AP156" s="451">
        <v>4649000</v>
      </c>
      <c r="AQ156" s="451">
        <v>325500</v>
      </c>
      <c r="AR156" s="451">
        <v>318990</v>
      </c>
      <c r="AS156" s="451">
        <v>0</v>
      </c>
      <c r="AT156" s="451">
        <v>6510</v>
      </c>
      <c r="AU156" s="451">
        <v>651000</v>
      </c>
      <c r="AV156" s="451">
        <v>2650000</v>
      </c>
      <c r="AW156" s="451">
        <v>2597000</v>
      </c>
      <c r="AX156" s="451">
        <v>0</v>
      </c>
      <c r="AY156" s="451">
        <v>53000</v>
      </c>
      <c r="AZ156" s="451">
        <v>5300000</v>
      </c>
      <c r="BA156" s="451">
        <v>0</v>
      </c>
      <c r="BB156" s="451">
        <v>0</v>
      </c>
      <c r="BC156" s="451">
        <v>0</v>
      </c>
      <c r="BD156" s="451">
        <v>0</v>
      </c>
      <c r="BE156" s="451">
        <v>0</v>
      </c>
      <c r="BF156" s="451">
        <v>3032671</v>
      </c>
      <c r="BG156" s="451">
        <v>2972018</v>
      </c>
      <c r="BH156" s="451">
        <v>0</v>
      </c>
      <c r="BI156" s="451">
        <v>60653</v>
      </c>
      <c r="BJ156" s="451">
        <v>6065342</v>
      </c>
      <c r="BK156" s="451">
        <v>3032671</v>
      </c>
      <c r="BL156" s="451">
        <v>2972018</v>
      </c>
      <c r="BM156" s="451">
        <v>0</v>
      </c>
      <c r="BN156" s="451">
        <v>60653</v>
      </c>
      <c r="BO156" s="451">
        <v>6065342</v>
      </c>
      <c r="BP156" s="451">
        <v>0</v>
      </c>
      <c r="BQ156" s="451">
        <v>0</v>
      </c>
      <c r="BR156" s="451">
        <v>0</v>
      </c>
      <c r="BS156" s="451">
        <v>0</v>
      </c>
      <c r="BT156" s="451">
        <v>0</v>
      </c>
      <c r="BU156" s="451">
        <v>8514962</v>
      </c>
      <c r="BV156" s="451">
        <v>8344662</v>
      </c>
      <c r="BW156" s="451">
        <v>0</v>
      </c>
      <c r="BX156" s="451">
        <v>170299</v>
      </c>
      <c r="BY156" s="451">
        <v>17029923</v>
      </c>
      <c r="BZ156" s="451">
        <v>8514962</v>
      </c>
      <c r="CA156" s="451">
        <v>8344662</v>
      </c>
      <c r="CB156" s="451">
        <v>0</v>
      </c>
      <c r="CC156" s="451">
        <v>170299</v>
      </c>
      <c r="CD156" s="451">
        <v>17029923</v>
      </c>
      <c r="CE156" s="104"/>
      <c r="CF156" s="104"/>
      <c r="CG156" s="104"/>
    </row>
    <row r="157" spans="1:85" ht="12.75" x14ac:dyDescent="0.2">
      <c r="A157" s="446">
        <v>150</v>
      </c>
      <c r="B157" s="447" t="s">
        <v>183</v>
      </c>
      <c r="C157" s="448" t="s">
        <v>794</v>
      </c>
      <c r="D157" s="449" t="s">
        <v>1096</v>
      </c>
      <c r="E157" s="450" t="s">
        <v>723</v>
      </c>
      <c r="F157" s="451">
        <v>45337655</v>
      </c>
      <c r="G157" s="451">
        <v>44430901</v>
      </c>
      <c r="H157" s="451">
        <v>0</v>
      </c>
      <c r="I157" s="451">
        <v>906753</v>
      </c>
      <c r="J157" s="451">
        <v>90675309</v>
      </c>
      <c r="K157" s="451">
        <v>0</v>
      </c>
      <c r="L157" s="451">
        <v>0</v>
      </c>
      <c r="M157" s="451">
        <v>45337655</v>
      </c>
      <c r="N157" s="451">
        <v>90675309</v>
      </c>
      <c r="O157" s="451">
        <v>488470</v>
      </c>
      <c r="P157" s="451">
        <v>488470</v>
      </c>
      <c r="Q157" s="451">
        <v>0</v>
      </c>
      <c r="R157" s="451">
        <v>0</v>
      </c>
      <c r="S157" s="451">
        <v>0</v>
      </c>
      <c r="T157" s="451">
        <v>0</v>
      </c>
      <c r="U157" s="451">
        <v>0</v>
      </c>
      <c r="V157" s="451">
        <v>0</v>
      </c>
      <c r="W157" s="451">
        <v>0</v>
      </c>
      <c r="X157" s="451">
        <v>0</v>
      </c>
      <c r="Y157" s="451">
        <v>0</v>
      </c>
      <c r="Z157" s="451">
        <v>0</v>
      </c>
      <c r="AA157" s="451">
        <v>0</v>
      </c>
      <c r="AB157" s="451">
        <v>3697817</v>
      </c>
      <c r="AC157" s="451">
        <v>3623860</v>
      </c>
      <c r="AD157" s="451">
        <v>0</v>
      </c>
      <c r="AE157" s="451">
        <v>73956</v>
      </c>
      <c r="AF157" s="451">
        <v>7395633</v>
      </c>
      <c r="AG157" s="451">
        <v>651653</v>
      </c>
      <c r="AH157" s="451">
        <v>638620</v>
      </c>
      <c r="AI157" s="451">
        <v>0</v>
      </c>
      <c r="AJ157" s="451">
        <v>13033</v>
      </c>
      <c r="AK157" s="451">
        <v>1303306</v>
      </c>
      <c r="AL157" s="451">
        <v>1081571</v>
      </c>
      <c r="AM157" s="451">
        <v>1059939</v>
      </c>
      <c r="AN157" s="451">
        <v>0</v>
      </c>
      <c r="AO157" s="451">
        <v>21631</v>
      </c>
      <c r="AP157" s="451">
        <v>2163141</v>
      </c>
      <c r="AQ157" s="451">
        <v>340571</v>
      </c>
      <c r="AR157" s="451">
        <v>333760</v>
      </c>
      <c r="AS157" s="451">
        <v>0</v>
      </c>
      <c r="AT157" s="451">
        <v>6811</v>
      </c>
      <c r="AU157" s="451">
        <v>681142</v>
      </c>
      <c r="AV157" s="451">
        <v>1422142</v>
      </c>
      <c r="AW157" s="451">
        <v>1393699</v>
      </c>
      <c r="AX157" s="451">
        <v>0</v>
      </c>
      <c r="AY157" s="451">
        <v>28442</v>
      </c>
      <c r="AZ157" s="451">
        <v>2844283</v>
      </c>
      <c r="BA157" s="451">
        <v>0</v>
      </c>
      <c r="BB157" s="451">
        <v>0</v>
      </c>
      <c r="BC157" s="451">
        <v>0</v>
      </c>
      <c r="BD157" s="451">
        <v>0</v>
      </c>
      <c r="BE157" s="451">
        <v>0</v>
      </c>
      <c r="BF157" s="451">
        <v>992662</v>
      </c>
      <c r="BG157" s="451">
        <v>972809</v>
      </c>
      <c r="BH157" s="451">
        <v>0</v>
      </c>
      <c r="BI157" s="451">
        <v>19853</v>
      </c>
      <c r="BJ157" s="451">
        <v>1985324</v>
      </c>
      <c r="BK157" s="451">
        <v>992662</v>
      </c>
      <c r="BL157" s="451">
        <v>972809</v>
      </c>
      <c r="BM157" s="451">
        <v>0</v>
      </c>
      <c r="BN157" s="451">
        <v>19853</v>
      </c>
      <c r="BO157" s="451">
        <v>1985324</v>
      </c>
      <c r="BP157" s="451">
        <v>0</v>
      </c>
      <c r="BQ157" s="451">
        <v>0</v>
      </c>
      <c r="BR157" s="451">
        <v>0</v>
      </c>
      <c r="BS157" s="451">
        <v>0</v>
      </c>
      <c r="BT157" s="451">
        <v>0</v>
      </c>
      <c r="BU157" s="451">
        <v>2632634</v>
      </c>
      <c r="BV157" s="451">
        <v>2579982</v>
      </c>
      <c r="BW157" s="451">
        <v>0</v>
      </c>
      <c r="BX157" s="451">
        <v>52653</v>
      </c>
      <c r="BY157" s="451">
        <v>5265269</v>
      </c>
      <c r="BZ157" s="451">
        <v>2632634</v>
      </c>
      <c r="CA157" s="451">
        <v>2579982</v>
      </c>
      <c r="CB157" s="451">
        <v>0</v>
      </c>
      <c r="CC157" s="451">
        <v>52653</v>
      </c>
      <c r="CD157" s="451">
        <v>5265269</v>
      </c>
      <c r="CE157" s="104"/>
      <c r="CF157" s="104"/>
      <c r="CG157" s="104"/>
    </row>
    <row r="158" spans="1:85" ht="12.75" x14ac:dyDescent="0.2">
      <c r="A158" s="446">
        <v>151</v>
      </c>
      <c r="B158" s="447" t="s">
        <v>185</v>
      </c>
      <c r="C158" s="448" t="s">
        <v>1093</v>
      </c>
      <c r="D158" s="449" t="s">
        <v>1094</v>
      </c>
      <c r="E158" s="450" t="s">
        <v>184</v>
      </c>
      <c r="F158" s="451">
        <v>11267458</v>
      </c>
      <c r="G158" s="451">
        <v>9013966</v>
      </c>
      <c r="H158" s="451">
        <v>2028142</v>
      </c>
      <c r="I158" s="451">
        <v>225349</v>
      </c>
      <c r="J158" s="451">
        <v>22534915</v>
      </c>
      <c r="K158" s="451">
        <v>0</v>
      </c>
      <c r="L158" s="451">
        <v>0</v>
      </c>
      <c r="M158" s="451">
        <v>11267458</v>
      </c>
      <c r="N158" s="451">
        <v>22534915</v>
      </c>
      <c r="O158" s="451">
        <v>128276</v>
      </c>
      <c r="P158" s="451">
        <v>128276</v>
      </c>
      <c r="Q158" s="451">
        <v>0</v>
      </c>
      <c r="R158" s="451">
        <v>0</v>
      </c>
      <c r="S158" s="451">
        <v>0</v>
      </c>
      <c r="T158" s="451">
        <v>0</v>
      </c>
      <c r="U158" s="451">
        <v>0</v>
      </c>
      <c r="V158" s="451">
        <v>0</v>
      </c>
      <c r="W158" s="451">
        <v>0</v>
      </c>
      <c r="X158" s="451">
        <v>0</v>
      </c>
      <c r="Y158" s="451">
        <v>0</v>
      </c>
      <c r="Z158" s="451">
        <v>0</v>
      </c>
      <c r="AA158" s="451">
        <v>0</v>
      </c>
      <c r="AB158" s="451">
        <v>396775</v>
      </c>
      <c r="AC158" s="451">
        <v>317420</v>
      </c>
      <c r="AD158" s="451">
        <v>71419</v>
      </c>
      <c r="AE158" s="451">
        <v>7935</v>
      </c>
      <c r="AF158" s="451">
        <v>793549</v>
      </c>
      <c r="AG158" s="451">
        <v>59523</v>
      </c>
      <c r="AH158" s="451">
        <v>47618</v>
      </c>
      <c r="AI158" s="451">
        <v>10714</v>
      </c>
      <c r="AJ158" s="451">
        <v>1190</v>
      </c>
      <c r="AK158" s="451">
        <v>119045</v>
      </c>
      <c r="AL158" s="451">
        <v>0</v>
      </c>
      <c r="AM158" s="451">
        <v>0</v>
      </c>
      <c r="AN158" s="451">
        <v>0</v>
      </c>
      <c r="AO158" s="451">
        <v>0</v>
      </c>
      <c r="AP158" s="451">
        <v>0</v>
      </c>
      <c r="AQ158" s="451">
        <v>94771</v>
      </c>
      <c r="AR158" s="451">
        <v>75816</v>
      </c>
      <c r="AS158" s="451">
        <v>17059</v>
      </c>
      <c r="AT158" s="451">
        <v>1895</v>
      </c>
      <c r="AU158" s="451">
        <v>189541</v>
      </c>
      <c r="AV158" s="451">
        <v>94771</v>
      </c>
      <c r="AW158" s="451">
        <v>75816</v>
      </c>
      <c r="AX158" s="451">
        <v>17059</v>
      </c>
      <c r="AY158" s="451">
        <v>1895</v>
      </c>
      <c r="AZ158" s="451">
        <v>189541</v>
      </c>
      <c r="BA158" s="451">
        <v>0</v>
      </c>
      <c r="BB158" s="451">
        <v>0</v>
      </c>
      <c r="BC158" s="451">
        <v>0</v>
      </c>
      <c r="BD158" s="451">
        <v>0</v>
      </c>
      <c r="BE158" s="451">
        <v>0</v>
      </c>
      <c r="BF158" s="451">
        <v>130000</v>
      </c>
      <c r="BG158" s="451">
        <v>104000</v>
      </c>
      <c r="BH158" s="451">
        <v>23400</v>
      </c>
      <c r="BI158" s="451">
        <v>2600</v>
      </c>
      <c r="BJ158" s="451">
        <v>260000</v>
      </c>
      <c r="BK158" s="451">
        <v>130000</v>
      </c>
      <c r="BL158" s="451">
        <v>104000</v>
      </c>
      <c r="BM158" s="451">
        <v>23400</v>
      </c>
      <c r="BN158" s="451">
        <v>2600</v>
      </c>
      <c r="BO158" s="451">
        <v>260000</v>
      </c>
      <c r="BP158" s="451">
        <v>0</v>
      </c>
      <c r="BQ158" s="451">
        <v>0</v>
      </c>
      <c r="BR158" s="451">
        <v>0</v>
      </c>
      <c r="BS158" s="451">
        <v>0</v>
      </c>
      <c r="BT158" s="451">
        <v>0</v>
      </c>
      <c r="BU158" s="451">
        <v>391113</v>
      </c>
      <c r="BV158" s="451">
        <v>312890</v>
      </c>
      <c r="BW158" s="451">
        <v>70400</v>
      </c>
      <c r="BX158" s="451">
        <v>7822</v>
      </c>
      <c r="BY158" s="451">
        <v>782225</v>
      </c>
      <c r="BZ158" s="451">
        <v>391113</v>
      </c>
      <c r="CA158" s="451">
        <v>312890</v>
      </c>
      <c r="CB158" s="451">
        <v>70400</v>
      </c>
      <c r="CC158" s="451">
        <v>7822</v>
      </c>
      <c r="CD158" s="451">
        <v>782225</v>
      </c>
      <c r="CE158" s="104"/>
      <c r="CF158" s="104"/>
      <c r="CG158" s="104"/>
    </row>
    <row r="159" spans="1:85" ht="12.75" x14ac:dyDescent="0.2">
      <c r="A159" s="446">
        <v>152</v>
      </c>
      <c r="B159" s="447" t="s">
        <v>187</v>
      </c>
      <c r="C159" s="448" t="s">
        <v>1104</v>
      </c>
      <c r="D159" s="449" t="s">
        <v>1099</v>
      </c>
      <c r="E159" s="450" t="s">
        <v>186</v>
      </c>
      <c r="F159" s="451">
        <v>23888289</v>
      </c>
      <c r="G159" s="451">
        <v>14332973</v>
      </c>
      <c r="H159" s="451">
        <v>9555315</v>
      </c>
      <c r="I159" s="451">
        <v>0</v>
      </c>
      <c r="J159" s="451">
        <v>47776577</v>
      </c>
      <c r="K159" s="451">
        <v>0</v>
      </c>
      <c r="L159" s="451">
        <v>0</v>
      </c>
      <c r="M159" s="451">
        <v>23888289</v>
      </c>
      <c r="N159" s="451">
        <v>47776577</v>
      </c>
      <c r="O159" s="451">
        <v>309920</v>
      </c>
      <c r="P159" s="451">
        <v>309920</v>
      </c>
      <c r="Q159" s="451">
        <v>0</v>
      </c>
      <c r="R159" s="451">
        <v>0</v>
      </c>
      <c r="S159" s="451">
        <v>0</v>
      </c>
      <c r="T159" s="451">
        <v>0</v>
      </c>
      <c r="U159" s="451">
        <v>0</v>
      </c>
      <c r="V159" s="451">
        <v>0</v>
      </c>
      <c r="W159" s="451">
        <v>0</v>
      </c>
      <c r="X159" s="451">
        <v>0</v>
      </c>
      <c r="Y159" s="451">
        <v>0</v>
      </c>
      <c r="Z159" s="451">
        <v>0</v>
      </c>
      <c r="AA159" s="451">
        <v>0</v>
      </c>
      <c r="AB159" s="451">
        <v>2290066</v>
      </c>
      <c r="AC159" s="451">
        <v>1374040</v>
      </c>
      <c r="AD159" s="451">
        <v>916027</v>
      </c>
      <c r="AE159" s="451">
        <v>0</v>
      </c>
      <c r="AF159" s="451">
        <v>4580133</v>
      </c>
      <c r="AG159" s="451">
        <v>1838516</v>
      </c>
      <c r="AH159" s="451">
        <v>1103109</v>
      </c>
      <c r="AI159" s="451">
        <v>735406</v>
      </c>
      <c r="AJ159" s="451">
        <v>0</v>
      </c>
      <c r="AK159" s="451">
        <v>3677031</v>
      </c>
      <c r="AL159" s="451">
        <v>940167.54</v>
      </c>
      <c r="AM159" s="451">
        <v>564101</v>
      </c>
      <c r="AN159" s="451">
        <v>376067</v>
      </c>
      <c r="AO159" s="451">
        <v>0</v>
      </c>
      <c r="AP159" s="451">
        <v>1880335.54</v>
      </c>
      <c r="AQ159" s="451">
        <v>337309</v>
      </c>
      <c r="AR159" s="451">
        <v>202386</v>
      </c>
      <c r="AS159" s="451">
        <v>134924</v>
      </c>
      <c r="AT159" s="451">
        <v>0</v>
      </c>
      <c r="AU159" s="451">
        <v>674619</v>
      </c>
      <c r="AV159" s="451">
        <v>1277476.54</v>
      </c>
      <c r="AW159" s="451">
        <v>766487</v>
      </c>
      <c r="AX159" s="451">
        <v>510991</v>
      </c>
      <c r="AY159" s="451">
        <v>0</v>
      </c>
      <c r="AZ159" s="451">
        <v>2554954.54</v>
      </c>
      <c r="BA159" s="451">
        <v>0</v>
      </c>
      <c r="BB159" s="451">
        <v>0</v>
      </c>
      <c r="BC159" s="451">
        <v>0</v>
      </c>
      <c r="BD159" s="451">
        <v>0</v>
      </c>
      <c r="BE159" s="451">
        <v>0</v>
      </c>
      <c r="BF159" s="451">
        <v>263387</v>
      </c>
      <c r="BG159" s="451">
        <v>158033</v>
      </c>
      <c r="BH159" s="451">
        <v>105355</v>
      </c>
      <c r="BI159" s="451">
        <v>0</v>
      </c>
      <c r="BJ159" s="451">
        <v>526775</v>
      </c>
      <c r="BK159" s="451">
        <v>263387</v>
      </c>
      <c r="BL159" s="451">
        <v>158033</v>
      </c>
      <c r="BM159" s="451">
        <v>105355</v>
      </c>
      <c r="BN159" s="451">
        <v>0</v>
      </c>
      <c r="BO159" s="451">
        <v>526775</v>
      </c>
      <c r="BP159" s="451">
        <v>0</v>
      </c>
      <c r="BQ159" s="451">
        <v>0</v>
      </c>
      <c r="BR159" s="451">
        <v>0</v>
      </c>
      <c r="BS159" s="451">
        <v>0</v>
      </c>
      <c r="BT159" s="451">
        <v>0</v>
      </c>
      <c r="BU159" s="451">
        <v>860828</v>
      </c>
      <c r="BV159" s="451">
        <v>516497</v>
      </c>
      <c r="BW159" s="451">
        <v>344331</v>
      </c>
      <c r="BX159" s="451">
        <v>0</v>
      </c>
      <c r="BY159" s="451">
        <v>1721656</v>
      </c>
      <c r="BZ159" s="451">
        <v>860828</v>
      </c>
      <c r="CA159" s="451">
        <v>516497</v>
      </c>
      <c r="CB159" s="451">
        <v>344331</v>
      </c>
      <c r="CC159" s="451">
        <v>0</v>
      </c>
      <c r="CD159" s="451">
        <v>1721656</v>
      </c>
      <c r="CE159" s="104"/>
      <c r="CF159" s="104"/>
      <c r="CG159" s="104"/>
    </row>
    <row r="160" spans="1:85" ht="12.75" x14ac:dyDescent="0.2">
      <c r="A160" s="446">
        <v>153</v>
      </c>
      <c r="B160" s="447" t="s">
        <v>189</v>
      </c>
      <c r="C160" s="448" t="s">
        <v>1093</v>
      </c>
      <c r="D160" s="449" t="s">
        <v>1103</v>
      </c>
      <c r="E160" s="450" t="s">
        <v>188</v>
      </c>
      <c r="F160" s="451">
        <v>15261296</v>
      </c>
      <c r="G160" s="451">
        <v>12209037</v>
      </c>
      <c r="H160" s="451">
        <v>2747033</v>
      </c>
      <c r="I160" s="451">
        <v>305226</v>
      </c>
      <c r="J160" s="451">
        <v>30522592</v>
      </c>
      <c r="K160" s="451">
        <v>0</v>
      </c>
      <c r="L160" s="451">
        <v>0</v>
      </c>
      <c r="M160" s="451">
        <v>15261296</v>
      </c>
      <c r="N160" s="451">
        <v>30522592</v>
      </c>
      <c r="O160" s="451">
        <v>125090</v>
      </c>
      <c r="P160" s="451">
        <v>125090</v>
      </c>
      <c r="Q160" s="451">
        <v>0</v>
      </c>
      <c r="R160" s="451">
        <v>0</v>
      </c>
      <c r="S160" s="451">
        <v>0</v>
      </c>
      <c r="T160" s="451">
        <v>0</v>
      </c>
      <c r="U160" s="451">
        <v>0</v>
      </c>
      <c r="V160" s="451">
        <v>0</v>
      </c>
      <c r="W160" s="451">
        <v>0</v>
      </c>
      <c r="X160" s="451">
        <v>0</v>
      </c>
      <c r="Y160" s="451">
        <v>0</v>
      </c>
      <c r="Z160" s="451">
        <v>0</v>
      </c>
      <c r="AA160" s="451">
        <v>0</v>
      </c>
      <c r="AB160" s="451">
        <v>411820.58</v>
      </c>
      <c r="AC160" s="451">
        <v>329456</v>
      </c>
      <c r="AD160" s="451">
        <v>74128</v>
      </c>
      <c r="AE160" s="451">
        <v>8236</v>
      </c>
      <c r="AF160" s="451">
        <v>823640.58</v>
      </c>
      <c r="AG160" s="451">
        <v>351705.57</v>
      </c>
      <c r="AH160" s="451">
        <v>281365</v>
      </c>
      <c r="AI160" s="451">
        <v>63307</v>
      </c>
      <c r="AJ160" s="451">
        <v>7034</v>
      </c>
      <c r="AK160" s="451">
        <v>703411.57</v>
      </c>
      <c r="AL160" s="451">
        <v>0</v>
      </c>
      <c r="AM160" s="451">
        <v>0</v>
      </c>
      <c r="AN160" s="451">
        <v>0</v>
      </c>
      <c r="AO160" s="451">
        <v>0</v>
      </c>
      <c r="AP160" s="451">
        <v>0</v>
      </c>
      <c r="AQ160" s="451">
        <v>88527.6</v>
      </c>
      <c r="AR160" s="451">
        <v>70823</v>
      </c>
      <c r="AS160" s="451">
        <v>15935</v>
      </c>
      <c r="AT160" s="451">
        <v>1771</v>
      </c>
      <c r="AU160" s="451">
        <v>177056.6</v>
      </c>
      <c r="AV160" s="451">
        <v>88527.6</v>
      </c>
      <c r="AW160" s="451">
        <v>70823</v>
      </c>
      <c r="AX160" s="451">
        <v>15935</v>
      </c>
      <c r="AY160" s="451">
        <v>1771</v>
      </c>
      <c r="AZ160" s="451">
        <v>177056.6</v>
      </c>
      <c r="BA160" s="451">
        <v>0</v>
      </c>
      <c r="BB160" s="451">
        <v>0</v>
      </c>
      <c r="BC160" s="451">
        <v>0</v>
      </c>
      <c r="BD160" s="451">
        <v>0</v>
      </c>
      <c r="BE160" s="451">
        <v>0</v>
      </c>
      <c r="BF160" s="451">
        <v>231591</v>
      </c>
      <c r="BG160" s="451">
        <v>185273</v>
      </c>
      <c r="BH160" s="451">
        <v>41686</v>
      </c>
      <c r="BI160" s="451">
        <v>4632</v>
      </c>
      <c r="BJ160" s="451">
        <v>463182</v>
      </c>
      <c r="BK160" s="451">
        <v>231591</v>
      </c>
      <c r="BL160" s="451">
        <v>185273</v>
      </c>
      <c r="BM160" s="451">
        <v>41686</v>
      </c>
      <c r="BN160" s="451">
        <v>4632</v>
      </c>
      <c r="BO160" s="451">
        <v>463182</v>
      </c>
      <c r="BP160" s="451">
        <v>0</v>
      </c>
      <c r="BQ160" s="451">
        <v>0</v>
      </c>
      <c r="BR160" s="451">
        <v>0</v>
      </c>
      <c r="BS160" s="451">
        <v>0</v>
      </c>
      <c r="BT160" s="451">
        <v>0</v>
      </c>
      <c r="BU160" s="451">
        <v>570611</v>
      </c>
      <c r="BV160" s="451">
        <v>456488</v>
      </c>
      <c r="BW160" s="451">
        <v>102710</v>
      </c>
      <c r="BX160" s="451">
        <v>11412</v>
      </c>
      <c r="BY160" s="451">
        <v>1141221</v>
      </c>
      <c r="BZ160" s="451">
        <v>570611</v>
      </c>
      <c r="CA160" s="451">
        <v>456488</v>
      </c>
      <c r="CB160" s="451">
        <v>102710</v>
      </c>
      <c r="CC160" s="451">
        <v>11412</v>
      </c>
      <c r="CD160" s="451">
        <v>1141221</v>
      </c>
      <c r="CE160" s="104"/>
      <c r="CF160" s="104"/>
      <c r="CG160" s="104"/>
    </row>
    <row r="161" spans="1:85" ht="12.75" x14ac:dyDescent="0.2">
      <c r="A161" s="446">
        <v>154</v>
      </c>
      <c r="B161" s="447" t="s">
        <v>191</v>
      </c>
      <c r="C161" s="448" t="s">
        <v>1093</v>
      </c>
      <c r="D161" s="449" t="s">
        <v>1096</v>
      </c>
      <c r="E161" s="450" t="s">
        <v>190</v>
      </c>
      <c r="F161" s="451">
        <v>18980323</v>
      </c>
      <c r="G161" s="451">
        <v>15184259</v>
      </c>
      <c r="H161" s="451">
        <v>3796065</v>
      </c>
      <c r="I161" s="451">
        <v>0</v>
      </c>
      <c r="J161" s="451">
        <v>37960647</v>
      </c>
      <c r="K161" s="451">
        <v>0</v>
      </c>
      <c r="L161" s="451">
        <v>0</v>
      </c>
      <c r="M161" s="451">
        <v>18980323</v>
      </c>
      <c r="N161" s="451">
        <v>37960647</v>
      </c>
      <c r="O161" s="451">
        <v>151340</v>
      </c>
      <c r="P161" s="451">
        <v>151340</v>
      </c>
      <c r="Q161" s="451">
        <v>0</v>
      </c>
      <c r="R161" s="451">
        <v>0</v>
      </c>
      <c r="S161" s="451">
        <v>0</v>
      </c>
      <c r="T161" s="451">
        <v>0</v>
      </c>
      <c r="U161" s="451">
        <v>0</v>
      </c>
      <c r="V161" s="451">
        <v>0</v>
      </c>
      <c r="W161" s="451">
        <v>0</v>
      </c>
      <c r="X161" s="451">
        <v>0</v>
      </c>
      <c r="Y161" s="451">
        <v>0</v>
      </c>
      <c r="Z161" s="451">
        <v>0</v>
      </c>
      <c r="AA161" s="451">
        <v>0</v>
      </c>
      <c r="AB161" s="451">
        <v>494017</v>
      </c>
      <c r="AC161" s="451">
        <v>395214</v>
      </c>
      <c r="AD161" s="451">
        <v>98804</v>
      </c>
      <c r="AE161" s="451">
        <v>0</v>
      </c>
      <c r="AF161" s="451">
        <v>988035</v>
      </c>
      <c r="AG161" s="451">
        <v>480440</v>
      </c>
      <c r="AH161" s="451">
        <v>384352</v>
      </c>
      <c r="AI161" s="451">
        <v>96088</v>
      </c>
      <c r="AJ161" s="451">
        <v>0</v>
      </c>
      <c r="AK161" s="451">
        <v>960880</v>
      </c>
      <c r="AL161" s="451">
        <v>0</v>
      </c>
      <c r="AM161" s="451">
        <v>0</v>
      </c>
      <c r="AN161" s="451">
        <v>0</v>
      </c>
      <c r="AO161" s="451">
        <v>0</v>
      </c>
      <c r="AP161" s="451">
        <v>0</v>
      </c>
      <c r="AQ161" s="451">
        <v>44217</v>
      </c>
      <c r="AR161" s="451">
        <v>35374</v>
      </c>
      <c r="AS161" s="451">
        <v>8844</v>
      </c>
      <c r="AT161" s="451">
        <v>0</v>
      </c>
      <c r="AU161" s="451">
        <v>88435</v>
      </c>
      <c r="AV161" s="451">
        <v>44217</v>
      </c>
      <c r="AW161" s="451">
        <v>35374</v>
      </c>
      <c r="AX161" s="451">
        <v>8844</v>
      </c>
      <c r="AY161" s="451">
        <v>0</v>
      </c>
      <c r="AZ161" s="451">
        <v>88435</v>
      </c>
      <c r="BA161" s="451">
        <v>0</v>
      </c>
      <c r="BB161" s="451">
        <v>0</v>
      </c>
      <c r="BC161" s="451">
        <v>0</v>
      </c>
      <c r="BD161" s="451">
        <v>0</v>
      </c>
      <c r="BE161" s="451">
        <v>0</v>
      </c>
      <c r="BF161" s="451">
        <v>270602</v>
      </c>
      <c r="BG161" s="451">
        <v>216481</v>
      </c>
      <c r="BH161" s="451">
        <v>54120</v>
      </c>
      <c r="BI161" s="451">
        <v>0</v>
      </c>
      <c r="BJ161" s="451">
        <v>541203</v>
      </c>
      <c r="BK161" s="451">
        <v>270602</v>
      </c>
      <c r="BL161" s="451">
        <v>216481</v>
      </c>
      <c r="BM161" s="451">
        <v>54120</v>
      </c>
      <c r="BN161" s="451">
        <v>0</v>
      </c>
      <c r="BO161" s="451">
        <v>541203</v>
      </c>
      <c r="BP161" s="451">
        <v>0</v>
      </c>
      <c r="BQ161" s="451">
        <v>0</v>
      </c>
      <c r="BR161" s="451">
        <v>0</v>
      </c>
      <c r="BS161" s="451">
        <v>0</v>
      </c>
      <c r="BT161" s="451">
        <v>0</v>
      </c>
      <c r="BU161" s="451">
        <v>868137</v>
      </c>
      <c r="BV161" s="451">
        <v>694509</v>
      </c>
      <c r="BW161" s="451">
        <v>173627</v>
      </c>
      <c r="BX161" s="451">
        <v>0</v>
      </c>
      <c r="BY161" s="451">
        <v>1736273</v>
      </c>
      <c r="BZ161" s="451">
        <v>868137</v>
      </c>
      <c r="CA161" s="451">
        <v>694509</v>
      </c>
      <c r="CB161" s="451">
        <v>173627</v>
      </c>
      <c r="CC161" s="451">
        <v>0</v>
      </c>
      <c r="CD161" s="451">
        <v>1736273</v>
      </c>
      <c r="CE161" s="104"/>
      <c r="CF161" s="104"/>
      <c r="CG161" s="104"/>
    </row>
    <row r="162" spans="1:85" ht="12.75" x14ac:dyDescent="0.2">
      <c r="A162" s="446">
        <v>155</v>
      </c>
      <c r="B162" s="447" t="s">
        <v>193</v>
      </c>
      <c r="C162" s="448" t="s">
        <v>1100</v>
      </c>
      <c r="D162" s="449" t="s">
        <v>1095</v>
      </c>
      <c r="E162" s="450" t="s">
        <v>192</v>
      </c>
      <c r="F162" s="451">
        <v>84915105</v>
      </c>
      <c r="G162" s="451">
        <v>83216802</v>
      </c>
      <c r="H162" s="451">
        <v>0</v>
      </c>
      <c r="I162" s="451">
        <v>1698302</v>
      </c>
      <c r="J162" s="451">
        <v>169830209</v>
      </c>
      <c r="K162" s="451">
        <v>0</v>
      </c>
      <c r="L162" s="451">
        <v>0</v>
      </c>
      <c r="M162" s="451">
        <v>84915105</v>
      </c>
      <c r="N162" s="451">
        <v>169830209</v>
      </c>
      <c r="O162" s="451">
        <v>762931</v>
      </c>
      <c r="P162" s="451">
        <v>762931</v>
      </c>
      <c r="Q162" s="451">
        <v>0</v>
      </c>
      <c r="R162" s="451">
        <v>0</v>
      </c>
      <c r="S162" s="451">
        <v>0</v>
      </c>
      <c r="T162" s="451">
        <v>0</v>
      </c>
      <c r="U162" s="451">
        <v>0</v>
      </c>
      <c r="V162" s="451">
        <v>0</v>
      </c>
      <c r="W162" s="451">
        <v>0</v>
      </c>
      <c r="X162" s="451">
        <v>0</v>
      </c>
      <c r="Y162" s="451">
        <v>0</v>
      </c>
      <c r="Z162" s="451">
        <v>0</v>
      </c>
      <c r="AA162" s="451">
        <v>0</v>
      </c>
      <c r="AB162" s="451">
        <v>31624910</v>
      </c>
      <c r="AC162" s="451">
        <v>30992412</v>
      </c>
      <c r="AD162" s="451">
        <v>0</v>
      </c>
      <c r="AE162" s="451">
        <v>632498</v>
      </c>
      <c r="AF162" s="451">
        <v>63249820</v>
      </c>
      <c r="AG162" s="451">
        <v>5544321</v>
      </c>
      <c r="AH162" s="451">
        <v>5433434</v>
      </c>
      <c r="AI162" s="451">
        <v>0</v>
      </c>
      <c r="AJ162" s="451">
        <v>110886</v>
      </c>
      <c r="AK162" s="451">
        <v>11088641</v>
      </c>
      <c r="AL162" s="451">
        <v>23236539</v>
      </c>
      <c r="AM162" s="451">
        <v>22771809</v>
      </c>
      <c r="AN162" s="451">
        <v>0</v>
      </c>
      <c r="AO162" s="451">
        <v>464731</v>
      </c>
      <c r="AP162" s="451">
        <v>46473079</v>
      </c>
      <c r="AQ162" s="451">
        <v>1595607</v>
      </c>
      <c r="AR162" s="451">
        <v>1533034</v>
      </c>
      <c r="AS162" s="451">
        <v>0</v>
      </c>
      <c r="AT162" s="451">
        <v>0</v>
      </c>
      <c r="AU162" s="451">
        <v>3128641</v>
      </c>
      <c r="AV162" s="451">
        <v>24832146</v>
      </c>
      <c r="AW162" s="451">
        <v>24304843</v>
      </c>
      <c r="AX162" s="451">
        <v>0</v>
      </c>
      <c r="AY162" s="451">
        <v>464731</v>
      </c>
      <c r="AZ162" s="451">
        <v>49601720</v>
      </c>
      <c r="BA162" s="451">
        <v>0</v>
      </c>
      <c r="BB162" s="451">
        <v>0</v>
      </c>
      <c r="BC162" s="451">
        <v>0</v>
      </c>
      <c r="BD162" s="451">
        <v>0</v>
      </c>
      <c r="BE162" s="451">
        <v>0</v>
      </c>
      <c r="BF162" s="451">
        <v>1644251</v>
      </c>
      <c r="BG162" s="451">
        <v>1611366</v>
      </c>
      <c r="BH162" s="451">
        <v>0</v>
      </c>
      <c r="BI162" s="451">
        <v>32885</v>
      </c>
      <c r="BJ162" s="451">
        <v>3288502</v>
      </c>
      <c r="BK162" s="451">
        <v>1644251</v>
      </c>
      <c r="BL162" s="451">
        <v>1611366</v>
      </c>
      <c r="BM162" s="451">
        <v>0</v>
      </c>
      <c r="BN162" s="451">
        <v>32885</v>
      </c>
      <c r="BO162" s="451">
        <v>3288502</v>
      </c>
      <c r="BP162" s="451">
        <v>0</v>
      </c>
      <c r="BQ162" s="451">
        <v>0</v>
      </c>
      <c r="BR162" s="451">
        <v>0</v>
      </c>
      <c r="BS162" s="451">
        <v>0</v>
      </c>
      <c r="BT162" s="451">
        <v>0</v>
      </c>
      <c r="BU162" s="451">
        <v>5938504</v>
      </c>
      <c r="BV162" s="451">
        <v>5819733</v>
      </c>
      <c r="BW162" s="451">
        <v>0</v>
      </c>
      <c r="BX162" s="451">
        <v>118770</v>
      </c>
      <c r="BY162" s="451">
        <v>11877007</v>
      </c>
      <c r="BZ162" s="451">
        <v>5938504</v>
      </c>
      <c r="CA162" s="451">
        <v>5819733</v>
      </c>
      <c r="CB162" s="451">
        <v>0</v>
      </c>
      <c r="CC162" s="451">
        <v>118770</v>
      </c>
      <c r="CD162" s="451">
        <v>11877007</v>
      </c>
      <c r="CE162" s="104"/>
      <c r="CF162" s="104"/>
      <c r="CG162" s="104"/>
    </row>
    <row r="163" spans="1:85" ht="12.75" x14ac:dyDescent="0.2">
      <c r="A163" s="446">
        <v>156</v>
      </c>
      <c r="B163" s="447" t="s">
        <v>195</v>
      </c>
      <c r="C163" s="448" t="s">
        <v>794</v>
      </c>
      <c r="D163" s="449" t="s">
        <v>1097</v>
      </c>
      <c r="E163" s="450" t="s">
        <v>724</v>
      </c>
      <c r="F163" s="451">
        <v>31127209</v>
      </c>
      <c r="G163" s="451">
        <v>30504664</v>
      </c>
      <c r="H163" s="451">
        <v>0</v>
      </c>
      <c r="I163" s="451">
        <v>622544</v>
      </c>
      <c r="J163" s="451">
        <v>62254417</v>
      </c>
      <c r="K163" s="451">
        <v>0</v>
      </c>
      <c r="L163" s="451">
        <v>0</v>
      </c>
      <c r="M163" s="451">
        <v>31127209</v>
      </c>
      <c r="N163" s="451">
        <v>62254417</v>
      </c>
      <c r="O163" s="451">
        <v>259196</v>
      </c>
      <c r="P163" s="451">
        <v>259196</v>
      </c>
      <c r="Q163" s="451">
        <v>0</v>
      </c>
      <c r="R163" s="451">
        <v>0</v>
      </c>
      <c r="S163" s="451">
        <v>0</v>
      </c>
      <c r="T163" s="451">
        <v>0</v>
      </c>
      <c r="U163" s="451">
        <v>0</v>
      </c>
      <c r="V163" s="451">
        <v>0</v>
      </c>
      <c r="W163" s="451">
        <v>0</v>
      </c>
      <c r="X163" s="451">
        <v>0</v>
      </c>
      <c r="Y163" s="451">
        <v>0</v>
      </c>
      <c r="Z163" s="451">
        <v>0</v>
      </c>
      <c r="AA163" s="451">
        <v>0</v>
      </c>
      <c r="AB163" s="451">
        <v>5045959.5</v>
      </c>
      <c r="AC163" s="451">
        <v>4945040</v>
      </c>
      <c r="AD163" s="451">
        <v>0</v>
      </c>
      <c r="AE163" s="451">
        <v>100919</v>
      </c>
      <c r="AF163" s="451">
        <v>10091918.5</v>
      </c>
      <c r="AG163" s="451">
        <v>831974.99</v>
      </c>
      <c r="AH163" s="451">
        <v>815336</v>
      </c>
      <c r="AI163" s="451">
        <v>0</v>
      </c>
      <c r="AJ163" s="451">
        <v>16640</v>
      </c>
      <c r="AK163" s="451">
        <v>1663950.99</v>
      </c>
      <c r="AL163" s="451">
        <v>0</v>
      </c>
      <c r="AM163" s="451">
        <v>0</v>
      </c>
      <c r="AN163" s="451">
        <v>0</v>
      </c>
      <c r="AO163" s="451">
        <v>0</v>
      </c>
      <c r="AP163" s="451">
        <v>0</v>
      </c>
      <c r="AQ163" s="451">
        <v>-235500</v>
      </c>
      <c r="AR163" s="451">
        <v>-230790</v>
      </c>
      <c r="AS163" s="451">
        <v>0</v>
      </c>
      <c r="AT163" s="451">
        <v>-4710</v>
      </c>
      <c r="AU163" s="451">
        <v>-471000</v>
      </c>
      <c r="AV163" s="451">
        <v>-235500</v>
      </c>
      <c r="AW163" s="451">
        <v>-230790</v>
      </c>
      <c r="AX163" s="451">
        <v>0</v>
      </c>
      <c r="AY163" s="451">
        <v>-4710</v>
      </c>
      <c r="AZ163" s="451">
        <v>-471000</v>
      </c>
      <c r="BA163" s="451">
        <v>0</v>
      </c>
      <c r="BB163" s="451">
        <v>0</v>
      </c>
      <c r="BC163" s="451">
        <v>0</v>
      </c>
      <c r="BD163" s="451">
        <v>0</v>
      </c>
      <c r="BE163" s="451">
        <v>0</v>
      </c>
      <c r="BF163" s="451">
        <v>392641.17</v>
      </c>
      <c r="BG163" s="451">
        <v>384788</v>
      </c>
      <c r="BH163" s="451">
        <v>0</v>
      </c>
      <c r="BI163" s="451">
        <v>7853</v>
      </c>
      <c r="BJ163" s="451">
        <v>785282.17</v>
      </c>
      <c r="BK163" s="451">
        <v>392641.17</v>
      </c>
      <c r="BL163" s="451">
        <v>384788</v>
      </c>
      <c r="BM163" s="451">
        <v>0</v>
      </c>
      <c r="BN163" s="451">
        <v>7853</v>
      </c>
      <c r="BO163" s="451">
        <v>785282.17</v>
      </c>
      <c r="BP163" s="451">
        <v>0</v>
      </c>
      <c r="BQ163" s="451">
        <v>0</v>
      </c>
      <c r="BR163" s="451">
        <v>0</v>
      </c>
      <c r="BS163" s="451">
        <v>0</v>
      </c>
      <c r="BT163" s="451">
        <v>0</v>
      </c>
      <c r="BU163" s="451">
        <v>1541741.72</v>
      </c>
      <c r="BV163" s="451">
        <v>1510907</v>
      </c>
      <c r="BW163" s="451">
        <v>0</v>
      </c>
      <c r="BX163" s="451">
        <v>30835</v>
      </c>
      <c r="BY163" s="451">
        <v>3083483.72</v>
      </c>
      <c r="BZ163" s="451">
        <v>1541741.72</v>
      </c>
      <c r="CA163" s="451">
        <v>1510907</v>
      </c>
      <c r="CB163" s="451">
        <v>0</v>
      </c>
      <c r="CC163" s="451">
        <v>30835</v>
      </c>
      <c r="CD163" s="451">
        <v>3083483.72</v>
      </c>
      <c r="CE163" s="104"/>
      <c r="CF163" s="104"/>
      <c r="CG163" s="104"/>
    </row>
    <row r="164" spans="1:85" ht="12.75" x14ac:dyDescent="0.2">
      <c r="A164" s="446">
        <v>157</v>
      </c>
      <c r="B164" s="447" t="s">
        <v>197</v>
      </c>
      <c r="C164" s="448" t="s">
        <v>1093</v>
      </c>
      <c r="D164" s="449" t="s">
        <v>1094</v>
      </c>
      <c r="E164" s="450" t="s">
        <v>196</v>
      </c>
      <c r="F164" s="451">
        <v>26545620</v>
      </c>
      <c r="G164" s="451">
        <v>21236495</v>
      </c>
      <c r="H164" s="451">
        <v>4778211</v>
      </c>
      <c r="I164" s="451">
        <v>530912</v>
      </c>
      <c r="J164" s="451">
        <v>53091238</v>
      </c>
      <c r="K164" s="451">
        <v>0</v>
      </c>
      <c r="L164" s="451">
        <v>0</v>
      </c>
      <c r="M164" s="451">
        <v>26545620</v>
      </c>
      <c r="N164" s="451">
        <v>53091238</v>
      </c>
      <c r="O164" s="451">
        <v>206754</v>
      </c>
      <c r="P164" s="451">
        <v>206754</v>
      </c>
      <c r="Q164" s="451">
        <v>0</v>
      </c>
      <c r="R164" s="451">
        <v>0</v>
      </c>
      <c r="S164" s="451">
        <v>0</v>
      </c>
      <c r="T164" s="451">
        <v>0</v>
      </c>
      <c r="U164" s="451">
        <v>0</v>
      </c>
      <c r="V164" s="451">
        <v>0</v>
      </c>
      <c r="W164" s="451">
        <v>0</v>
      </c>
      <c r="X164" s="451">
        <v>0</v>
      </c>
      <c r="Y164" s="451">
        <v>0</v>
      </c>
      <c r="Z164" s="451">
        <v>0</v>
      </c>
      <c r="AA164" s="451">
        <v>0</v>
      </c>
      <c r="AB164" s="451">
        <v>1478199</v>
      </c>
      <c r="AC164" s="451">
        <v>1182559</v>
      </c>
      <c r="AD164" s="451">
        <v>266076</v>
      </c>
      <c r="AE164" s="451">
        <v>29564</v>
      </c>
      <c r="AF164" s="451">
        <v>2956398</v>
      </c>
      <c r="AG164" s="451">
        <v>300935</v>
      </c>
      <c r="AH164" s="451">
        <v>240748</v>
      </c>
      <c r="AI164" s="451">
        <v>54168</v>
      </c>
      <c r="AJ164" s="451">
        <v>6019</v>
      </c>
      <c r="AK164" s="451">
        <v>601870</v>
      </c>
      <c r="AL164" s="451">
        <v>1012911</v>
      </c>
      <c r="AM164" s="451">
        <v>810329</v>
      </c>
      <c r="AN164" s="451">
        <v>182324</v>
      </c>
      <c r="AO164" s="451">
        <v>20258</v>
      </c>
      <c r="AP164" s="451">
        <v>2025822</v>
      </c>
      <c r="AQ164" s="451">
        <v>-237871</v>
      </c>
      <c r="AR164" s="451">
        <v>-190297</v>
      </c>
      <c r="AS164" s="451">
        <v>-42817</v>
      </c>
      <c r="AT164" s="451">
        <v>-4757</v>
      </c>
      <c r="AU164" s="451">
        <v>-475742</v>
      </c>
      <c r="AV164" s="451">
        <v>775040</v>
      </c>
      <c r="AW164" s="451">
        <v>620032</v>
      </c>
      <c r="AX164" s="451">
        <v>139507</v>
      </c>
      <c r="AY164" s="451">
        <v>15501</v>
      </c>
      <c r="AZ164" s="451">
        <v>1550080</v>
      </c>
      <c r="BA164" s="451">
        <v>0</v>
      </c>
      <c r="BB164" s="451">
        <v>0</v>
      </c>
      <c r="BC164" s="451">
        <v>0</v>
      </c>
      <c r="BD164" s="451">
        <v>0</v>
      </c>
      <c r="BE164" s="451">
        <v>0</v>
      </c>
      <c r="BF164" s="451">
        <v>365592</v>
      </c>
      <c r="BG164" s="451">
        <v>292473</v>
      </c>
      <c r="BH164" s="451">
        <v>65806</v>
      </c>
      <c r="BI164" s="451">
        <v>7312</v>
      </c>
      <c r="BJ164" s="451">
        <v>731183</v>
      </c>
      <c r="BK164" s="451">
        <v>365592</v>
      </c>
      <c r="BL164" s="451">
        <v>292473</v>
      </c>
      <c r="BM164" s="451">
        <v>65806</v>
      </c>
      <c r="BN164" s="451">
        <v>7312</v>
      </c>
      <c r="BO164" s="451">
        <v>731183</v>
      </c>
      <c r="BP164" s="451">
        <v>0</v>
      </c>
      <c r="BQ164" s="451">
        <v>0</v>
      </c>
      <c r="BR164" s="451">
        <v>0</v>
      </c>
      <c r="BS164" s="451">
        <v>0</v>
      </c>
      <c r="BT164" s="451">
        <v>0</v>
      </c>
      <c r="BU164" s="451">
        <v>1073328</v>
      </c>
      <c r="BV164" s="451">
        <v>858663</v>
      </c>
      <c r="BW164" s="451">
        <v>193199</v>
      </c>
      <c r="BX164" s="451">
        <v>21467</v>
      </c>
      <c r="BY164" s="451">
        <v>2146657</v>
      </c>
      <c r="BZ164" s="451">
        <v>1073328</v>
      </c>
      <c r="CA164" s="451">
        <v>858663</v>
      </c>
      <c r="CB164" s="451">
        <v>193199</v>
      </c>
      <c r="CC164" s="451">
        <v>21467</v>
      </c>
      <c r="CD164" s="451">
        <v>2146657</v>
      </c>
      <c r="CE164" s="104"/>
      <c r="CF164" s="104"/>
      <c r="CG164" s="104"/>
    </row>
    <row r="165" spans="1:85" ht="12.75" x14ac:dyDescent="0.2">
      <c r="A165" s="446">
        <v>158</v>
      </c>
      <c r="B165" s="447" t="s">
        <v>199</v>
      </c>
      <c r="C165" s="448" t="s">
        <v>1093</v>
      </c>
      <c r="D165" s="449" t="s">
        <v>1097</v>
      </c>
      <c r="E165" s="450" t="s">
        <v>198</v>
      </c>
      <c r="F165" s="451">
        <v>6469833</v>
      </c>
      <c r="G165" s="451">
        <v>5175867</v>
      </c>
      <c r="H165" s="451">
        <v>1164570</v>
      </c>
      <c r="I165" s="451">
        <v>129397</v>
      </c>
      <c r="J165" s="451">
        <v>12939667</v>
      </c>
      <c r="K165" s="451">
        <v>0</v>
      </c>
      <c r="L165" s="451">
        <v>0</v>
      </c>
      <c r="M165" s="451">
        <v>6469833</v>
      </c>
      <c r="N165" s="451">
        <v>12939667</v>
      </c>
      <c r="O165" s="451">
        <v>92237</v>
      </c>
      <c r="P165" s="451">
        <v>92237</v>
      </c>
      <c r="Q165" s="451">
        <v>0</v>
      </c>
      <c r="R165" s="451">
        <v>0</v>
      </c>
      <c r="S165" s="451">
        <v>0</v>
      </c>
      <c r="T165" s="451">
        <v>0</v>
      </c>
      <c r="U165" s="451">
        <v>164760</v>
      </c>
      <c r="V165" s="451">
        <v>0</v>
      </c>
      <c r="W165" s="451">
        <v>164760</v>
      </c>
      <c r="X165" s="451">
        <v>0</v>
      </c>
      <c r="Y165" s="451">
        <v>0</v>
      </c>
      <c r="Z165" s="451">
        <v>0</v>
      </c>
      <c r="AA165" s="451">
        <v>0</v>
      </c>
      <c r="AB165" s="451">
        <v>300699</v>
      </c>
      <c r="AC165" s="451">
        <v>240560</v>
      </c>
      <c r="AD165" s="451">
        <v>54126</v>
      </c>
      <c r="AE165" s="451">
        <v>6014</v>
      </c>
      <c r="AF165" s="451">
        <v>601399</v>
      </c>
      <c r="AG165" s="451">
        <v>148804.19</v>
      </c>
      <c r="AH165" s="451">
        <v>119043</v>
      </c>
      <c r="AI165" s="451">
        <v>26785</v>
      </c>
      <c r="AJ165" s="451">
        <v>2976</v>
      </c>
      <c r="AK165" s="451">
        <v>297608.19</v>
      </c>
      <c r="AL165" s="451">
        <v>0</v>
      </c>
      <c r="AM165" s="451">
        <v>0</v>
      </c>
      <c r="AN165" s="451">
        <v>0</v>
      </c>
      <c r="AO165" s="451">
        <v>0</v>
      </c>
      <c r="AP165" s="451">
        <v>0</v>
      </c>
      <c r="AQ165" s="451">
        <v>-34940</v>
      </c>
      <c r="AR165" s="451">
        <v>-27952</v>
      </c>
      <c r="AS165" s="451">
        <v>-6289</v>
      </c>
      <c r="AT165" s="451">
        <v>-699</v>
      </c>
      <c r="AU165" s="451">
        <v>-69880</v>
      </c>
      <c r="AV165" s="451">
        <v>-34940</v>
      </c>
      <c r="AW165" s="451">
        <v>-27952</v>
      </c>
      <c r="AX165" s="451">
        <v>-6289</v>
      </c>
      <c r="AY165" s="451">
        <v>-699</v>
      </c>
      <c r="AZ165" s="451">
        <v>-69880</v>
      </c>
      <c r="BA165" s="451">
        <v>0</v>
      </c>
      <c r="BB165" s="451">
        <v>0</v>
      </c>
      <c r="BC165" s="451">
        <v>0</v>
      </c>
      <c r="BD165" s="451">
        <v>0</v>
      </c>
      <c r="BE165" s="451">
        <v>0</v>
      </c>
      <c r="BF165" s="451">
        <v>37347</v>
      </c>
      <c r="BG165" s="451">
        <v>29878</v>
      </c>
      <c r="BH165" s="451">
        <v>6722</v>
      </c>
      <c r="BI165" s="451">
        <v>747</v>
      </c>
      <c r="BJ165" s="451">
        <v>74694</v>
      </c>
      <c r="BK165" s="451">
        <v>37347</v>
      </c>
      <c r="BL165" s="451">
        <v>29878</v>
      </c>
      <c r="BM165" s="451">
        <v>6722</v>
      </c>
      <c r="BN165" s="451">
        <v>747</v>
      </c>
      <c r="BO165" s="451">
        <v>74694</v>
      </c>
      <c r="BP165" s="451">
        <v>0</v>
      </c>
      <c r="BQ165" s="451">
        <v>0</v>
      </c>
      <c r="BR165" s="451">
        <v>0</v>
      </c>
      <c r="BS165" s="451">
        <v>0</v>
      </c>
      <c r="BT165" s="451">
        <v>0</v>
      </c>
      <c r="BU165" s="451">
        <v>97907</v>
      </c>
      <c r="BV165" s="451">
        <v>78325</v>
      </c>
      <c r="BW165" s="451">
        <v>17623</v>
      </c>
      <c r="BX165" s="451">
        <v>1958</v>
      </c>
      <c r="BY165" s="451">
        <v>195813</v>
      </c>
      <c r="BZ165" s="451">
        <v>97907</v>
      </c>
      <c r="CA165" s="451">
        <v>78325</v>
      </c>
      <c r="CB165" s="451">
        <v>17623</v>
      </c>
      <c r="CC165" s="451">
        <v>1958</v>
      </c>
      <c r="CD165" s="451">
        <v>195813</v>
      </c>
      <c r="CE165" s="104"/>
      <c r="CF165" s="104"/>
      <c r="CG165" s="104"/>
    </row>
    <row r="166" spans="1:85" ht="12.75" x14ac:dyDescent="0.2">
      <c r="A166" s="446">
        <v>159</v>
      </c>
      <c r="B166" s="447" t="s">
        <v>201</v>
      </c>
      <c r="C166" s="448" t="s">
        <v>1093</v>
      </c>
      <c r="D166" s="449" t="s">
        <v>1103</v>
      </c>
      <c r="E166" s="450" t="s">
        <v>1117</v>
      </c>
      <c r="F166" s="451">
        <v>6899709</v>
      </c>
      <c r="G166" s="451">
        <v>5519767</v>
      </c>
      <c r="H166" s="451">
        <v>1241948</v>
      </c>
      <c r="I166" s="451">
        <v>137994</v>
      </c>
      <c r="J166" s="451">
        <v>13799418</v>
      </c>
      <c r="K166" s="451">
        <v>0</v>
      </c>
      <c r="L166" s="451">
        <v>0</v>
      </c>
      <c r="M166" s="451">
        <v>6899709</v>
      </c>
      <c r="N166" s="451">
        <v>13799418</v>
      </c>
      <c r="O166" s="451">
        <v>107953</v>
      </c>
      <c r="P166" s="451">
        <v>107953</v>
      </c>
      <c r="Q166" s="451">
        <v>0</v>
      </c>
      <c r="R166" s="451">
        <v>0</v>
      </c>
      <c r="S166" s="451">
        <v>0</v>
      </c>
      <c r="T166" s="451">
        <v>0</v>
      </c>
      <c r="U166" s="451">
        <v>0</v>
      </c>
      <c r="V166" s="451">
        <v>0</v>
      </c>
      <c r="W166" s="451">
        <v>0</v>
      </c>
      <c r="X166" s="451">
        <v>0</v>
      </c>
      <c r="Y166" s="451">
        <v>0</v>
      </c>
      <c r="Z166" s="451">
        <v>0</v>
      </c>
      <c r="AA166" s="451">
        <v>0</v>
      </c>
      <c r="AB166" s="451">
        <v>163164</v>
      </c>
      <c r="AC166" s="451">
        <v>130532</v>
      </c>
      <c r="AD166" s="451">
        <v>29370</v>
      </c>
      <c r="AE166" s="451">
        <v>3263</v>
      </c>
      <c r="AF166" s="451">
        <v>326329</v>
      </c>
      <c r="AG166" s="451">
        <v>69175</v>
      </c>
      <c r="AH166" s="451">
        <v>55341</v>
      </c>
      <c r="AI166" s="451">
        <v>12452</v>
      </c>
      <c r="AJ166" s="451">
        <v>1384</v>
      </c>
      <c r="AK166" s="451">
        <v>138352</v>
      </c>
      <c r="AL166" s="451">
        <v>147384</v>
      </c>
      <c r="AM166" s="451">
        <v>117907</v>
      </c>
      <c r="AN166" s="451">
        <v>26529</v>
      </c>
      <c r="AO166" s="451">
        <v>2948</v>
      </c>
      <c r="AP166" s="451">
        <v>294768</v>
      </c>
      <c r="AQ166" s="451">
        <v>0</v>
      </c>
      <c r="AR166" s="451">
        <v>0</v>
      </c>
      <c r="AS166" s="451">
        <v>0</v>
      </c>
      <c r="AT166" s="451">
        <v>0</v>
      </c>
      <c r="AU166" s="451">
        <v>0</v>
      </c>
      <c r="AV166" s="451">
        <v>147384</v>
      </c>
      <c r="AW166" s="451">
        <v>117907</v>
      </c>
      <c r="AX166" s="451">
        <v>26529</v>
      </c>
      <c r="AY166" s="451">
        <v>2948</v>
      </c>
      <c r="AZ166" s="451">
        <v>294768</v>
      </c>
      <c r="BA166" s="451">
        <v>0</v>
      </c>
      <c r="BB166" s="451">
        <v>0</v>
      </c>
      <c r="BC166" s="451">
        <v>0</v>
      </c>
      <c r="BD166" s="451">
        <v>0</v>
      </c>
      <c r="BE166" s="451">
        <v>0</v>
      </c>
      <c r="BF166" s="451">
        <v>70622</v>
      </c>
      <c r="BG166" s="451">
        <v>56498</v>
      </c>
      <c r="BH166" s="451">
        <v>12712</v>
      </c>
      <c r="BI166" s="451">
        <v>1412</v>
      </c>
      <c r="BJ166" s="451">
        <v>141244</v>
      </c>
      <c r="BK166" s="451">
        <v>70622</v>
      </c>
      <c r="BL166" s="451">
        <v>56498</v>
      </c>
      <c r="BM166" s="451">
        <v>12712</v>
      </c>
      <c r="BN166" s="451">
        <v>1412</v>
      </c>
      <c r="BO166" s="451">
        <v>141244</v>
      </c>
      <c r="BP166" s="451">
        <v>0</v>
      </c>
      <c r="BQ166" s="451">
        <v>0</v>
      </c>
      <c r="BR166" s="451">
        <v>0</v>
      </c>
      <c r="BS166" s="451">
        <v>0</v>
      </c>
      <c r="BT166" s="451">
        <v>0</v>
      </c>
      <c r="BU166" s="451">
        <v>229643</v>
      </c>
      <c r="BV166" s="451">
        <v>183715</v>
      </c>
      <c r="BW166" s="451">
        <v>41336</v>
      </c>
      <c r="BX166" s="451">
        <v>4593</v>
      </c>
      <c r="BY166" s="451">
        <v>459287</v>
      </c>
      <c r="BZ166" s="451">
        <v>229643</v>
      </c>
      <c r="CA166" s="451">
        <v>183715</v>
      </c>
      <c r="CB166" s="451">
        <v>41336</v>
      </c>
      <c r="CC166" s="451">
        <v>4593</v>
      </c>
      <c r="CD166" s="451">
        <v>459287</v>
      </c>
      <c r="CE166" s="104"/>
      <c r="CF166" s="104"/>
      <c r="CG166" s="104"/>
    </row>
    <row r="167" spans="1:85" ht="12.75" x14ac:dyDescent="0.2">
      <c r="A167" s="446">
        <v>160</v>
      </c>
      <c r="B167" s="447" t="s">
        <v>203</v>
      </c>
      <c r="C167" s="448" t="s">
        <v>1100</v>
      </c>
      <c r="D167" s="449" t="s">
        <v>1095</v>
      </c>
      <c r="E167" s="450" t="s">
        <v>202</v>
      </c>
      <c r="F167" s="451">
        <v>99350121</v>
      </c>
      <c r="G167" s="451">
        <v>97363119</v>
      </c>
      <c r="H167" s="451">
        <v>0</v>
      </c>
      <c r="I167" s="451">
        <v>1987002</v>
      </c>
      <c r="J167" s="451">
        <v>198700242</v>
      </c>
      <c r="K167" s="451">
        <v>302645</v>
      </c>
      <c r="L167" s="451">
        <v>302645</v>
      </c>
      <c r="M167" s="451">
        <v>99047476</v>
      </c>
      <c r="N167" s="451">
        <v>198397597</v>
      </c>
      <c r="O167" s="451">
        <v>1108164</v>
      </c>
      <c r="P167" s="451">
        <v>1108164</v>
      </c>
      <c r="Q167" s="451">
        <v>0</v>
      </c>
      <c r="R167" s="451">
        <v>0</v>
      </c>
      <c r="S167" s="451">
        <v>0</v>
      </c>
      <c r="T167" s="451">
        <v>0</v>
      </c>
      <c r="U167" s="451">
        <v>0</v>
      </c>
      <c r="V167" s="451">
        <v>0</v>
      </c>
      <c r="W167" s="451">
        <v>0</v>
      </c>
      <c r="X167" s="451">
        <v>302645</v>
      </c>
      <c r="Y167" s="451">
        <v>0</v>
      </c>
      <c r="Z167" s="451">
        <v>0</v>
      </c>
      <c r="AA167" s="451">
        <v>302645</v>
      </c>
      <c r="AB167" s="451">
        <v>9235944</v>
      </c>
      <c r="AC167" s="451">
        <v>9051226</v>
      </c>
      <c r="AD167" s="451">
        <v>0</v>
      </c>
      <c r="AE167" s="451">
        <v>184719</v>
      </c>
      <c r="AF167" s="451">
        <v>18471889</v>
      </c>
      <c r="AG167" s="451">
        <v>4646563</v>
      </c>
      <c r="AH167" s="451">
        <v>4553632</v>
      </c>
      <c r="AI167" s="451">
        <v>0</v>
      </c>
      <c r="AJ167" s="451">
        <v>92931</v>
      </c>
      <c r="AK167" s="451">
        <v>9293126</v>
      </c>
      <c r="AL167" s="451">
        <v>0</v>
      </c>
      <c r="AM167" s="451">
        <v>0</v>
      </c>
      <c r="AN167" s="451">
        <v>0</v>
      </c>
      <c r="AO167" s="451">
        <v>0</v>
      </c>
      <c r="AP167" s="451">
        <v>0</v>
      </c>
      <c r="AQ167" s="451">
        <v>-610872</v>
      </c>
      <c r="AR167" s="451">
        <v>-598654</v>
      </c>
      <c r="AS167" s="451">
        <v>0</v>
      </c>
      <c r="AT167" s="451">
        <v>-12217</v>
      </c>
      <c r="AU167" s="451">
        <v>-1221743</v>
      </c>
      <c r="AV167" s="451">
        <v>-610872</v>
      </c>
      <c r="AW167" s="451">
        <v>-598654</v>
      </c>
      <c r="AX167" s="451">
        <v>0</v>
      </c>
      <c r="AY167" s="451">
        <v>-12217</v>
      </c>
      <c r="AZ167" s="451">
        <v>-1221743</v>
      </c>
      <c r="BA167" s="451">
        <v>0</v>
      </c>
      <c r="BB167" s="451">
        <v>0</v>
      </c>
      <c r="BC167" s="451">
        <v>0</v>
      </c>
      <c r="BD167" s="451">
        <v>0</v>
      </c>
      <c r="BE167" s="451">
        <v>0</v>
      </c>
      <c r="BF167" s="451">
        <v>15892743</v>
      </c>
      <c r="BG167" s="451">
        <v>15574888</v>
      </c>
      <c r="BH167" s="451">
        <v>0</v>
      </c>
      <c r="BI167" s="451">
        <v>317855</v>
      </c>
      <c r="BJ167" s="451">
        <v>31785486</v>
      </c>
      <c r="BK167" s="451">
        <v>15892743</v>
      </c>
      <c r="BL167" s="451">
        <v>15574888</v>
      </c>
      <c r="BM167" s="451">
        <v>0</v>
      </c>
      <c r="BN167" s="451">
        <v>317855</v>
      </c>
      <c r="BO167" s="451">
        <v>31785486</v>
      </c>
      <c r="BP167" s="451">
        <v>0</v>
      </c>
      <c r="BQ167" s="451">
        <v>0</v>
      </c>
      <c r="BR167" s="451">
        <v>0</v>
      </c>
      <c r="BS167" s="451">
        <v>0</v>
      </c>
      <c r="BT167" s="451">
        <v>0</v>
      </c>
      <c r="BU167" s="451">
        <v>39864978</v>
      </c>
      <c r="BV167" s="451">
        <v>39067678</v>
      </c>
      <c r="BW167" s="451">
        <v>0</v>
      </c>
      <c r="BX167" s="451">
        <v>797300</v>
      </c>
      <c r="BY167" s="451">
        <v>79729956</v>
      </c>
      <c r="BZ167" s="451">
        <v>39864978</v>
      </c>
      <c r="CA167" s="451">
        <v>39067678</v>
      </c>
      <c r="CB167" s="451">
        <v>0</v>
      </c>
      <c r="CC167" s="451">
        <v>797300</v>
      </c>
      <c r="CD167" s="451">
        <v>79729956</v>
      </c>
      <c r="CE167" s="104"/>
      <c r="CF167" s="104"/>
      <c r="CG167" s="104"/>
    </row>
    <row r="168" spans="1:85" ht="12.75" x14ac:dyDescent="0.2">
      <c r="A168" s="446">
        <v>161</v>
      </c>
      <c r="B168" s="447" t="s">
        <v>205</v>
      </c>
      <c r="C168" s="448" t="s">
        <v>1093</v>
      </c>
      <c r="D168" s="449" t="s">
        <v>1096</v>
      </c>
      <c r="E168" s="450" t="s">
        <v>204</v>
      </c>
      <c r="F168" s="451">
        <v>13182088</v>
      </c>
      <c r="G168" s="451">
        <v>10545671</v>
      </c>
      <c r="H168" s="451">
        <v>2372776</v>
      </c>
      <c r="I168" s="451">
        <v>263642</v>
      </c>
      <c r="J168" s="451">
        <v>26364177</v>
      </c>
      <c r="K168" s="451">
        <v>0</v>
      </c>
      <c r="L168" s="451">
        <v>0</v>
      </c>
      <c r="M168" s="451">
        <v>13182088</v>
      </c>
      <c r="N168" s="451">
        <v>26364177</v>
      </c>
      <c r="O168" s="451">
        <v>129143</v>
      </c>
      <c r="P168" s="451">
        <v>129143</v>
      </c>
      <c r="Q168" s="451">
        <v>0</v>
      </c>
      <c r="R168" s="451">
        <v>0</v>
      </c>
      <c r="S168" s="451">
        <v>0</v>
      </c>
      <c r="T168" s="451">
        <v>0</v>
      </c>
      <c r="U168" s="451">
        <v>0</v>
      </c>
      <c r="V168" s="451">
        <v>0</v>
      </c>
      <c r="W168" s="451">
        <v>0</v>
      </c>
      <c r="X168" s="451">
        <v>0</v>
      </c>
      <c r="Y168" s="451">
        <v>0</v>
      </c>
      <c r="Z168" s="451">
        <v>0</v>
      </c>
      <c r="AA168" s="451">
        <v>0</v>
      </c>
      <c r="AB168" s="451">
        <v>312911</v>
      </c>
      <c r="AC168" s="451">
        <v>250329</v>
      </c>
      <c r="AD168" s="451">
        <v>56324</v>
      </c>
      <c r="AE168" s="451">
        <v>6258</v>
      </c>
      <c r="AF168" s="451">
        <v>625822</v>
      </c>
      <c r="AG168" s="451">
        <v>20157</v>
      </c>
      <c r="AH168" s="451">
        <v>16125</v>
      </c>
      <c r="AI168" s="451">
        <v>3628</v>
      </c>
      <c r="AJ168" s="451">
        <v>403</v>
      </c>
      <c r="AK168" s="451">
        <v>40313</v>
      </c>
      <c r="AL168" s="451">
        <v>381268</v>
      </c>
      <c r="AM168" s="451">
        <v>305014</v>
      </c>
      <c r="AN168" s="451">
        <v>68628</v>
      </c>
      <c r="AO168" s="451">
        <v>7625</v>
      </c>
      <c r="AP168" s="451">
        <v>762535</v>
      </c>
      <c r="AQ168" s="451">
        <v>-59682</v>
      </c>
      <c r="AR168" s="451">
        <v>-47746</v>
      </c>
      <c r="AS168" s="451">
        <v>-10743</v>
      </c>
      <c r="AT168" s="451">
        <v>-1194</v>
      </c>
      <c r="AU168" s="451">
        <v>-119365</v>
      </c>
      <c r="AV168" s="451">
        <v>321586</v>
      </c>
      <c r="AW168" s="451">
        <v>257268</v>
      </c>
      <c r="AX168" s="451">
        <v>57885</v>
      </c>
      <c r="AY168" s="451">
        <v>6431</v>
      </c>
      <c r="AZ168" s="451">
        <v>643170</v>
      </c>
      <c r="BA168" s="451">
        <v>0</v>
      </c>
      <c r="BB168" s="451">
        <v>0</v>
      </c>
      <c r="BC168" s="451">
        <v>0</v>
      </c>
      <c r="BD168" s="451">
        <v>0</v>
      </c>
      <c r="BE168" s="451">
        <v>0</v>
      </c>
      <c r="BF168" s="451">
        <v>181741</v>
      </c>
      <c r="BG168" s="451">
        <v>145394</v>
      </c>
      <c r="BH168" s="451">
        <v>32714</v>
      </c>
      <c r="BI168" s="451">
        <v>3635</v>
      </c>
      <c r="BJ168" s="451">
        <v>363484</v>
      </c>
      <c r="BK168" s="451">
        <v>181741</v>
      </c>
      <c r="BL168" s="451">
        <v>145394</v>
      </c>
      <c r="BM168" s="451">
        <v>32714</v>
      </c>
      <c r="BN168" s="451">
        <v>3635</v>
      </c>
      <c r="BO168" s="451">
        <v>363484</v>
      </c>
      <c r="BP168" s="451">
        <v>0</v>
      </c>
      <c r="BQ168" s="451">
        <v>0</v>
      </c>
      <c r="BR168" s="451">
        <v>0</v>
      </c>
      <c r="BS168" s="451">
        <v>0</v>
      </c>
      <c r="BT168" s="451">
        <v>0</v>
      </c>
      <c r="BU168" s="451">
        <v>503552</v>
      </c>
      <c r="BV168" s="451">
        <v>402842</v>
      </c>
      <c r="BW168" s="451">
        <v>90639</v>
      </c>
      <c r="BX168" s="451">
        <v>10071</v>
      </c>
      <c r="BY168" s="451">
        <v>1007104</v>
      </c>
      <c r="BZ168" s="451">
        <v>503552</v>
      </c>
      <c r="CA168" s="451">
        <v>402842</v>
      </c>
      <c r="CB168" s="451">
        <v>90639</v>
      </c>
      <c r="CC168" s="451">
        <v>10071</v>
      </c>
      <c r="CD168" s="451">
        <v>1007104</v>
      </c>
      <c r="CE168" s="104"/>
      <c r="CF168" s="104"/>
      <c r="CG168" s="104"/>
    </row>
    <row r="169" spans="1:85" ht="12.75" x14ac:dyDescent="0.2">
      <c r="A169" s="446">
        <v>162</v>
      </c>
      <c r="B169" s="447" t="s">
        <v>207</v>
      </c>
      <c r="C169" s="448" t="s">
        <v>794</v>
      </c>
      <c r="D169" s="449" t="s">
        <v>1094</v>
      </c>
      <c r="E169" s="450" t="s">
        <v>725</v>
      </c>
      <c r="F169" s="451">
        <v>38591436</v>
      </c>
      <c r="G169" s="451">
        <v>37819608</v>
      </c>
      <c r="H169" s="451">
        <v>0</v>
      </c>
      <c r="I169" s="451">
        <v>771829</v>
      </c>
      <c r="J169" s="451">
        <v>77182873</v>
      </c>
      <c r="K169" s="451">
        <v>0</v>
      </c>
      <c r="L169" s="451">
        <v>0</v>
      </c>
      <c r="M169" s="451">
        <v>38591436</v>
      </c>
      <c r="N169" s="451">
        <v>77182873</v>
      </c>
      <c r="O169" s="451">
        <v>292567</v>
      </c>
      <c r="P169" s="451">
        <v>292567</v>
      </c>
      <c r="Q169" s="451">
        <v>0</v>
      </c>
      <c r="R169" s="451">
        <v>0</v>
      </c>
      <c r="S169" s="451">
        <v>0</v>
      </c>
      <c r="T169" s="451">
        <v>0</v>
      </c>
      <c r="U169" s="451">
        <v>0</v>
      </c>
      <c r="V169" s="451">
        <v>0</v>
      </c>
      <c r="W169" s="451">
        <v>0</v>
      </c>
      <c r="X169" s="451">
        <v>0</v>
      </c>
      <c r="Y169" s="451">
        <v>0</v>
      </c>
      <c r="Z169" s="451">
        <v>0</v>
      </c>
      <c r="AA169" s="451">
        <v>0</v>
      </c>
      <c r="AB169" s="451">
        <v>2599677</v>
      </c>
      <c r="AC169" s="451">
        <v>2547684</v>
      </c>
      <c r="AD169" s="451">
        <v>0</v>
      </c>
      <c r="AE169" s="451">
        <v>51994</v>
      </c>
      <c r="AF169" s="451">
        <v>5199355</v>
      </c>
      <c r="AG169" s="451">
        <v>656185</v>
      </c>
      <c r="AH169" s="451">
        <v>643061</v>
      </c>
      <c r="AI169" s="451">
        <v>0</v>
      </c>
      <c r="AJ169" s="451">
        <v>13124</v>
      </c>
      <c r="AK169" s="451">
        <v>1312370</v>
      </c>
      <c r="AL169" s="451">
        <v>1212938</v>
      </c>
      <c r="AM169" s="451">
        <v>1188680</v>
      </c>
      <c r="AN169" s="451">
        <v>0</v>
      </c>
      <c r="AO169" s="451">
        <v>24259</v>
      </c>
      <c r="AP169" s="451">
        <v>2425877</v>
      </c>
      <c r="AQ169" s="451">
        <v>53532</v>
      </c>
      <c r="AR169" s="451">
        <v>52462</v>
      </c>
      <c r="AS169" s="451">
        <v>0</v>
      </c>
      <c r="AT169" s="451">
        <v>1071</v>
      </c>
      <c r="AU169" s="451">
        <v>107065</v>
      </c>
      <c r="AV169" s="451">
        <v>1266470</v>
      </c>
      <c r="AW169" s="451">
        <v>1241142</v>
      </c>
      <c r="AX169" s="451">
        <v>0</v>
      </c>
      <c r="AY169" s="451">
        <v>25330</v>
      </c>
      <c r="AZ169" s="451">
        <v>2532942</v>
      </c>
      <c r="BA169" s="451">
        <v>0</v>
      </c>
      <c r="BB169" s="451">
        <v>0</v>
      </c>
      <c r="BC169" s="451">
        <v>0</v>
      </c>
      <c r="BD169" s="451">
        <v>0</v>
      </c>
      <c r="BE169" s="451">
        <v>0</v>
      </c>
      <c r="BF169" s="451">
        <v>1204149</v>
      </c>
      <c r="BG169" s="451">
        <v>1180067</v>
      </c>
      <c r="BH169" s="451">
        <v>0</v>
      </c>
      <c r="BI169" s="451">
        <v>24083</v>
      </c>
      <c r="BJ169" s="451">
        <v>2408299</v>
      </c>
      <c r="BK169" s="451">
        <v>1204149</v>
      </c>
      <c r="BL169" s="451">
        <v>1180067</v>
      </c>
      <c r="BM169" s="451">
        <v>0</v>
      </c>
      <c r="BN169" s="451">
        <v>24083</v>
      </c>
      <c r="BO169" s="451">
        <v>2408299</v>
      </c>
      <c r="BP169" s="451">
        <v>0</v>
      </c>
      <c r="BQ169" s="451">
        <v>0</v>
      </c>
      <c r="BR169" s="451">
        <v>0</v>
      </c>
      <c r="BS169" s="451">
        <v>0</v>
      </c>
      <c r="BT169" s="451">
        <v>0</v>
      </c>
      <c r="BU169" s="451">
        <v>3414024</v>
      </c>
      <c r="BV169" s="451">
        <v>3345745</v>
      </c>
      <c r="BW169" s="451">
        <v>0</v>
      </c>
      <c r="BX169" s="451">
        <v>68281</v>
      </c>
      <c r="BY169" s="451">
        <v>6828050</v>
      </c>
      <c r="BZ169" s="451">
        <v>3414024</v>
      </c>
      <c r="CA169" s="451">
        <v>3345745</v>
      </c>
      <c r="CB169" s="451">
        <v>0</v>
      </c>
      <c r="CC169" s="451">
        <v>68281</v>
      </c>
      <c r="CD169" s="451">
        <v>6828050</v>
      </c>
      <c r="CE169" s="104"/>
      <c r="CF169" s="104"/>
      <c r="CG169" s="104"/>
    </row>
    <row r="170" spans="1:85" ht="12.75" x14ac:dyDescent="0.2">
      <c r="A170" s="446">
        <v>163</v>
      </c>
      <c r="B170" s="447" t="s">
        <v>209</v>
      </c>
      <c r="C170" s="448" t="s">
        <v>1093</v>
      </c>
      <c r="D170" s="449" t="s">
        <v>1096</v>
      </c>
      <c r="E170" s="450" t="s">
        <v>208</v>
      </c>
      <c r="F170" s="451">
        <v>6087297</v>
      </c>
      <c r="G170" s="451">
        <v>4869838</v>
      </c>
      <c r="H170" s="451">
        <v>1095714</v>
      </c>
      <c r="I170" s="451">
        <v>121746</v>
      </c>
      <c r="J170" s="451">
        <v>12174595</v>
      </c>
      <c r="K170" s="451">
        <v>0</v>
      </c>
      <c r="L170" s="451">
        <v>0</v>
      </c>
      <c r="M170" s="451">
        <v>6087297</v>
      </c>
      <c r="N170" s="451">
        <v>12174595</v>
      </c>
      <c r="O170" s="451">
        <v>61924</v>
      </c>
      <c r="P170" s="451">
        <v>61924</v>
      </c>
      <c r="Q170" s="451">
        <v>0</v>
      </c>
      <c r="R170" s="451">
        <v>0</v>
      </c>
      <c r="S170" s="451">
        <v>0</v>
      </c>
      <c r="T170" s="451">
        <v>0</v>
      </c>
      <c r="U170" s="451">
        <v>0</v>
      </c>
      <c r="V170" s="451">
        <v>0</v>
      </c>
      <c r="W170" s="451">
        <v>0</v>
      </c>
      <c r="X170" s="451">
        <v>0</v>
      </c>
      <c r="Y170" s="451">
        <v>0</v>
      </c>
      <c r="Z170" s="451">
        <v>0</v>
      </c>
      <c r="AA170" s="451">
        <v>0</v>
      </c>
      <c r="AB170" s="451">
        <v>404609</v>
      </c>
      <c r="AC170" s="451">
        <v>323688</v>
      </c>
      <c r="AD170" s="451">
        <v>72830</v>
      </c>
      <c r="AE170" s="451">
        <v>8092</v>
      </c>
      <c r="AF170" s="451">
        <v>809219</v>
      </c>
      <c r="AG170" s="451">
        <v>234786.69</v>
      </c>
      <c r="AH170" s="451">
        <v>187830</v>
      </c>
      <c r="AI170" s="451">
        <v>42262</v>
      </c>
      <c r="AJ170" s="451">
        <v>4696</v>
      </c>
      <c r="AK170" s="451">
        <v>469574.69</v>
      </c>
      <c r="AL170" s="451">
        <v>46230</v>
      </c>
      <c r="AM170" s="451">
        <v>36984</v>
      </c>
      <c r="AN170" s="451">
        <v>8321</v>
      </c>
      <c r="AO170" s="451">
        <v>925</v>
      </c>
      <c r="AP170" s="451">
        <v>92460</v>
      </c>
      <c r="AQ170" s="451">
        <v>34221</v>
      </c>
      <c r="AR170" s="451">
        <v>27377</v>
      </c>
      <c r="AS170" s="451">
        <v>6160</v>
      </c>
      <c r="AT170" s="451">
        <v>684</v>
      </c>
      <c r="AU170" s="451">
        <v>68442</v>
      </c>
      <c r="AV170" s="451">
        <v>80451</v>
      </c>
      <c r="AW170" s="451">
        <v>64361</v>
      </c>
      <c r="AX170" s="451">
        <v>14481</v>
      </c>
      <c r="AY170" s="451">
        <v>1609</v>
      </c>
      <c r="AZ170" s="451">
        <v>160902</v>
      </c>
      <c r="BA170" s="451">
        <v>0</v>
      </c>
      <c r="BB170" s="451">
        <v>0</v>
      </c>
      <c r="BC170" s="451">
        <v>0</v>
      </c>
      <c r="BD170" s="451">
        <v>0</v>
      </c>
      <c r="BE170" s="451">
        <v>0</v>
      </c>
      <c r="BF170" s="451">
        <v>55091</v>
      </c>
      <c r="BG170" s="451">
        <v>44072</v>
      </c>
      <c r="BH170" s="451">
        <v>9916</v>
      </c>
      <c r="BI170" s="451">
        <v>1102</v>
      </c>
      <c r="BJ170" s="451">
        <v>110181</v>
      </c>
      <c r="BK170" s="451">
        <v>55091</v>
      </c>
      <c r="BL170" s="451">
        <v>44072</v>
      </c>
      <c r="BM170" s="451">
        <v>9916</v>
      </c>
      <c r="BN170" s="451">
        <v>1102</v>
      </c>
      <c r="BO170" s="451">
        <v>110181</v>
      </c>
      <c r="BP170" s="451">
        <v>0</v>
      </c>
      <c r="BQ170" s="451">
        <v>0</v>
      </c>
      <c r="BR170" s="451">
        <v>0</v>
      </c>
      <c r="BS170" s="451">
        <v>0</v>
      </c>
      <c r="BT170" s="451">
        <v>0</v>
      </c>
      <c r="BU170" s="451">
        <v>140774</v>
      </c>
      <c r="BV170" s="451">
        <v>112618</v>
      </c>
      <c r="BW170" s="451">
        <v>25339</v>
      </c>
      <c r="BX170" s="451">
        <v>2815</v>
      </c>
      <c r="BY170" s="451">
        <v>281546</v>
      </c>
      <c r="BZ170" s="451">
        <v>140774</v>
      </c>
      <c r="CA170" s="451">
        <v>112618</v>
      </c>
      <c r="CB170" s="451">
        <v>25339</v>
      </c>
      <c r="CC170" s="451">
        <v>2815</v>
      </c>
      <c r="CD170" s="451">
        <v>281546</v>
      </c>
      <c r="CE170" s="104"/>
      <c r="CF170" s="104"/>
      <c r="CG170" s="104"/>
    </row>
    <row r="171" spans="1:85" ht="12.75" x14ac:dyDescent="0.2">
      <c r="A171" s="446">
        <v>164</v>
      </c>
      <c r="B171" s="447" t="s">
        <v>211</v>
      </c>
      <c r="C171" s="448" t="s">
        <v>1093</v>
      </c>
      <c r="D171" s="449" t="s">
        <v>1102</v>
      </c>
      <c r="E171" s="450" t="s">
        <v>210</v>
      </c>
      <c r="F171" s="451">
        <v>15359085</v>
      </c>
      <c r="G171" s="451">
        <v>12287268</v>
      </c>
      <c r="H171" s="451">
        <v>2764635</v>
      </c>
      <c r="I171" s="451">
        <v>307182</v>
      </c>
      <c r="J171" s="451">
        <v>30718170</v>
      </c>
      <c r="K171" s="451">
        <v>0</v>
      </c>
      <c r="L171" s="451">
        <v>0</v>
      </c>
      <c r="M171" s="451">
        <v>15359085</v>
      </c>
      <c r="N171" s="451">
        <v>30718170</v>
      </c>
      <c r="O171" s="451">
        <v>162892</v>
      </c>
      <c r="P171" s="451">
        <v>162892</v>
      </c>
      <c r="Q171" s="451">
        <v>0</v>
      </c>
      <c r="R171" s="451">
        <v>0</v>
      </c>
      <c r="S171" s="451">
        <v>0</v>
      </c>
      <c r="T171" s="451">
        <v>0</v>
      </c>
      <c r="U171" s="451">
        <v>0</v>
      </c>
      <c r="V171" s="451">
        <v>0</v>
      </c>
      <c r="W171" s="451">
        <v>0</v>
      </c>
      <c r="X171" s="451">
        <v>0</v>
      </c>
      <c r="Y171" s="451">
        <v>0</v>
      </c>
      <c r="Z171" s="451">
        <v>0</v>
      </c>
      <c r="AA171" s="451">
        <v>0</v>
      </c>
      <c r="AB171" s="451">
        <v>596459</v>
      </c>
      <c r="AC171" s="451">
        <v>477167</v>
      </c>
      <c r="AD171" s="451">
        <v>107363</v>
      </c>
      <c r="AE171" s="451">
        <v>11929</v>
      </c>
      <c r="AF171" s="451">
        <v>1192918</v>
      </c>
      <c r="AG171" s="451">
        <v>334197</v>
      </c>
      <c r="AH171" s="451">
        <v>267358</v>
      </c>
      <c r="AI171" s="451">
        <v>60155</v>
      </c>
      <c r="AJ171" s="451">
        <v>6684</v>
      </c>
      <c r="AK171" s="451">
        <v>668394</v>
      </c>
      <c r="AL171" s="451">
        <v>222901</v>
      </c>
      <c r="AM171" s="451">
        <v>178321</v>
      </c>
      <c r="AN171" s="451">
        <v>40122</v>
      </c>
      <c r="AO171" s="451">
        <v>4458</v>
      </c>
      <c r="AP171" s="451">
        <v>445802</v>
      </c>
      <c r="AQ171" s="451">
        <v>204951</v>
      </c>
      <c r="AR171" s="451">
        <v>163961</v>
      </c>
      <c r="AS171" s="451">
        <v>36891</v>
      </c>
      <c r="AT171" s="451">
        <v>4099</v>
      </c>
      <c r="AU171" s="451">
        <v>409902</v>
      </c>
      <c r="AV171" s="451">
        <v>427852</v>
      </c>
      <c r="AW171" s="451">
        <v>342282</v>
      </c>
      <c r="AX171" s="451">
        <v>77013</v>
      </c>
      <c r="AY171" s="451">
        <v>8557</v>
      </c>
      <c r="AZ171" s="451">
        <v>855704</v>
      </c>
      <c r="BA171" s="451">
        <v>0</v>
      </c>
      <c r="BB171" s="451">
        <v>0</v>
      </c>
      <c r="BC171" s="451">
        <v>0</v>
      </c>
      <c r="BD171" s="451">
        <v>0</v>
      </c>
      <c r="BE171" s="451">
        <v>0</v>
      </c>
      <c r="BF171" s="451">
        <v>850000</v>
      </c>
      <c r="BG171" s="451">
        <v>680000</v>
      </c>
      <c r="BH171" s="451">
        <v>153000</v>
      </c>
      <c r="BI171" s="451">
        <v>17000</v>
      </c>
      <c r="BJ171" s="451">
        <v>1700000</v>
      </c>
      <c r="BK171" s="451">
        <v>850000</v>
      </c>
      <c r="BL171" s="451">
        <v>680000</v>
      </c>
      <c r="BM171" s="451">
        <v>153000</v>
      </c>
      <c r="BN171" s="451">
        <v>17000</v>
      </c>
      <c r="BO171" s="451">
        <v>1700000</v>
      </c>
      <c r="BP171" s="451">
        <v>0</v>
      </c>
      <c r="BQ171" s="451">
        <v>0</v>
      </c>
      <c r="BR171" s="451">
        <v>0</v>
      </c>
      <c r="BS171" s="451">
        <v>0</v>
      </c>
      <c r="BT171" s="451">
        <v>0</v>
      </c>
      <c r="BU171" s="451">
        <v>0</v>
      </c>
      <c r="BV171" s="451">
        <v>0</v>
      </c>
      <c r="BW171" s="451">
        <v>0</v>
      </c>
      <c r="BX171" s="451">
        <v>0</v>
      </c>
      <c r="BY171" s="451">
        <v>0</v>
      </c>
      <c r="BZ171" s="451">
        <v>0</v>
      </c>
      <c r="CA171" s="451">
        <v>0</v>
      </c>
      <c r="CB171" s="451">
        <v>0</v>
      </c>
      <c r="CC171" s="451">
        <v>0</v>
      </c>
      <c r="CD171" s="451">
        <v>0</v>
      </c>
      <c r="CE171" s="104"/>
      <c r="CF171" s="104"/>
      <c r="CG171" s="104"/>
    </row>
    <row r="172" spans="1:85" ht="12.75" x14ac:dyDescent="0.2">
      <c r="A172" s="446">
        <v>165</v>
      </c>
      <c r="B172" s="447" t="s">
        <v>213</v>
      </c>
      <c r="C172" s="448" t="s">
        <v>1098</v>
      </c>
      <c r="D172" s="449" t="s">
        <v>1099</v>
      </c>
      <c r="E172" s="450" t="s">
        <v>212</v>
      </c>
      <c r="F172" s="451">
        <v>39565927</v>
      </c>
      <c r="G172" s="451">
        <v>23739557</v>
      </c>
      <c r="H172" s="451">
        <v>15826371</v>
      </c>
      <c r="I172" s="451">
        <v>0</v>
      </c>
      <c r="J172" s="451">
        <v>79131855</v>
      </c>
      <c r="K172" s="451">
        <v>0</v>
      </c>
      <c r="L172" s="451">
        <v>0</v>
      </c>
      <c r="M172" s="451">
        <v>39565927</v>
      </c>
      <c r="N172" s="451">
        <v>79131855</v>
      </c>
      <c r="O172" s="451">
        <v>280580</v>
      </c>
      <c r="P172" s="451">
        <v>280580</v>
      </c>
      <c r="Q172" s="451">
        <v>0</v>
      </c>
      <c r="R172" s="451">
        <v>0</v>
      </c>
      <c r="S172" s="451">
        <v>0</v>
      </c>
      <c r="T172" s="451">
        <v>0</v>
      </c>
      <c r="U172" s="451">
        <v>0</v>
      </c>
      <c r="V172" s="451">
        <v>0</v>
      </c>
      <c r="W172" s="451">
        <v>0</v>
      </c>
      <c r="X172" s="451">
        <v>0</v>
      </c>
      <c r="Y172" s="451">
        <v>0</v>
      </c>
      <c r="Z172" s="451">
        <v>0</v>
      </c>
      <c r="AA172" s="451">
        <v>0</v>
      </c>
      <c r="AB172" s="451">
        <v>1125184</v>
      </c>
      <c r="AC172" s="451">
        <v>675111</v>
      </c>
      <c r="AD172" s="451">
        <v>450074</v>
      </c>
      <c r="AE172" s="451">
        <v>0</v>
      </c>
      <c r="AF172" s="451">
        <v>2250369</v>
      </c>
      <c r="AG172" s="451">
        <v>908399</v>
      </c>
      <c r="AH172" s="451">
        <v>545040</v>
      </c>
      <c r="AI172" s="451">
        <v>363360</v>
      </c>
      <c r="AJ172" s="451">
        <v>0</v>
      </c>
      <c r="AK172" s="451">
        <v>1816799</v>
      </c>
      <c r="AL172" s="451">
        <v>2250000</v>
      </c>
      <c r="AM172" s="451">
        <v>1350000</v>
      </c>
      <c r="AN172" s="451">
        <v>900000</v>
      </c>
      <c r="AO172" s="451">
        <v>0</v>
      </c>
      <c r="AP172" s="451">
        <v>4500000</v>
      </c>
      <c r="AQ172" s="451">
        <v>-773000</v>
      </c>
      <c r="AR172" s="451">
        <v>-463800</v>
      </c>
      <c r="AS172" s="451">
        <v>-309200</v>
      </c>
      <c r="AT172" s="451">
        <v>0</v>
      </c>
      <c r="AU172" s="451">
        <v>-1546000</v>
      </c>
      <c r="AV172" s="451">
        <v>1477000</v>
      </c>
      <c r="AW172" s="451">
        <v>886200</v>
      </c>
      <c r="AX172" s="451">
        <v>590800</v>
      </c>
      <c r="AY172" s="451">
        <v>0</v>
      </c>
      <c r="AZ172" s="451">
        <v>2954000</v>
      </c>
      <c r="BA172" s="451">
        <v>0</v>
      </c>
      <c r="BB172" s="451">
        <v>0</v>
      </c>
      <c r="BC172" s="451">
        <v>0</v>
      </c>
      <c r="BD172" s="451">
        <v>0</v>
      </c>
      <c r="BE172" s="451">
        <v>0</v>
      </c>
      <c r="BF172" s="451">
        <v>687168</v>
      </c>
      <c r="BG172" s="451">
        <v>412301</v>
      </c>
      <c r="BH172" s="451">
        <v>274867</v>
      </c>
      <c r="BI172" s="451">
        <v>0</v>
      </c>
      <c r="BJ172" s="451">
        <v>1374336</v>
      </c>
      <c r="BK172" s="451">
        <v>687168</v>
      </c>
      <c r="BL172" s="451">
        <v>412301</v>
      </c>
      <c r="BM172" s="451">
        <v>274867</v>
      </c>
      <c r="BN172" s="451">
        <v>0</v>
      </c>
      <c r="BO172" s="451">
        <v>1374336</v>
      </c>
      <c r="BP172" s="451">
        <v>0</v>
      </c>
      <c r="BQ172" s="451">
        <v>0</v>
      </c>
      <c r="BR172" s="451">
        <v>0</v>
      </c>
      <c r="BS172" s="451">
        <v>0</v>
      </c>
      <c r="BT172" s="451">
        <v>0</v>
      </c>
      <c r="BU172" s="451">
        <v>2052552</v>
      </c>
      <c r="BV172" s="451">
        <v>1231531</v>
      </c>
      <c r="BW172" s="451">
        <v>821021</v>
      </c>
      <c r="BX172" s="451">
        <v>0</v>
      </c>
      <c r="BY172" s="451">
        <v>4105104</v>
      </c>
      <c r="BZ172" s="451">
        <v>2052552</v>
      </c>
      <c r="CA172" s="451">
        <v>1231531</v>
      </c>
      <c r="CB172" s="451">
        <v>821021</v>
      </c>
      <c r="CC172" s="451">
        <v>0</v>
      </c>
      <c r="CD172" s="451">
        <v>4105104</v>
      </c>
      <c r="CE172" s="104"/>
      <c r="CF172" s="104"/>
      <c r="CG172" s="104"/>
    </row>
    <row r="173" spans="1:85" ht="12.75" x14ac:dyDescent="0.2">
      <c r="A173" s="446">
        <v>166</v>
      </c>
      <c r="B173" s="447" t="s">
        <v>215</v>
      </c>
      <c r="C173" s="448" t="s">
        <v>1093</v>
      </c>
      <c r="D173" s="449" t="s">
        <v>1102</v>
      </c>
      <c r="E173" s="450" t="s">
        <v>214</v>
      </c>
      <c r="F173" s="451">
        <v>7164847</v>
      </c>
      <c r="G173" s="451">
        <v>5731878</v>
      </c>
      <c r="H173" s="451">
        <v>1289672</v>
      </c>
      <c r="I173" s="451">
        <v>143297</v>
      </c>
      <c r="J173" s="451">
        <v>14329694</v>
      </c>
      <c r="K173" s="451">
        <v>0</v>
      </c>
      <c r="L173" s="451">
        <v>0</v>
      </c>
      <c r="M173" s="451">
        <v>7164847</v>
      </c>
      <c r="N173" s="451">
        <v>14329694</v>
      </c>
      <c r="O173" s="451">
        <v>106404</v>
      </c>
      <c r="P173" s="451">
        <v>106404</v>
      </c>
      <c r="Q173" s="451">
        <v>0</v>
      </c>
      <c r="R173" s="451">
        <v>0</v>
      </c>
      <c r="S173" s="451">
        <v>0</v>
      </c>
      <c r="T173" s="451">
        <v>0</v>
      </c>
      <c r="U173" s="451">
        <v>40779</v>
      </c>
      <c r="V173" s="451">
        <v>0</v>
      </c>
      <c r="W173" s="451">
        <v>40779</v>
      </c>
      <c r="X173" s="451">
        <v>0</v>
      </c>
      <c r="Y173" s="451">
        <v>0</v>
      </c>
      <c r="Z173" s="451">
        <v>0</v>
      </c>
      <c r="AA173" s="451">
        <v>0</v>
      </c>
      <c r="AB173" s="451">
        <v>197400</v>
      </c>
      <c r="AC173" s="451">
        <v>157920</v>
      </c>
      <c r="AD173" s="451">
        <v>35532</v>
      </c>
      <c r="AE173" s="451">
        <v>3948</v>
      </c>
      <c r="AF173" s="451">
        <v>394800</v>
      </c>
      <c r="AG173" s="451">
        <v>-131429.64000000001</v>
      </c>
      <c r="AH173" s="451">
        <v>-105145</v>
      </c>
      <c r="AI173" s="451">
        <v>-23658</v>
      </c>
      <c r="AJ173" s="451">
        <v>-2629</v>
      </c>
      <c r="AK173" s="451">
        <v>-262861.64</v>
      </c>
      <c r="AL173" s="451">
        <v>81879</v>
      </c>
      <c r="AM173" s="451">
        <v>65503</v>
      </c>
      <c r="AN173" s="451">
        <v>14738</v>
      </c>
      <c r="AO173" s="451">
        <v>1638</v>
      </c>
      <c r="AP173" s="451">
        <v>163758</v>
      </c>
      <c r="AQ173" s="451">
        <v>12974</v>
      </c>
      <c r="AR173" s="451">
        <v>10380</v>
      </c>
      <c r="AS173" s="451">
        <v>2336</v>
      </c>
      <c r="AT173" s="451">
        <v>260</v>
      </c>
      <c r="AU173" s="451">
        <v>25950</v>
      </c>
      <c r="AV173" s="451">
        <v>94853</v>
      </c>
      <c r="AW173" s="451">
        <v>75883</v>
      </c>
      <c r="AX173" s="451">
        <v>17074</v>
      </c>
      <c r="AY173" s="451">
        <v>1898</v>
      </c>
      <c r="AZ173" s="451">
        <v>189708</v>
      </c>
      <c r="BA173" s="451">
        <v>0</v>
      </c>
      <c r="BB173" s="451">
        <v>0</v>
      </c>
      <c r="BC173" s="451">
        <v>0</v>
      </c>
      <c r="BD173" s="451">
        <v>0</v>
      </c>
      <c r="BE173" s="451">
        <v>0</v>
      </c>
      <c r="BF173" s="451">
        <v>1000</v>
      </c>
      <c r="BG173" s="451">
        <v>800</v>
      </c>
      <c r="BH173" s="451">
        <v>180</v>
      </c>
      <c r="BI173" s="451">
        <v>20</v>
      </c>
      <c r="BJ173" s="451">
        <v>2000</v>
      </c>
      <c r="BK173" s="451">
        <v>1000</v>
      </c>
      <c r="BL173" s="451">
        <v>800</v>
      </c>
      <c r="BM173" s="451">
        <v>180</v>
      </c>
      <c r="BN173" s="451">
        <v>20</v>
      </c>
      <c r="BO173" s="451">
        <v>2000</v>
      </c>
      <c r="BP173" s="451">
        <v>0</v>
      </c>
      <c r="BQ173" s="451">
        <v>0</v>
      </c>
      <c r="BR173" s="451">
        <v>0</v>
      </c>
      <c r="BS173" s="451">
        <v>0</v>
      </c>
      <c r="BT173" s="451">
        <v>0</v>
      </c>
      <c r="BU173" s="451">
        <v>6500</v>
      </c>
      <c r="BV173" s="451">
        <v>5200</v>
      </c>
      <c r="BW173" s="451">
        <v>1170</v>
      </c>
      <c r="BX173" s="451">
        <v>130</v>
      </c>
      <c r="BY173" s="451">
        <v>13000</v>
      </c>
      <c r="BZ173" s="451">
        <v>6500</v>
      </c>
      <c r="CA173" s="451">
        <v>5200</v>
      </c>
      <c r="CB173" s="451">
        <v>1170</v>
      </c>
      <c r="CC173" s="451">
        <v>130</v>
      </c>
      <c r="CD173" s="451">
        <v>13000</v>
      </c>
      <c r="CE173" s="104"/>
      <c r="CF173" s="104"/>
      <c r="CG173" s="104"/>
    </row>
    <row r="174" spans="1:85" ht="12.75" x14ac:dyDescent="0.2">
      <c r="A174" s="446">
        <v>167</v>
      </c>
      <c r="B174" s="447" t="s">
        <v>217</v>
      </c>
      <c r="C174" s="448" t="s">
        <v>1093</v>
      </c>
      <c r="D174" s="449" t="s">
        <v>1097</v>
      </c>
      <c r="E174" s="450" t="s">
        <v>216</v>
      </c>
      <c r="F174" s="451">
        <v>9866982</v>
      </c>
      <c r="G174" s="451">
        <v>7893586</v>
      </c>
      <c r="H174" s="451">
        <v>1973396</v>
      </c>
      <c r="I174" s="451">
        <v>0</v>
      </c>
      <c r="J174" s="451">
        <v>19733964</v>
      </c>
      <c r="K174" s="451">
        <v>0</v>
      </c>
      <c r="L174" s="451">
        <v>0</v>
      </c>
      <c r="M174" s="451">
        <v>9866982</v>
      </c>
      <c r="N174" s="451">
        <v>19733964</v>
      </c>
      <c r="O174" s="451">
        <v>128540</v>
      </c>
      <c r="P174" s="451">
        <v>128540</v>
      </c>
      <c r="Q174" s="451">
        <v>0</v>
      </c>
      <c r="R174" s="451">
        <v>0</v>
      </c>
      <c r="S174" s="451">
        <v>0</v>
      </c>
      <c r="T174" s="451">
        <v>0</v>
      </c>
      <c r="U174" s="451">
        <v>40762</v>
      </c>
      <c r="V174" s="451">
        <v>0</v>
      </c>
      <c r="W174" s="451">
        <v>40762</v>
      </c>
      <c r="X174" s="451">
        <v>0</v>
      </c>
      <c r="Y174" s="451">
        <v>0</v>
      </c>
      <c r="Z174" s="451">
        <v>0</v>
      </c>
      <c r="AA174" s="451">
        <v>0</v>
      </c>
      <c r="AB174" s="451">
        <v>535424.31999999995</v>
      </c>
      <c r="AC174" s="451">
        <v>428339</v>
      </c>
      <c r="AD174" s="451">
        <v>107085</v>
      </c>
      <c r="AE174" s="451">
        <v>0</v>
      </c>
      <c r="AF174" s="451">
        <v>1070848.32</v>
      </c>
      <c r="AG174" s="451">
        <v>22537.68</v>
      </c>
      <c r="AH174" s="451">
        <v>18030</v>
      </c>
      <c r="AI174" s="451">
        <v>4507</v>
      </c>
      <c r="AJ174" s="451">
        <v>0</v>
      </c>
      <c r="AK174" s="451">
        <v>45074.68</v>
      </c>
      <c r="AL174" s="451">
        <v>112884</v>
      </c>
      <c r="AM174" s="451">
        <v>90307</v>
      </c>
      <c r="AN174" s="451">
        <v>22577</v>
      </c>
      <c r="AO174" s="451">
        <v>0</v>
      </c>
      <c r="AP174" s="451">
        <v>225768</v>
      </c>
      <c r="AQ174" s="451">
        <v>22537</v>
      </c>
      <c r="AR174" s="451">
        <v>18030</v>
      </c>
      <c r="AS174" s="451">
        <v>4507</v>
      </c>
      <c r="AT174" s="451">
        <v>0</v>
      </c>
      <c r="AU174" s="451">
        <v>45074</v>
      </c>
      <c r="AV174" s="451">
        <v>135421</v>
      </c>
      <c r="AW174" s="451">
        <v>108337</v>
      </c>
      <c r="AX174" s="451">
        <v>27084</v>
      </c>
      <c r="AY174" s="451">
        <v>0</v>
      </c>
      <c r="AZ174" s="451">
        <v>270842</v>
      </c>
      <c r="BA174" s="451">
        <v>0</v>
      </c>
      <c r="BB174" s="451">
        <v>0</v>
      </c>
      <c r="BC174" s="451">
        <v>0</v>
      </c>
      <c r="BD174" s="451">
        <v>0</v>
      </c>
      <c r="BE174" s="451">
        <v>0</v>
      </c>
      <c r="BF174" s="451">
        <v>196457</v>
      </c>
      <c r="BG174" s="451">
        <v>157166</v>
      </c>
      <c r="BH174" s="451">
        <v>39292</v>
      </c>
      <c r="BI174" s="451">
        <v>0</v>
      </c>
      <c r="BJ174" s="451">
        <v>392915</v>
      </c>
      <c r="BK174" s="451">
        <v>196457</v>
      </c>
      <c r="BL174" s="451">
        <v>157166</v>
      </c>
      <c r="BM174" s="451">
        <v>39292</v>
      </c>
      <c r="BN174" s="451">
        <v>0</v>
      </c>
      <c r="BO174" s="451">
        <v>392915</v>
      </c>
      <c r="BP174" s="451">
        <v>0</v>
      </c>
      <c r="BQ174" s="451">
        <v>0</v>
      </c>
      <c r="BR174" s="451">
        <v>0</v>
      </c>
      <c r="BS174" s="451">
        <v>0</v>
      </c>
      <c r="BT174" s="451">
        <v>0</v>
      </c>
      <c r="BU174" s="451">
        <v>271552</v>
      </c>
      <c r="BV174" s="451">
        <v>217241</v>
      </c>
      <c r="BW174" s="451">
        <v>54310</v>
      </c>
      <c r="BX174" s="451">
        <v>0</v>
      </c>
      <c r="BY174" s="451">
        <v>543103</v>
      </c>
      <c r="BZ174" s="451">
        <v>271552</v>
      </c>
      <c r="CA174" s="451">
        <v>217241</v>
      </c>
      <c r="CB174" s="451">
        <v>54310</v>
      </c>
      <c r="CC174" s="451">
        <v>0</v>
      </c>
      <c r="CD174" s="451">
        <v>543103</v>
      </c>
      <c r="CE174" s="104"/>
      <c r="CF174" s="104"/>
      <c r="CG174" s="104"/>
    </row>
    <row r="175" spans="1:85" ht="12.75" x14ac:dyDescent="0.2">
      <c r="A175" s="446">
        <v>168</v>
      </c>
      <c r="B175" s="447" t="s">
        <v>219</v>
      </c>
      <c r="C175" s="448" t="s">
        <v>1093</v>
      </c>
      <c r="D175" s="449" t="s">
        <v>1094</v>
      </c>
      <c r="E175" s="450" t="s">
        <v>218</v>
      </c>
      <c r="F175" s="451">
        <v>19911109</v>
      </c>
      <c r="G175" s="451">
        <v>15928888</v>
      </c>
      <c r="H175" s="451">
        <v>3982222</v>
      </c>
      <c r="I175" s="451">
        <v>0</v>
      </c>
      <c r="J175" s="451">
        <v>39822219</v>
      </c>
      <c r="K175" s="451">
        <v>0</v>
      </c>
      <c r="L175" s="451">
        <v>0</v>
      </c>
      <c r="M175" s="451">
        <v>19911109</v>
      </c>
      <c r="N175" s="451">
        <v>39822219</v>
      </c>
      <c r="O175" s="451">
        <v>172028</v>
      </c>
      <c r="P175" s="451">
        <v>172028</v>
      </c>
      <c r="Q175" s="451">
        <v>0</v>
      </c>
      <c r="R175" s="451">
        <v>0</v>
      </c>
      <c r="S175" s="451">
        <v>0</v>
      </c>
      <c r="T175" s="451">
        <v>0</v>
      </c>
      <c r="U175" s="451">
        <v>0</v>
      </c>
      <c r="V175" s="451">
        <v>0</v>
      </c>
      <c r="W175" s="451">
        <v>0</v>
      </c>
      <c r="X175" s="451">
        <v>0</v>
      </c>
      <c r="Y175" s="451">
        <v>0</v>
      </c>
      <c r="Z175" s="451">
        <v>0</v>
      </c>
      <c r="AA175" s="451">
        <v>0</v>
      </c>
      <c r="AB175" s="451">
        <v>997017</v>
      </c>
      <c r="AC175" s="451">
        <v>797614</v>
      </c>
      <c r="AD175" s="451">
        <v>199404</v>
      </c>
      <c r="AE175" s="451">
        <v>0</v>
      </c>
      <c r="AF175" s="451">
        <v>1994035</v>
      </c>
      <c r="AG175" s="451">
        <v>786021</v>
      </c>
      <c r="AH175" s="451">
        <v>628817</v>
      </c>
      <c r="AI175" s="451">
        <v>157204</v>
      </c>
      <c r="AJ175" s="451">
        <v>0</v>
      </c>
      <c r="AK175" s="451">
        <v>1572042</v>
      </c>
      <c r="AL175" s="451">
        <v>782199</v>
      </c>
      <c r="AM175" s="451">
        <v>625760</v>
      </c>
      <c r="AN175" s="451">
        <v>156440</v>
      </c>
      <c r="AO175" s="451">
        <v>0</v>
      </c>
      <c r="AP175" s="451">
        <v>1564399</v>
      </c>
      <c r="AQ175" s="451">
        <v>8108</v>
      </c>
      <c r="AR175" s="451">
        <v>6487</v>
      </c>
      <c r="AS175" s="451">
        <v>1622</v>
      </c>
      <c r="AT175" s="451">
        <v>0</v>
      </c>
      <c r="AU175" s="451">
        <v>16217</v>
      </c>
      <c r="AV175" s="451">
        <v>790307</v>
      </c>
      <c r="AW175" s="451">
        <v>632247</v>
      </c>
      <c r="AX175" s="451">
        <v>158062</v>
      </c>
      <c r="AY175" s="451">
        <v>0</v>
      </c>
      <c r="AZ175" s="451">
        <v>1580616</v>
      </c>
      <c r="BA175" s="451">
        <v>0</v>
      </c>
      <c r="BB175" s="451">
        <v>0</v>
      </c>
      <c r="BC175" s="451">
        <v>0</v>
      </c>
      <c r="BD175" s="451">
        <v>0</v>
      </c>
      <c r="BE175" s="451">
        <v>0</v>
      </c>
      <c r="BF175" s="451">
        <v>188933</v>
      </c>
      <c r="BG175" s="451">
        <v>151147</v>
      </c>
      <c r="BH175" s="451">
        <v>37787</v>
      </c>
      <c r="BI175" s="451">
        <v>0</v>
      </c>
      <c r="BJ175" s="451">
        <v>377867</v>
      </c>
      <c r="BK175" s="451">
        <v>188933</v>
      </c>
      <c r="BL175" s="451">
        <v>151147</v>
      </c>
      <c r="BM175" s="451">
        <v>37787</v>
      </c>
      <c r="BN175" s="451">
        <v>0</v>
      </c>
      <c r="BO175" s="451">
        <v>377867</v>
      </c>
      <c r="BP175" s="451">
        <v>0</v>
      </c>
      <c r="BQ175" s="451">
        <v>0</v>
      </c>
      <c r="BR175" s="451">
        <v>0</v>
      </c>
      <c r="BS175" s="451">
        <v>0</v>
      </c>
      <c r="BT175" s="451">
        <v>0</v>
      </c>
      <c r="BU175" s="451">
        <v>503462</v>
      </c>
      <c r="BV175" s="451">
        <v>402769</v>
      </c>
      <c r="BW175" s="451">
        <v>100692</v>
      </c>
      <c r="BX175" s="451">
        <v>0</v>
      </c>
      <c r="BY175" s="451">
        <v>1006923</v>
      </c>
      <c r="BZ175" s="451">
        <v>503462</v>
      </c>
      <c r="CA175" s="451">
        <v>402769</v>
      </c>
      <c r="CB175" s="451">
        <v>100692</v>
      </c>
      <c r="CC175" s="451">
        <v>0</v>
      </c>
      <c r="CD175" s="451">
        <v>1006923</v>
      </c>
      <c r="CE175" s="104"/>
      <c r="CF175" s="104"/>
      <c r="CG175" s="104"/>
    </row>
    <row r="176" spans="1:85" ht="12.75" x14ac:dyDescent="0.2">
      <c r="A176" s="446">
        <v>169</v>
      </c>
      <c r="B176" s="447" t="s">
        <v>221</v>
      </c>
      <c r="C176" s="448" t="s">
        <v>794</v>
      </c>
      <c r="D176" s="449" t="s">
        <v>1105</v>
      </c>
      <c r="E176" s="450" t="s">
        <v>726</v>
      </c>
      <c r="F176" s="451">
        <v>17563284</v>
      </c>
      <c r="G176" s="451">
        <v>17212019</v>
      </c>
      <c r="H176" s="451">
        <v>0</v>
      </c>
      <c r="I176" s="451">
        <v>351266</v>
      </c>
      <c r="J176" s="451">
        <v>35126569</v>
      </c>
      <c r="K176" s="451">
        <v>0</v>
      </c>
      <c r="L176" s="451">
        <v>0</v>
      </c>
      <c r="M176" s="451">
        <v>17563284</v>
      </c>
      <c r="N176" s="451">
        <v>35126569</v>
      </c>
      <c r="O176" s="451">
        <v>179446</v>
      </c>
      <c r="P176" s="451">
        <v>179446</v>
      </c>
      <c r="Q176" s="451">
        <v>0</v>
      </c>
      <c r="R176" s="451">
        <v>0</v>
      </c>
      <c r="S176" s="451">
        <v>0</v>
      </c>
      <c r="T176" s="451">
        <v>0</v>
      </c>
      <c r="U176" s="451">
        <v>0</v>
      </c>
      <c r="V176" s="451">
        <v>0</v>
      </c>
      <c r="W176" s="451">
        <v>0</v>
      </c>
      <c r="X176" s="451">
        <v>0</v>
      </c>
      <c r="Y176" s="451">
        <v>0</v>
      </c>
      <c r="Z176" s="451">
        <v>0</v>
      </c>
      <c r="AA176" s="451">
        <v>0</v>
      </c>
      <c r="AB176" s="451">
        <v>3383794.99</v>
      </c>
      <c r="AC176" s="451">
        <v>3316119</v>
      </c>
      <c r="AD176" s="451">
        <v>0</v>
      </c>
      <c r="AE176" s="451">
        <v>67676</v>
      </c>
      <c r="AF176" s="451">
        <v>6767589.9900000002</v>
      </c>
      <c r="AG176" s="451">
        <v>664953.24</v>
      </c>
      <c r="AH176" s="451">
        <v>651655</v>
      </c>
      <c r="AI176" s="451">
        <v>0</v>
      </c>
      <c r="AJ176" s="451">
        <v>13299</v>
      </c>
      <c r="AK176" s="451">
        <v>1329907.24</v>
      </c>
      <c r="AL176" s="451">
        <v>2154928</v>
      </c>
      <c r="AM176" s="451">
        <v>2111829</v>
      </c>
      <c r="AN176" s="451">
        <v>0</v>
      </c>
      <c r="AO176" s="451">
        <v>43099</v>
      </c>
      <c r="AP176" s="451">
        <v>4309856</v>
      </c>
      <c r="AQ176" s="451">
        <v>157954</v>
      </c>
      <c r="AR176" s="451">
        <v>154795</v>
      </c>
      <c r="AS176" s="451">
        <v>0</v>
      </c>
      <c r="AT176" s="451">
        <v>3159</v>
      </c>
      <c r="AU176" s="451">
        <v>315908</v>
      </c>
      <c r="AV176" s="451">
        <v>2312882</v>
      </c>
      <c r="AW176" s="451">
        <v>2266624</v>
      </c>
      <c r="AX176" s="451">
        <v>0</v>
      </c>
      <c r="AY176" s="451">
        <v>46258</v>
      </c>
      <c r="AZ176" s="451">
        <v>4625764</v>
      </c>
      <c r="BA176" s="451">
        <v>0</v>
      </c>
      <c r="BB176" s="451">
        <v>0</v>
      </c>
      <c r="BC176" s="451">
        <v>0</v>
      </c>
      <c r="BD176" s="451">
        <v>0</v>
      </c>
      <c r="BE176" s="451">
        <v>0</v>
      </c>
      <c r="BF176" s="451">
        <v>900000</v>
      </c>
      <c r="BG176" s="451">
        <v>882000</v>
      </c>
      <c r="BH176" s="451">
        <v>0</v>
      </c>
      <c r="BI176" s="451">
        <v>18000</v>
      </c>
      <c r="BJ176" s="451">
        <v>1800000</v>
      </c>
      <c r="BK176" s="451">
        <v>900000</v>
      </c>
      <c r="BL176" s="451">
        <v>882000</v>
      </c>
      <c r="BM176" s="451">
        <v>0</v>
      </c>
      <c r="BN176" s="451">
        <v>18000</v>
      </c>
      <c r="BO176" s="451">
        <v>1800000</v>
      </c>
      <c r="BP176" s="451">
        <v>0</v>
      </c>
      <c r="BQ176" s="451">
        <v>0</v>
      </c>
      <c r="BR176" s="451">
        <v>0</v>
      </c>
      <c r="BS176" s="451">
        <v>0</v>
      </c>
      <c r="BT176" s="451">
        <v>0</v>
      </c>
      <c r="BU176" s="451">
        <v>1350000</v>
      </c>
      <c r="BV176" s="451">
        <v>1323000</v>
      </c>
      <c r="BW176" s="451">
        <v>0</v>
      </c>
      <c r="BX176" s="451">
        <v>27000</v>
      </c>
      <c r="BY176" s="451">
        <v>2700000</v>
      </c>
      <c r="BZ176" s="451">
        <v>1350000</v>
      </c>
      <c r="CA176" s="451">
        <v>1323000</v>
      </c>
      <c r="CB176" s="451">
        <v>0</v>
      </c>
      <c r="CC176" s="451">
        <v>27000</v>
      </c>
      <c r="CD176" s="451">
        <v>2700000</v>
      </c>
      <c r="CE176" s="104"/>
      <c r="CF176" s="104"/>
      <c r="CG176" s="104"/>
    </row>
    <row r="177" spans="1:85" ht="12.75" x14ac:dyDescent="0.2">
      <c r="A177" s="446">
        <v>170</v>
      </c>
      <c r="B177" s="447" t="s">
        <v>223</v>
      </c>
      <c r="C177" s="448" t="s">
        <v>794</v>
      </c>
      <c r="D177" s="449" t="s">
        <v>1094</v>
      </c>
      <c r="E177" s="450" t="s">
        <v>727</v>
      </c>
      <c r="F177" s="451">
        <v>60927409</v>
      </c>
      <c r="G177" s="451">
        <v>59708860</v>
      </c>
      <c r="H177" s="451">
        <v>0</v>
      </c>
      <c r="I177" s="451">
        <v>1218548</v>
      </c>
      <c r="J177" s="451">
        <v>121854817</v>
      </c>
      <c r="K177" s="451">
        <v>0</v>
      </c>
      <c r="L177" s="451">
        <v>0</v>
      </c>
      <c r="M177" s="451">
        <v>60927409</v>
      </c>
      <c r="N177" s="451">
        <v>121854817</v>
      </c>
      <c r="O177" s="451">
        <v>373542</v>
      </c>
      <c r="P177" s="451">
        <v>373542</v>
      </c>
      <c r="Q177" s="451">
        <v>0</v>
      </c>
      <c r="R177" s="451">
        <v>0</v>
      </c>
      <c r="S177" s="451">
        <v>0</v>
      </c>
      <c r="T177" s="451">
        <v>0</v>
      </c>
      <c r="U177" s="451">
        <v>0</v>
      </c>
      <c r="V177" s="451">
        <v>0</v>
      </c>
      <c r="W177" s="451">
        <v>0</v>
      </c>
      <c r="X177" s="451">
        <v>0</v>
      </c>
      <c r="Y177" s="451">
        <v>0</v>
      </c>
      <c r="Z177" s="451">
        <v>0</v>
      </c>
      <c r="AA177" s="451">
        <v>0</v>
      </c>
      <c r="AB177" s="451">
        <v>447361</v>
      </c>
      <c r="AC177" s="451">
        <v>438414</v>
      </c>
      <c r="AD177" s="451">
        <v>0</v>
      </c>
      <c r="AE177" s="451">
        <v>8947</v>
      </c>
      <c r="AF177" s="451">
        <v>894722</v>
      </c>
      <c r="AG177" s="451">
        <v>987853</v>
      </c>
      <c r="AH177" s="451">
        <v>968095</v>
      </c>
      <c r="AI177" s="451">
        <v>0</v>
      </c>
      <c r="AJ177" s="451">
        <v>19757</v>
      </c>
      <c r="AK177" s="451">
        <v>1975705</v>
      </c>
      <c r="AL177" s="451">
        <v>1535000</v>
      </c>
      <c r="AM177" s="451">
        <v>1504300</v>
      </c>
      <c r="AN177" s="451">
        <v>0</v>
      </c>
      <c r="AO177" s="451">
        <v>30700</v>
      </c>
      <c r="AP177" s="451">
        <v>3070000</v>
      </c>
      <c r="AQ177" s="451">
        <v>545000</v>
      </c>
      <c r="AR177" s="451">
        <v>534100</v>
      </c>
      <c r="AS177" s="451">
        <v>0</v>
      </c>
      <c r="AT177" s="451">
        <v>10900</v>
      </c>
      <c r="AU177" s="451">
        <v>1090000</v>
      </c>
      <c r="AV177" s="451">
        <v>2080000</v>
      </c>
      <c r="AW177" s="451">
        <v>2038400</v>
      </c>
      <c r="AX177" s="451">
        <v>0</v>
      </c>
      <c r="AY177" s="451">
        <v>41600</v>
      </c>
      <c r="AZ177" s="451">
        <v>4160000</v>
      </c>
      <c r="BA177" s="451">
        <v>0</v>
      </c>
      <c r="BB177" s="451">
        <v>0</v>
      </c>
      <c r="BC177" s="451">
        <v>0</v>
      </c>
      <c r="BD177" s="451">
        <v>0</v>
      </c>
      <c r="BE177" s="451">
        <v>0</v>
      </c>
      <c r="BF177" s="451">
        <v>2937000</v>
      </c>
      <c r="BG177" s="451">
        <v>2878260</v>
      </c>
      <c r="BH177" s="451">
        <v>0</v>
      </c>
      <c r="BI177" s="451">
        <v>58740</v>
      </c>
      <c r="BJ177" s="451">
        <v>5874000</v>
      </c>
      <c r="BK177" s="451">
        <v>2937000</v>
      </c>
      <c r="BL177" s="451">
        <v>2878260</v>
      </c>
      <c r="BM177" s="451">
        <v>0</v>
      </c>
      <c r="BN177" s="451">
        <v>58740</v>
      </c>
      <c r="BO177" s="451">
        <v>5874000</v>
      </c>
      <c r="BP177" s="451">
        <v>0</v>
      </c>
      <c r="BQ177" s="451">
        <v>0</v>
      </c>
      <c r="BR177" s="451">
        <v>0</v>
      </c>
      <c r="BS177" s="451">
        <v>0</v>
      </c>
      <c r="BT177" s="451">
        <v>0</v>
      </c>
      <c r="BU177" s="451">
        <v>8663000</v>
      </c>
      <c r="BV177" s="451">
        <v>8489740</v>
      </c>
      <c r="BW177" s="451">
        <v>0</v>
      </c>
      <c r="BX177" s="451">
        <v>173260</v>
      </c>
      <c r="BY177" s="451">
        <v>17326000</v>
      </c>
      <c r="BZ177" s="451">
        <v>8663000</v>
      </c>
      <c r="CA177" s="451">
        <v>8489740</v>
      </c>
      <c r="CB177" s="451">
        <v>0</v>
      </c>
      <c r="CC177" s="451">
        <v>173260</v>
      </c>
      <c r="CD177" s="451">
        <v>17326000</v>
      </c>
      <c r="CE177" s="104"/>
      <c r="CF177" s="104"/>
      <c r="CG177" s="104"/>
    </row>
    <row r="178" spans="1:85" ht="12.75" x14ac:dyDescent="0.2">
      <c r="A178" s="446">
        <v>171</v>
      </c>
      <c r="B178" s="447" t="s">
        <v>225</v>
      </c>
      <c r="C178" s="448" t="s">
        <v>1093</v>
      </c>
      <c r="D178" s="449" t="s">
        <v>1094</v>
      </c>
      <c r="E178" s="450" t="s">
        <v>224</v>
      </c>
      <c r="F178" s="451">
        <v>17275019</v>
      </c>
      <c r="G178" s="451">
        <v>13820016</v>
      </c>
      <c r="H178" s="451">
        <v>3455004</v>
      </c>
      <c r="I178" s="451">
        <v>0</v>
      </c>
      <c r="J178" s="451">
        <v>34550039</v>
      </c>
      <c r="K178" s="451">
        <v>0</v>
      </c>
      <c r="L178" s="451">
        <v>0</v>
      </c>
      <c r="M178" s="451">
        <v>17275019</v>
      </c>
      <c r="N178" s="451">
        <v>34550039</v>
      </c>
      <c r="O178" s="451">
        <v>152970</v>
      </c>
      <c r="P178" s="451">
        <v>152970</v>
      </c>
      <c r="Q178" s="451">
        <v>0</v>
      </c>
      <c r="R178" s="451">
        <v>0</v>
      </c>
      <c r="S178" s="451">
        <v>0</v>
      </c>
      <c r="T178" s="451">
        <v>0</v>
      </c>
      <c r="U178" s="451">
        <v>0</v>
      </c>
      <c r="V178" s="451">
        <v>0</v>
      </c>
      <c r="W178" s="451">
        <v>0</v>
      </c>
      <c r="X178" s="451">
        <v>0</v>
      </c>
      <c r="Y178" s="451">
        <v>0</v>
      </c>
      <c r="Z178" s="451">
        <v>0</v>
      </c>
      <c r="AA178" s="451">
        <v>0</v>
      </c>
      <c r="AB178" s="451">
        <v>574214.55000000005</v>
      </c>
      <c r="AC178" s="451">
        <v>459371</v>
      </c>
      <c r="AD178" s="451">
        <v>114843</v>
      </c>
      <c r="AE178" s="451">
        <v>0</v>
      </c>
      <c r="AF178" s="451">
        <v>1148428.55</v>
      </c>
      <c r="AG178" s="451">
        <v>1270366</v>
      </c>
      <c r="AH178" s="451">
        <v>1016292</v>
      </c>
      <c r="AI178" s="451">
        <v>254073</v>
      </c>
      <c r="AJ178" s="451">
        <v>0</v>
      </c>
      <c r="AK178" s="451">
        <v>2540731</v>
      </c>
      <c r="AL178" s="451">
        <v>137500</v>
      </c>
      <c r="AM178" s="451">
        <v>110000</v>
      </c>
      <c r="AN178" s="451">
        <v>27500</v>
      </c>
      <c r="AO178" s="451">
        <v>0</v>
      </c>
      <c r="AP178" s="451">
        <v>275000</v>
      </c>
      <c r="AQ178" s="451">
        <v>25000</v>
      </c>
      <c r="AR178" s="451">
        <v>20000</v>
      </c>
      <c r="AS178" s="451">
        <v>5000</v>
      </c>
      <c r="AT178" s="451">
        <v>0</v>
      </c>
      <c r="AU178" s="451">
        <v>50000</v>
      </c>
      <c r="AV178" s="451">
        <v>162500</v>
      </c>
      <c r="AW178" s="451">
        <v>130000</v>
      </c>
      <c r="AX178" s="451">
        <v>32500</v>
      </c>
      <c r="AY178" s="451">
        <v>0</v>
      </c>
      <c r="AZ178" s="451">
        <v>325000</v>
      </c>
      <c r="BA178" s="451">
        <v>0</v>
      </c>
      <c r="BB178" s="451">
        <v>0</v>
      </c>
      <c r="BC178" s="451">
        <v>0</v>
      </c>
      <c r="BD178" s="451">
        <v>0</v>
      </c>
      <c r="BE178" s="451">
        <v>0</v>
      </c>
      <c r="BF178" s="451">
        <v>219992</v>
      </c>
      <c r="BG178" s="451">
        <v>175994</v>
      </c>
      <c r="BH178" s="451">
        <v>43998</v>
      </c>
      <c r="BI178" s="451">
        <v>0</v>
      </c>
      <c r="BJ178" s="451">
        <v>439984</v>
      </c>
      <c r="BK178" s="451">
        <v>219992</v>
      </c>
      <c r="BL178" s="451">
        <v>175994</v>
      </c>
      <c r="BM178" s="451">
        <v>43998</v>
      </c>
      <c r="BN178" s="451">
        <v>0</v>
      </c>
      <c r="BO178" s="451">
        <v>439984</v>
      </c>
      <c r="BP178" s="451">
        <v>0</v>
      </c>
      <c r="BQ178" s="451">
        <v>0</v>
      </c>
      <c r="BR178" s="451">
        <v>0</v>
      </c>
      <c r="BS178" s="451">
        <v>0</v>
      </c>
      <c r="BT178" s="451">
        <v>0</v>
      </c>
      <c r="BU178" s="451">
        <v>609532</v>
      </c>
      <c r="BV178" s="451">
        <v>487625</v>
      </c>
      <c r="BW178" s="451">
        <v>121906</v>
      </c>
      <c r="BX178" s="451">
        <v>0</v>
      </c>
      <c r="BY178" s="451">
        <v>1219063</v>
      </c>
      <c r="BZ178" s="451">
        <v>609532</v>
      </c>
      <c r="CA178" s="451">
        <v>487625</v>
      </c>
      <c r="CB178" s="451">
        <v>121906</v>
      </c>
      <c r="CC178" s="451">
        <v>0</v>
      </c>
      <c r="CD178" s="451">
        <v>1219063</v>
      </c>
      <c r="CE178" s="104"/>
      <c r="CF178" s="104"/>
      <c r="CG178" s="104"/>
    </row>
    <row r="179" spans="1:85" ht="12.75" x14ac:dyDescent="0.2">
      <c r="A179" s="446">
        <v>172</v>
      </c>
      <c r="B179" s="447" t="s">
        <v>227</v>
      </c>
      <c r="C179" s="448" t="s">
        <v>1093</v>
      </c>
      <c r="D179" s="449" t="s">
        <v>1094</v>
      </c>
      <c r="E179" s="450" t="s">
        <v>226</v>
      </c>
      <c r="F179" s="451">
        <v>27862992</v>
      </c>
      <c r="G179" s="451">
        <v>22290394</v>
      </c>
      <c r="H179" s="451">
        <v>5015339</v>
      </c>
      <c r="I179" s="451">
        <v>557260</v>
      </c>
      <c r="J179" s="451">
        <v>55725985</v>
      </c>
      <c r="K179" s="451">
        <v>0</v>
      </c>
      <c r="L179" s="451">
        <v>0</v>
      </c>
      <c r="M179" s="451">
        <v>27862992</v>
      </c>
      <c r="N179" s="451">
        <v>55725985</v>
      </c>
      <c r="O179" s="451">
        <v>286160</v>
      </c>
      <c r="P179" s="451">
        <v>286160</v>
      </c>
      <c r="Q179" s="451">
        <v>0</v>
      </c>
      <c r="R179" s="451">
        <v>0</v>
      </c>
      <c r="S179" s="451">
        <v>0</v>
      </c>
      <c r="T179" s="451">
        <v>0</v>
      </c>
      <c r="U179" s="451">
        <v>278</v>
      </c>
      <c r="V179" s="451">
        <v>0</v>
      </c>
      <c r="W179" s="451">
        <v>278</v>
      </c>
      <c r="X179" s="451">
        <v>0</v>
      </c>
      <c r="Y179" s="451">
        <v>0</v>
      </c>
      <c r="Z179" s="451">
        <v>0</v>
      </c>
      <c r="AA179" s="451">
        <v>0</v>
      </c>
      <c r="AB179" s="451">
        <v>785254</v>
      </c>
      <c r="AC179" s="451">
        <v>628203</v>
      </c>
      <c r="AD179" s="451">
        <v>141346</v>
      </c>
      <c r="AE179" s="451">
        <v>15705</v>
      </c>
      <c r="AF179" s="451">
        <v>1570508</v>
      </c>
      <c r="AG179" s="451">
        <v>117350</v>
      </c>
      <c r="AH179" s="451">
        <v>93880</v>
      </c>
      <c r="AI179" s="451">
        <v>21123</v>
      </c>
      <c r="AJ179" s="451">
        <v>2347</v>
      </c>
      <c r="AK179" s="451">
        <v>234700</v>
      </c>
      <c r="AL179" s="451">
        <v>226500</v>
      </c>
      <c r="AM179" s="451">
        <v>181200</v>
      </c>
      <c r="AN179" s="451">
        <v>40770</v>
      </c>
      <c r="AO179" s="451">
        <v>4530</v>
      </c>
      <c r="AP179" s="451">
        <v>453000</v>
      </c>
      <c r="AQ179" s="451">
        <v>26280</v>
      </c>
      <c r="AR179" s="451">
        <v>21024</v>
      </c>
      <c r="AS179" s="451">
        <v>4730</v>
      </c>
      <c r="AT179" s="451">
        <v>526</v>
      </c>
      <c r="AU179" s="451">
        <v>52560</v>
      </c>
      <c r="AV179" s="451">
        <v>252780</v>
      </c>
      <c r="AW179" s="451">
        <v>202224</v>
      </c>
      <c r="AX179" s="451">
        <v>45500</v>
      </c>
      <c r="AY179" s="451">
        <v>5056</v>
      </c>
      <c r="AZ179" s="451">
        <v>505560</v>
      </c>
      <c r="BA179" s="451">
        <v>0</v>
      </c>
      <c r="BB179" s="451">
        <v>0</v>
      </c>
      <c r="BC179" s="451">
        <v>0</v>
      </c>
      <c r="BD179" s="451">
        <v>0</v>
      </c>
      <c r="BE179" s="451">
        <v>0</v>
      </c>
      <c r="BF179" s="451">
        <v>950912</v>
      </c>
      <c r="BG179" s="451">
        <v>760730</v>
      </c>
      <c r="BH179" s="451">
        <v>171164</v>
      </c>
      <c r="BI179" s="451">
        <v>19018</v>
      </c>
      <c r="BJ179" s="451">
        <v>1901824</v>
      </c>
      <c r="BK179" s="451">
        <v>950912</v>
      </c>
      <c r="BL179" s="451">
        <v>760730</v>
      </c>
      <c r="BM179" s="451">
        <v>171164</v>
      </c>
      <c r="BN179" s="451">
        <v>19018</v>
      </c>
      <c r="BO179" s="451">
        <v>1901824</v>
      </c>
      <c r="BP179" s="451">
        <v>0</v>
      </c>
      <c r="BQ179" s="451">
        <v>0</v>
      </c>
      <c r="BR179" s="451">
        <v>0</v>
      </c>
      <c r="BS179" s="451">
        <v>0</v>
      </c>
      <c r="BT179" s="451">
        <v>0</v>
      </c>
      <c r="BU179" s="451">
        <v>2623836</v>
      </c>
      <c r="BV179" s="451">
        <v>2099068</v>
      </c>
      <c r="BW179" s="451">
        <v>472290</v>
      </c>
      <c r="BX179" s="451">
        <v>52477</v>
      </c>
      <c r="BY179" s="451">
        <v>5247671</v>
      </c>
      <c r="BZ179" s="451">
        <v>2623836</v>
      </c>
      <c r="CA179" s="451">
        <v>2099068</v>
      </c>
      <c r="CB179" s="451">
        <v>472290</v>
      </c>
      <c r="CC179" s="451">
        <v>52477</v>
      </c>
      <c r="CD179" s="451">
        <v>5247671</v>
      </c>
      <c r="CE179" s="104"/>
      <c r="CF179" s="104"/>
      <c r="CG179" s="104"/>
    </row>
    <row r="180" spans="1:85" ht="12.75" x14ac:dyDescent="0.2">
      <c r="A180" s="446">
        <v>173</v>
      </c>
      <c r="B180" s="447" t="s">
        <v>229</v>
      </c>
      <c r="C180" s="448" t="s">
        <v>1093</v>
      </c>
      <c r="D180" s="449" t="s">
        <v>1096</v>
      </c>
      <c r="E180" s="450" t="s">
        <v>728</v>
      </c>
      <c r="F180" s="451">
        <v>18201462</v>
      </c>
      <c r="G180" s="451">
        <v>14561170</v>
      </c>
      <c r="H180" s="451">
        <v>3276263</v>
      </c>
      <c r="I180" s="451">
        <v>364029</v>
      </c>
      <c r="J180" s="451">
        <v>36402924</v>
      </c>
      <c r="K180" s="451">
        <v>0</v>
      </c>
      <c r="L180" s="451">
        <v>0</v>
      </c>
      <c r="M180" s="451">
        <v>18201462</v>
      </c>
      <c r="N180" s="451">
        <v>36402924</v>
      </c>
      <c r="O180" s="451">
        <v>164324</v>
      </c>
      <c r="P180" s="451">
        <v>164324</v>
      </c>
      <c r="Q180" s="451">
        <v>0</v>
      </c>
      <c r="R180" s="451">
        <v>0</v>
      </c>
      <c r="S180" s="451">
        <v>0</v>
      </c>
      <c r="T180" s="451">
        <v>0</v>
      </c>
      <c r="U180" s="451">
        <v>0</v>
      </c>
      <c r="V180" s="451">
        <v>0</v>
      </c>
      <c r="W180" s="451">
        <v>0</v>
      </c>
      <c r="X180" s="451">
        <v>0</v>
      </c>
      <c r="Y180" s="451">
        <v>0</v>
      </c>
      <c r="Z180" s="451">
        <v>0</v>
      </c>
      <c r="AA180" s="451">
        <v>0</v>
      </c>
      <c r="AB180" s="451">
        <v>670378</v>
      </c>
      <c r="AC180" s="451">
        <v>536303</v>
      </c>
      <c r="AD180" s="451">
        <v>120668</v>
      </c>
      <c r="AE180" s="451">
        <v>13408</v>
      </c>
      <c r="AF180" s="451">
        <v>1340757</v>
      </c>
      <c r="AG180" s="451">
        <v>120879</v>
      </c>
      <c r="AH180" s="451">
        <v>96703</v>
      </c>
      <c r="AI180" s="451">
        <v>21758</v>
      </c>
      <c r="AJ180" s="451">
        <v>2418</v>
      </c>
      <c r="AK180" s="451">
        <v>241758</v>
      </c>
      <c r="AL180" s="451">
        <v>0</v>
      </c>
      <c r="AM180" s="451">
        <v>0</v>
      </c>
      <c r="AN180" s="451">
        <v>0</v>
      </c>
      <c r="AO180" s="451">
        <v>0</v>
      </c>
      <c r="AP180" s="451">
        <v>0</v>
      </c>
      <c r="AQ180" s="451">
        <v>224468</v>
      </c>
      <c r="AR180" s="451">
        <v>179574</v>
      </c>
      <c r="AS180" s="451">
        <v>40404</v>
      </c>
      <c r="AT180" s="451">
        <v>4489</v>
      </c>
      <c r="AU180" s="451">
        <v>448935</v>
      </c>
      <c r="AV180" s="451">
        <v>224468</v>
      </c>
      <c r="AW180" s="451">
        <v>179574</v>
      </c>
      <c r="AX180" s="451">
        <v>40404</v>
      </c>
      <c r="AY180" s="451">
        <v>4489</v>
      </c>
      <c r="AZ180" s="451">
        <v>448935</v>
      </c>
      <c r="BA180" s="451">
        <v>0</v>
      </c>
      <c r="BB180" s="451">
        <v>0</v>
      </c>
      <c r="BC180" s="451">
        <v>0</v>
      </c>
      <c r="BD180" s="451">
        <v>0</v>
      </c>
      <c r="BE180" s="451">
        <v>0</v>
      </c>
      <c r="BF180" s="451">
        <v>220999</v>
      </c>
      <c r="BG180" s="451">
        <v>176800</v>
      </c>
      <c r="BH180" s="451">
        <v>39780</v>
      </c>
      <c r="BI180" s="451">
        <v>4420</v>
      </c>
      <c r="BJ180" s="451">
        <v>441999</v>
      </c>
      <c r="BK180" s="451">
        <v>220999</v>
      </c>
      <c r="BL180" s="451">
        <v>176800</v>
      </c>
      <c r="BM180" s="451">
        <v>39780</v>
      </c>
      <c r="BN180" s="451">
        <v>4420</v>
      </c>
      <c r="BO180" s="451">
        <v>441999</v>
      </c>
      <c r="BP180" s="451">
        <v>0</v>
      </c>
      <c r="BQ180" s="451">
        <v>0</v>
      </c>
      <c r="BR180" s="451">
        <v>0</v>
      </c>
      <c r="BS180" s="451">
        <v>0</v>
      </c>
      <c r="BT180" s="451">
        <v>0</v>
      </c>
      <c r="BU180" s="451">
        <v>612323</v>
      </c>
      <c r="BV180" s="451">
        <v>489858</v>
      </c>
      <c r="BW180" s="451">
        <v>110218</v>
      </c>
      <c r="BX180" s="451">
        <v>12246</v>
      </c>
      <c r="BY180" s="451">
        <v>1224645</v>
      </c>
      <c r="BZ180" s="451">
        <v>612323</v>
      </c>
      <c r="CA180" s="451">
        <v>489858</v>
      </c>
      <c r="CB180" s="451">
        <v>110218</v>
      </c>
      <c r="CC180" s="451">
        <v>12246</v>
      </c>
      <c r="CD180" s="451">
        <v>1224645</v>
      </c>
      <c r="CE180" s="104"/>
      <c r="CF180" s="104"/>
      <c r="CG180" s="104"/>
    </row>
    <row r="181" spans="1:85" ht="12.75" x14ac:dyDescent="0.2">
      <c r="A181" s="446">
        <v>174</v>
      </c>
      <c r="B181" s="447" t="s">
        <v>231</v>
      </c>
      <c r="C181" s="448" t="s">
        <v>1100</v>
      </c>
      <c r="D181" s="449" t="s">
        <v>1105</v>
      </c>
      <c r="E181" s="450" t="s">
        <v>1118</v>
      </c>
      <c r="F181" s="451">
        <v>64245623</v>
      </c>
      <c r="G181" s="451">
        <v>62960710</v>
      </c>
      <c r="H181" s="451">
        <v>0</v>
      </c>
      <c r="I181" s="451">
        <v>1284912</v>
      </c>
      <c r="J181" s="451">
        <v>128491245</v>
      </c>
      <c r="K181" s="451">
        <v>0</v>
      </c>
      <c r="L181" s="451">
        <v>0</v>
      </c>
      <c r="M181" s="451">
        <v>64245623</v>
      </c>
      <c r="N181" s="451">
        <v>128491245</v>
      </c>
      <c r="O181" s="451">
        <v>461240</v>
      </c>
      <c r="P181" s="451">
        <v>461240</v>
      </c>
      <c r="Q181" s="451">
        <v>258625</v>
      </c>
      <c r="R181" s="451">
        <v>258625</v>
      </c>
      <c r="S181" s="451">
        <v>1132971</v>
      </c>
      <c r="T181" s="451">
        <v>1132971</v>
      </c>
      <c r="U181" s="451">
        <v>0</v>
      </c>
      <c r="V181" s="451">
        <v>0</v>
      </c>
      <c r="W181" s="451">
        <v>0</v>
      </c>
      <c r="X181" s="451">
        <v>0</v>
      </c>
      <c r="Y181" s="451">
        <v>0</v>
      </c>
      <c r="Z181" s="451">
        <v>0</v>
      </c>
      <c r="AA181" s="451">
        <v>0</v>
      </c>
      <c r="AB181" s="451">
        <v>4154909</v>
      </c>
      <c r="AC181" s="451">
        <v>4071810</v>
      </c>
      <c r="AD181" s="451">
        <v>0</v>
      </c>
      <c r="AE181" s="451">
        <v>83098</v>
      </c>
      <c r="AF181" s="451">
        <v>8309817</v>
      </c>
      <c r="AG181" s="451">
        <v>3238171</v>
      </c>
      <c r="AH181" s="451">
        <v>3173407</v>
      </c>
      <c r="AI181" s="451">
        <v>0</v>
      </c>
      <c r="AJ181" s="451">
        <v>64763</v>
      </c>
      <c r="AK181" s="451">
        <v>6476341</v>
      </c>
      <c r="AL181" s="451">
        <v>0</v>
      </c>
      <c r="AM181" s="451">
        <v>0</v>
      </c>
      <c r="AN181" s="451">
        <v>0</v>
      </c>
      <c r="AO181" s="451">
        <v>0</v>
      </c>
      <c r="AP181" s="451">
        <v>0</v>
      </c>
      <c r="AQ181" s="451">
        <v>563782</v>
      </c>
      <c r="AR181" s="451">
        <v>552506</v>
      </c>
      <c r="AS181" s="451">
        <v>0</v>
      </c>
      <c r="AT181" s="451">
        <v>11276</v>
      </c>
      <c r="AU181" s="451">
        <v>1127564</v>
      </c>
      <c r="AV181" s="451">
        <v>563782</v>
      </c>
      <c r="AW181" s="451">
        <v>552506</v>
      </c>
      <c r="AX181" s="451">
        <v>0</v>
      </c>
      <c r="AY181" s="451">
        <v>11276</v>
      </c>
      <c r="AZ181" s="451">
        <v>1127564</v>
      </c>
      <c r="BA181" s="451">
        <v>0</v>
      </c>
      <c r="BB181" s="451">
        <v>0</v>
      </c>
      <c r="BC181" s="451">
        <v>0</v>
      </c>
      <c r="BD181" s="451">
        <v>0</v>
      </c>
      <c r="BE181" s="451">
        <v>0</v>
      </c>
      <c r="BF181" s="451">
        <v>1410705</v>
      </c>
      <c r="BG181" s="451">
        <v>1382490</v>
      </c>
      <c r="BH181" s="451">
        <v>0</v>
      </c>
      <c r="BI181" s="451">
        <v>28214</v>
      </c>
      <c r="BJ181" s="451">
        <v>2821409</v>
      </c>
      <c r="BK181" s="451">
        <v>1410705</v>
      </c>
      <c r="BL181" s="451">
        <v>1382490</v>
      </c>
      <c r="BM181" s="451">
        <v>0</v>
      </c>
      <c r="BN181" s="451">
        <v>28214</v>
      </c>
      <c r="BO181" s="451">
        <v>2821409</v>
      </c>
      <c r="BP181" s="451">
        <v>0</v>
      </c>
      <c r="BQ181" s="451">
        <v>0</v>
      </c>
      <c r="BR181" s="451">
        <v>0</v>
      </c>
      <c r="BS181" s="451">
        <v>0</v>
      </c>
      <c r="BT181" s="451">
        <v>0</v>
      </c>
      <c r="BU181" s="451">
        <v>6887558</v>
      </c>
      <c r="BV181" s="451">
        <v>6749807</v>
      </c>
      <c r="BW181" s="451">
        <v>0</v>
      </c>
      <c r="BX181" s="451">
        <v>137751</v>
      </c>
      <c r="BY181" s="451">
        <v>13775116</v>
      </c>
      <c r="BZ181" s="451">
        <v>6887558</v>
      </c>
      <c r="CA181" s="451">
        <v>6749807</v>
      </c>
      <c r="CB181" s="451">
        <v>0</v>
      </c>
      <c r="CC181" s="451">
        <v>137751</v>
      </c>
      <c r="CD181" s="451">
        <v>13775116</v>
      </c>
      <c r="CE181" s="104"/>
      <c r="CF181" s="104"/>
      <c r="CG181" s="104"/>
    </row>
    <row r="182" spans="1:85" ht="12.75" x14ac:dyDescent="0.2">
      <c r="A182" s="446">
        <v>175</v>
      </c>
      <c r="B182" s="447" t="s">
        <v>233</v>
      </c>
      <c r="C182" s="448" t="s">
        <v>1093</v>
      </c>
      <c r="D182" s="449" t="s">
        <v>1103</v>
      </c>
      <c r="E182" s="450" t="s">
        <v>232</v>
      </c>
      <c r="F182" s="451">
        <v>16147380</v>
      </c>
      <c r="G182" s="451">
        <v>12917904</v>
      </c>
      <c r="H182" s="451">
        <v>2906528</v>
      </c>
      <c r="I182" s="451">
        <v>322948</v>
      </c>
      <c r="J182" s="451">
        <v>32294760</v>
      </c>
      <c r="K182" s="451">
        <v>0</v>
      </c>
      <c r="L182" s="451">
        <v>0</v>
      </c>
      <c r="M182" s="451">
        <v>16147380</v>
      </c>
      <c r="N182" s="451">
        <v>32294760</v>
      </c>
      <c r="O182" s="451">
        <v>141676</v>
      </c>
      <c r="P182" s="451">
        <v>141676</v>
      </c>
      <c r="Q182" s="451">
        <v>0</v>
      </c>
      <c r="R182" s="451">
        <v>0</v>
      </c>
      <c r="S182" s="451">
        <v>0</v>
      </c>
      <c r="T182" s="451">
        <v>0</v>
      </c>
      <c r="U182" s="451">
        <v>0</v>
      </c>
      <c r="V182" s="451">
        <v>0</v>
      </c>
      <c r="W182" s="451">
        <v>0</v>
      </c>
      <c r="X182" s="451">
        <v>0</v>
      </c>
      <c r="Y182" s="451">
        <v>0</v>
      </c>
      <c r="Z182" s="451">
        <v>0</v>
      </c>
      <c r="AA182" s="451">
        <v>0</v>
      </c>
      <c r="AB182" s="451">
        <v>1260528</v>
      </c>
      <c r="AC182" s="451">
        <v>1008422</v>
      </c>
      <c r="AD182" s="451">
        <v>226895</v>
      </c>
      <c r="AE182" s="451">
        <v>25211</v>
      </c>
      <c r="AF182" s="451">
        <v>2521056</v>
      </c>
      <c r="AG182" s="451">
        <v>175021</v>
      </c>
      <c r="AH182" s="451">
        <v>140017</v>
      </c>
      <c r="AI182" s="451">
        <v>31504</v>
      </c>
      <c r="AJ182" s="451">
        <v>3500</v>
      </c>
      <c r="AK182" s="451">
        <v>350042</v>
      </c>
      <c r="AL182" s="451">
        <v>0</v>
      </c>
      <c r="AM182" s="451">
        <v>0</v>
      </c>
      <c r="AN182" s="451">
        <v>0</v>
      </c>
      <c r="AO182" s="451">
        <v>0</v>
      </c>
      <c r="AP182" s="451">
        <v>0</v>
      </c>
      <c r="AQ182" s="451">
        <v>1830</v>
      </c>
      <c r="AR182" s="451">
        <v>1464</v>
      </c>
      <c r="AS182" s="451">
        <v>329</v>
      </c>
      <c r="AT182" s="451">
        <v>37</v>
      </c>
      <c r="AU182" s="451">
        <v>3660</v>
      </c>
      <c r="AV182" s="451">
        <v>1830</v>
      </c>
      <c r="AW182" s="451">
        <v>1464</v>
      </c>
      <c r="AX182" s="451">
        <v>329</v>
      </c>
      <c r="AY182" s="451">
        <v>37</v>
      </c>
      <c r="AZ182" s="451">
        <v>3660</v>
      </c>
      <c r="BA182" s="451">
        <v>0</v>
      </c>
      <c r="BB182" s="451">
        <v>0</v>
      </c>
      <c r="BC182" s="451">
        <v>0</v>
      </c>
      <c r="BD182" s="451">
        <v>0</v>
      </c>
      <c r="BE182" s="451">
        <v>0</v>
      </c>
      <c r="BF182" s="451">
        <v>61500</v>
      </c>
      <c r="BG182" s="451">
        <v>49200</v>
      </c>
      <c r="BH182" s="451">
        <v>11070</v>
      </c>
      <c r="BI182" s="451">
        <v>1230</v>
      </c>
      <c r="BJ182" s="451">
        <v>123000</v>
      </c>
      <c r="BK182" s="451">
        <v>61500</v>
      </c>
      <c r="BL182" s="451">
        <v>49200</v>
      </c>
      <c r="BM182" s="451">
        <v>11070</v>
      </c>
      <c r="BN182" s="451">
        <v>1230</v>
      </c>
      <c r="BO182" s="451">
        <v>123000</v>
      </c>
      <c r="BP182" s="451">
        <v>0</v>
      </c>
      <c r="BQ182" s="451">
        <v>0</v>
      </c>
      <c r="BR182" s="451">
        <v>0</v>
      </c>
      <c r="BS182" s="451">
        <v>0</v>
      </c>
      <c r="BT182" s="451">
        <v>0</v>
      </c>
      <c r="BU182" s="451">
        <v>198500</v>
      </c>
      <c r="BV182" s="451">
        <v>158800</v>
      </c>
      <c r="BW182" s="451">
        <v>35730</v>
      </c>
      <c r="BX182" s="451">
        <v>3970</v>
      </c>
      <c r="BY182" s="451">
        <v>397000</v>
      </c>
      <c r="BZ182" s="451">
        <v>198500</v>
      </c>
      <c r="CA182" s="451">
        <v>158800</v>
      </c>
      <c r="CB182" s="451">
        <v>35730</v>
      </c>
      <c r="CC182" s="451">
        <v>3970</v>
      </c>
      <c r="CD182" s="451">
        <v>397000</v>
      </c>
      <c r="CE182" s="104"/>
      <c r="CF182" s="104"/>
      <c r="CG182" s="104"/>
    </row>
    <row r="183" spans="1:85" ht="12.75" x14ac:dyDescent="0.2">
      <c r="A183" s="446">
        <v>176</v>
      </c>
      <c r="B183" s="447" t="s">
        <v>235</v>
      </c>
      <c r="C183" s="448" t="s">
        <v>1098</v>
      </c>
      <c r="D183" s="449" t="s">
        <v>1099</v>
      </c>
      <c r="E183" s="450" t="s">
        <v>234</v>
      </c>
      <c r="F183" s="451">
        <v>59576064</v>
      </c>
      <c r="G183" s="451">
        <v>35745638</v>
      </c>
      <c r="H183" s="451">
        <v>23830426</v>
      </c>
      <c r="I183" s="451">
        <v>0</v>
      </c>
      <c r="J183" s="451">
        <v>119152128</v>
      </c>
      <c r="K183" s="451">
        <v>101389</v>
      </c>
      <c r="L183" s="451">
        <v>101389</v>
      </c>
      <c r="M183" s="451">
        <v>59474675</v>
      </c>
      <c r="N183" s="451">
        <v>119050739</v>
      </c>
      <c r="O183" s="451">
        <v>387053</v>
      </c>
      <c r="P183" s="451">
        <v>387053</v>
      </c>
      <c r="Q183" s="451">
        <v>173688</v>
      </c>
      <c r="R183" s="451">
        <v>173688</v>
      </c>
      <c r="S183" s="451">
        <v>0</v>
      </c>
      <c r="T183" s="451">
        <v>0</v>
      </c>
      <c r="U183" s="451">
        <v>0</v>
      </c>
      <c r="V183" s="451">
        <v>0</v>
      </c>
      <c r="W183" s="451">
        <v>0</v>
      </c>
      <c r="X183" s="451">
        <v>101389</v>
      </c>
      <c r="Y183" s="451">
        <v>0</v>
      </c>
      <c r="Z183" s="451">
        <v>0</v>
      </c>
      <c r="AA183" s="451">
        <v>101389</v>
      </c>
      <c r="AB183" s="451">
        <v>2866126</v>
      </c>
      <c r="AC183" s="451">
        <v>1719675</v>
      </c>
      <c r="AD183" s="451">
        <v>1146450</v>
      </c>
      <c r="AE183" s="451">
        <v>0</v>
      </c>
      <c r="AF183" s="451">
        <v>5732251</v>
      </c>
      <c r="AG183" s="451">
        <v>3135624</v>
      </c>
      <c r="AH183" s="451">
        <v>1881374</v>
      </c>
      <c r="AI183" s="451">
        <v>1254250</v>
      </c>
      <c r="AJ183" s="451">
        <v>0</v>
      </c>
      <c r="AK183" s="451">
        <v>6271248</v>
      </c>
      <c r="AL183" s="451">
        <v>1203034</v>
      </c>
      <c r="AM183" s="451">
        <v>721820</v>
      </c>
      <c r="AN183" s="451">
        <v>481213</v>
      </c>
      <c r="AO183" s="451">
        <v>0</v>
      </c>
      <c r="AP183" s="451">
        <v>2406067</v>
      </c>
      <c r="AQ183" s="451">
        <v>227231</v>
      </c>
      <c r="AR183" s="451">
        <v>136339</v>
      </c>
      <c r="AS183" s="451">
        <v>90892</v>
      </c>
      <c r="AT183" s="451">
        <v>0</v>
      </c>
      <c r="AU183" s="451">
        <v>454462</v>
      </c>
      <c r="AV183" s="451">
        <v>1430265</v>
      </c>
      <c r="AW183" s="451">
        <v>858159</v>
      </c>
      <c r="AX183" s="451">
        <v>572105</v>
      </c>
      <c r="AY183" s="451">
        <v>0</v>
      </c>
      <c r="AZ183" s="451">
        <v>2860529</v>
      </c>
      <c r="BA183" s="451">
        <v>0</v>
      </c>
      <c r="BB183" s="451">
        <v>0</v>
      </c>
      <c r="BC183" s="451">
        <v>0</v>
      </c>
      <c r="BD183" s="451">
        <v>0</v>
      </c>
      <c r="BE183" s="451">
        <v>0</v>
      </c>
      <c r="BF183" s="451">
        <v>407512</v>
      </c>
      <c r="BG183" s="451">
        <v>244507</v>
      </c>
      <c r="BH183" s="451">
        <v>163005</v>
      </c>
      <c r="BI183" s="451">
        <v>0</v>
      </c>
      <c r="BJ183" s="451">
        <v>815024</v>
      </c>
      <c r="BK183" s="451">
        <v>407512</v>
      </c>
      <c r="BL183" s="451">
        <v>244507</v>
      </c>
      <c r="BM183" s="451">
        <v>163005</v>
      </c>
      <c r="BN183" s="451">
        <v>0</v>
      </c>
      <c r="BO183" s="451">
        <v>815024</v>
      </c>
      <c r="BP183" s="451">
        <v>0</v>
      </c>
      <c r="BQ183" s="451">
        <v>0</v>
      </c>
      <c r="BR183" s="451">
        <v>0</v>
      </c>
      <c r="BS183" s="451">
        <v>0</v>
      </c>
      <c r="BT183" s="451">
        <v>0</v>
      </c>
      <c r="BU183" s="451">
        <v>2727194</v>
      </c>
      <c r="BV183" s="451">
        <v>1636316</v>
      </c>
      <c r="BW183" s="451">
        <v>1090878</v>
      </c>
      <c r="BX183" s="451">
        <v>0</v>
      </c>
      <c r="BY183" s="451">
        <v>5454388</v>
      </c>
      <c r="BZ183" s="451">
        <v>2727194</v>
      </c>
      <c r="CA183" s="451">
        <v>1636316</v>
      </c>
      <c r="CB183" s="451">
        <v>1090878</v>
      </c>
      <c r="CC183" s="451">
        <v>0</v>
      </c>
      <c r="CD183" s="451">
        <v>5454388</v>
      </c>
      <c r="CE183" s="104"/>
      <c r="CF183" s="104"/>
      <c r="CG183" s="104"/>
    </row>
    <row r="184" spans="1:85" ht="12.75" x14ac:dyDescent="0.2">
      <c r="A184" s="446">
        <v>177</v>
      </c>
      <c r="B184" s="447" t="s">
        <v>237</v>
      </c>
      <c r="C184" s="448" t="s">
        <v>1093</v>
      </c>
      <c r="D184" s="449" t="s">
        <v>1102</v>
      </c>
      <c r="E184" s="450" t="s">
        <v>236</v>
      </c>
      <c r="F184" s="451">
        <v>15062351</v>
      </c>
      <c r="G184" s="451">
        <v>12049880</v>
      </c>
      <c r="H184" s="451">
        <v>2711223</v>
      </c>
      <c r="I184" s="451">
        <v>301247</v>
      </c>
      <c r="J184" s="451">
        <v>30124701</v>
      </c>
      <c r="K184" s="451">
        <v>0</v>
      </c>
      <c r="L184" s="451">
        <v>0</v>
      </c>
      <c r="M184" s="451">
        <v>15062351</v>
      </c>
      <c r="N184" s="451">
        <v>30124701</v>
      </c>
      <c r="O184" s="451">
        <v>202305</v>
      </c>
      <c r="P184" s="451">
        <v>202305</v>
      </c>
      <c r="Q184" s="451">
        <v>0</v>
      </c>
      <c r="R184" s="451">
        <v>0</v>
      </c>
      <c r="S184" s="451">
        <v>0</v>
      </c>
      <c r="T184" s="451">
        <v>0</v>
      </c>
      <c r="U184" s="451">
        <v>0</v>
      </c>
      <c r="V184" s="451">
        <v>0</v>
      </c>
      <c r="W184" s="451">
        <v>0</v>
      </c>
      <c r="X184" s="451">
        <v>0</v>
      </c>
      <c r="Y184" s="451">
        <v>0</v>
      </c>
      <c r="Z184" s="451">
        <v>0</v>
      </c>
      <c r="AA184" s="451">
        <v>0</v>
      </c>
      <c r="AB184" s="451">
        <v>725599</v>
      </c>
      <c r="AC184" s="451">
        <v>580479</v>
      </c>
      <c r="AD184" s="451">
        <v>130608</v>
      </c>
      <c r="AE184" s="451">
        <v>14512</v>
      </c>
      <c r="AF184" s="451">
        <v>1451198</v>
      </c>
      <c r="AG184" s="451">
        <v>440785</v>
      </c>
      <c r="AH184" s="451">
        <v>352628</v>
      </c>
      <c r="AI184" s="451">
        <v>79341</v>
      </c>
      <c r="AJ184" s="451">
        <v>8816</v>
      </c>
      <c r="AK184" s="451">
        <v>881570</v>
      </c>
      <c r="AL184" s="451">
        <v>270403</v>
      </c>
      <c r="AM184" s="451">
        <v>216323</v>
      </c>
      <c r="AN184" s="451">
        <v>48673</v>
      </c>
      <c r="AO184" s="451">
        <v>5408</v>
      </c>
      <c r="AP184" s="451">
        <v>540807</v>
      </c>
      <c r="AQ184" s="451">
        <v>108517</v>
      </c>
      <c r="AR184" s="451">
        <v>86813</v>
      </c>
      <c r="AS184" s="451">
        <v>19533</v>
      </c>
      <c r="AT184" s="451">
        <v>2170</v>
      </c>
      <c r="AU184" s="451">
        <v>217033</v>
      </c>
      <c r="AV184" s="451">
        <v>378920</v>
      </c>
      <c r="AW184" s="451">
        <v>303136</v>
      </c>
      <c r="AX184" s="451">
        <v>68206</v>
      </c>
      <c r="AY184" s="451">
        <v>7578</v>
      </c>
      <c r="AZ184" s="451">
        <v>757840</v>
      </c>
      <c r="BA184" s="451">
        <v>0</v>
      </c>
      <c r="BB184" s="451">
        <v>0</v>
      </c>
      <c r="BC184" s="451">
        <v>0</v>
      </c>
      <c r="BD184" s="451">
        <v>0</v>
      </c>
      <c r="BE184" s="451">
        <v>0</v>
      </c>
      <c r="BF184" s="451">
        <v>100572</v>
      </c>
      <c r="BG184" s="451">
        <v>80458</v>
      </c>
      <c r="BH184" s="451">
        <v>18103</v>
      </c>
      <c r="BI184" s="451">
        <v>2011</v>
      </c>
      <c r="BJ184" s="451">
        <v>201144</v>
      </c>
      <c r="BK184" s="451">
        <v>100572</v>
      </c>
      <c r="BL184" s="451">
        <v>80458</v>
      </c>
      <c r="BM184" s="451">
        <v>18103</v>
      </c>
      <c r="BN184" s="451">
        <v>2011</v>
      </c>
      <c r="BO184" s="451">
        <v>201144</v>
      </c>
      <c r="BP184" s="451">
        <v>0</v>
      </c>
      <c r="BQ184" s="451">
        <v>0</v>
      </c>
      <c r="BR184" s="451">
        <v>0</v>
      </c>
      <c r="BS184" s="451">
        <v>0</v>
      </c>
      <c r="BT184" s="451">
        <v>0</v>
      </c>
      <c r="BU184" s="451">
        <v>329981</v>
      </c>
      <c r="BV184" s="451">
        <v>263984</v>
      </c>
      <c r="BW184" s="451">
        <v>59396</v>
      </c>
      <c r="BX184" s="451">
        <v>6600</v>
      </c>
      <c r="BY184" s="451">
        <v>659961</v>
      </c>
      <c r="BZ184" s="451">
        <v>329981</v>
      </c>
      <c r="CA184" s="451">
        <v>263984</v>
      </c>
      <c r="CB184" s="451">
        <v>59396</v>
      </c>
      <c r="CC184" s="451">
        <v>6600</v>
      </c>
      <c r="CD184" s="451">
        <v>659961</v>
      </c>
      <c r="CE184" s="104"/>
      <c r="CF184" s="104"/>
      <c r="CG184" s="104"/>
    </row>
    <row r="185" spans="1:85" ht="12.75" x14ac:dyDescent="0.2">
      <c r="A185" s="446">
        <v>178</v>
      </c>
      <c r="B185" s="447" t="s">
        <v>239</v>
      </c>
      <c r="C185" s="448" t="s">
        <v>1093</v>
      </c>
      <c r="D185" s="449" t="s">
        <v>1102</v>
      </c>
      <c r="E185" s="450" t="s">
        <v>238</v>
      </c>
      <c r="F185" s="451">
        <v>6294574</v>
      </c>
      <c r="G185" s="451">
        <v>5035659</v>
      </c>
      <c r="H185" s="451">
        <v>1133023</v>
      </c>
      <c r="I185" s="451">
        <v>125891</v>
      </c>
      <c r="J185" s="451">
        <v>12589147</v>
      </c>
      <c r="K185" s="451">
        <v>0</v>
      </c>
      <c r="L185" s="451">
        <v>0</v>
      </c>
      <c r="M185" s="451">
        <v>6294574</v>
      </c>
      <c r="N185" s="451">
        <v>12589147</v>
      </c>
      <c r="O185" s="451">
        <v>91750</v>
      </c>
      <c r="P185" s="451">
        <v>91750</v>
      </c>
      <c r="Q185" s="451">
        <v>0</v>
      </c>
      <c r="R185" s="451">
        <v>0</v>
      </c>
      <c r="S185" s="451">
        <v>0</v>
      </c>
      <c r="T185" s="451">
        <v>0</v>
      </c>
      <c r="U185" s="451">
        <v>0</v>
      </c>
      <c r="V185" s="451">
        <v>0</v>
      </c>
      <c r="W185" s="451">
        <v>0</v>
      </c>
      <c r="X185" s="451">
        <v>0</v>
      </c>
      <c r="Y185" s="451">
        <v>0</v>
      </c>
      <c r="Z185" s="451">
        <v>0</v>
      </c>
      <c r="AA185" s="451">
        <v>0</v>
      </c>
      <c r="AB185" s="451">
        <v>213936</v>
      </c>
      <c r="AC185" s="451">
        <v>171149</v>
      </c>
      <c r="AD185" s="451">
        <v>38508</v>
      </c>
      <c r="AE185" s="451">
        <v>4279</v>
      </c>
      <c r="AF185" s="451">
        <v>427872</v>
      </c>
      <c r="AG185" s="451">
        <v>77230</v>
      </c>
      <c r="AH185" s="451">
        <v>61784</v>
      </c>
      <c r="AI185" s="451">
        <v>13901</v>
      </c>
      <c r="AJ185" s="451">
        <v>1545</v>
      </c>
      <c r="AK185" s="451">
        <v>154460</v>
      </c>
      <c r="AL185" s="451">
        <v>74231</v>
      </c>
      <c r="AM185" s="451">
        <v>59385</v>
      </c>
      <c r="AN185" s="451">
        <v>13362</v>
      </c>
      <c r="AO185" s="451">
        <v>1485</v>
      </c>
      <c r="AP185" s="451">
        <v>148463</v>
      </c>
      <c r="AQ185" s="451">
        <v>59683</v>
      </c>
      <c r="AR185" s="451">
        <v>47746</v>
      </c>
      <c r="AS185" s="451">
        <v>10743</v>
      </c>
      <c r="AT185" s="451">
        <v>1194</v>
      </c>
      <c r="AU185" s="451">
        <v>119366</v>
      </c>
      <c r="AV185" s="451">
        <v>133914</v>
      </c>
      <c r="AW185" s="451">
        <v>107131</v>
      </c>
      <c r="AX185" s="451">
        <v>24105</v>
      </c>
      <c r="AY185" s="451">
        <v>2679</v>
      </c>
      <c r="AZ185" s="451">
        <v>267829</v>
      </c>
      <c r="BA185" s="451">
        <v>0</v>
      </c>
      <c r="BB185" s="451">
        <v>0</v>
      </c>
      <c r="BC185" s="451">
        <v>0</v>
      </c>
      <c r="BD185" s="451">
        <v>0</v>
      </c>
      <c r="BE185" s="451">
        <v>0</v>
      </c>
      <c r="BF185" s="451">
        <v>67006</v>
      </c>
      <c r="BG185" s="451">
        <v>53605</v>
      </c>
      <c r="BH185" s="451">
        <v>12061</v>
      </c>
      <c r="BI185" s="451">
        <v>1340</v>
      </c>
      <c r="BJ185" s="451">
        <v>134012</v>
      </c>
      <c r="BK185" s="451">
        <v>67006</v>
      </c>
      <c r="BL185" s="451">
        <v>53605</v>
      </c>
      <c r="BM185" s="451">
        <v>12061</v>
      </c>
      <c r="BN185" s="451">
        <v>1340</v>
      </c>
      <c r="BO185" s="451">
        <v>134012</v>
      </c>
      <c r="BP185" s="451">
        <v>0</v>
      </c>
      <c r="BQ185" s="451">
        <v>0</v>
      </c>
      <c r="BR185" s="451">
        <v>0</v>
      </c>
      <c r="BS185" s="451">
        <v>0</v>
      </c>
      <c r="BT185" s="451">
        <v>0</v>
      </c>
      <c r="BU185" s="451">
        <v>148726</v>
      </c>
      <c r="BV185" s="451">
        <v>118981</v>
      </c>
      <c r="BW185" s="451">
        <v>26771</v>
      </c>
      <c r="BX185" s="451">
        <v>2975</v>
      </c>
      <c r="BY185" s="451">
        <v>297453</v>
      </c>
      <c r="BZ185" s="451">
        <v>148726</v>
      </c>
      <c r="CA185" s="451">
        <v>118981</v>
      </c>
      <c r="CB185" s="451">
        <v>26771</v>
      </c>
      <c r="CC185" s="451">
        <v>2975</v>
      </c>
      <c r="CD185" s="451">
        <v>297453</v>
      </c>
      <c r="CE185" s="104" t="s">
        <v>1120</v>
      </c>
      <c r="CF185" s="104"/>
      <c r="CG185" s="104"/>
    </row>
    <row r="186" spans="1:85" ht="12.75" x14ac:dyDescent="0.2">
      <c r="A186" s="446">
        <v>179</v>
      </c>
      <c r="B186" s="447" t="s">
        <v>241</v>
      </c>
      <c r="C186" s="448" t="s">
        <v>1093</v>
      </c>
      <c r="D186" s="449" t="s">
        <v>1096</v>
      </c>
      <c r="E186" s="450" t="s">
        <v>240</v>
      </c>
      <c r="F186" s="451">
        <v>7237310</v>
      </c>
      <c r="G186" s="451">
        <v>5789848</v>
      </c>
      <c r="H186" s="451">
        <v>1302716</v>
      </c>
      <c r="I186" s="451">
        <v>144746</v>
      </c>
      <c r="J186" s="451">
        <v>14474620</v>
      </c>
      <c r="K186" s="451">
        <v>0</v>
      </c>
      <c r="L186" s="451">
        <v>0</v>
      </c>
      <c r="M186" s="451">
        <v>7237310</v>
      </c>
      <c r="N186" s="451">
        <v>14474620</v>
      </c>
      <c r="O186" s="451">
        <v>97498</v>
      </c>
      <c r="P186" s="451">
        <v>97498</v>
      </c>
      <c r="Q186" s="451">
        <v>0</v>
      </c>
      <c r="R186" s="451">
        <v>0</v>
      </c>
      <c r="S186" s="451">
        <v>0</v>
      </c>
      <c r="T186" s="451">
        <v>0</v>
      </c>
      <c r="U186" s="451">
        <v>0</v>
      </c>
      <c r="V186" s="451">
        <v>0</v>
      </c>
      <c r="W186" s="451">
        <v>0</v>
      </c>
      <c r="X186" s="451">
        <v>0</v>
      </c>
      <c r="Y186" s="451">
        <v>0</v>
      </c>
      <c r="Z186" s="451">
        <v>0</v>
      </c>
      <c r="AA186" s="451">
        <v>0</v>
      </c>
      <c r="AB186" s="451">
        <v>301319</v>
      </c>
      <c r="AC186" s="451">
        <v>241056</v>
      </c>
      <c r="AD186" s="451">
        <v>54238</v>
      </c>
      <c r="AE186" s="451">
        <v>6026</v>
      </c>
      <c r="AF186" s="451">
        <v>602639</v>
      </c>
      <c r="AG186" s="451">
        <v>375852.82</v>
      </c>
      <c r="AH186" s="451">
        <v>300683</v>
      </c>
      <c r="AI186" s="451">
        <v>67654</v>
      </c>
      <c r="AJ186" s="451">
        <v>7517</v>
      </c>
      <c r="AK186" s="451">
        <v>751706.82</v>
      </c>
      <c r="AL186" s="451">
        <v>79946</v>
      </c>
      <c r="AM186" s="451">
        <v>63957</v>
      </c>
      <c r="AN186" s="451">
        <v>14390</v>
      </c>
      <c r="AO186" s="451">
        <v>1599</v>
      </c>
      <c r="AP186" s="451">
        <v>159892</v>
      </c>
      <c r="AQ186" s="451">
        <v>-11436</v>
      </c>
      <c r="AR186" s="451">
        <v>-9148</v>
      </c>
      <c r="AS186" s="451">
        <v>-2058</v>
      </c>
      <c r="AT186" s="451">
        <v>-229</v>
      </c>
      <c r="AU186" s="451">
        <v>-22871</v>
      </c>
      <c r="AV186" s="451">
        <v>68510</v>
      </c>
      <c r="AW186" s="451">
        <v>54809</v>
      </c>
      <c r="AX186" s="451">
        <v>12332</v>
      </c>
      <c r="AY186" s="451">
        <v>1370</v>
      </c>
      <c r="AZ186" s="451">
        <v>137021</v>
      </c>
      <c r="BA186" s="451">
        <v>0</v>
      </c>
      <c r="BB186" s="451">
        <v>0</v>
      </c>
      <c r="BC186" s="451">
        <v>0</v>
      </c>
      <c r="BD186" s="451">
        <v>0</v>
      </c>
      <c r="BE186" s="451">
        <v>0</v>
      </c>
      <c r="BF186" s="451">
        <v>124799.02</v>
      </c>
      <c r="BG186" s="451">
        <v>99839</v>
      </c>
      <c r="BH186" s="451">
        <v>22464</v>
      </c>
      <c r="BI186" s="451">
        <v>2496</v>
      </c>
      <c r="BJ186" s="451">
        <v>249598.02</v>
      </c>
      <c r="BK186" s="451">
        <v>124799.02</v>
      </c>
      <c r="BL186" s="451">
        <v>99839</v>
      </c>
      <c r="BM186" s="451">
        <v>22464</v>
      </c>
      <c r="BN186" s="451">
        <v>2496</v>
      </c>
      <c r="BO186" s="451">
        <v>249598.02</v>
      </c>
      <c r="BP186" s="451">
        <v>0</v>
      </c>
      <c r="BQ186" s="451">
        <v>0</v>
      </c>
      <c r="BR186" s="451">
        <v>0</v>
      </c>
      <c r="BS186" s="451">
        <v>0</v>
      </c>
      <c r="BT186" s="451">
        <v>0</v>
      </c>
      <c r="BU186" s="451">
        <v>264809.21999999997</v>
      </c>
      <c r="BV186" s="451">
        <v>211847</v>
      </c>
      <c r="BW186" s="451">
        <v>47666</v>
      </c>
      <c r="BX186" s="451">
        <v>5296</v>
      </c>
      <c r="BY186" s="451">
        <v>529618.22</v>
      </c>
      <c r="BZ186" s="451">
        <v>264809.21999999997</v>
      </c>
      <c r="CA186" s="451">
        <v>211847</v>
      </c>
      <c r="CB186" s="451">
        <v>47666</v>
      </c>
      <c r="CC186" s="451">
        <v>5296</v>
      </c>
      <c r="CD186" s="451">
        <v>529618.22</v>
      </c>
      <c r="CE186" s="104"/>
      <c r="CF186" s="104"/>
      <c r="CG186" s="104"/>
    </row>
    <row r="187" spans="1:85" ht="12.75" x14ac:dyDescent="0.2">
      <c r="A187" s="446">
        <v>180</v>
      </c>
      <c r="B187" s="447" t="s">
        <v>243</v>
      </c>
      <c r="C187" s="448" t="s">
        <v>794</v>
      </c>
      <c r="D187" s="449" t="s">
        <v>1101</v>
      </c>
      <c r="E187" s="450" t="s">
        <v>729</v>
      </c>
      <c r="F187" s="451">
        <v>29948873</v>
      </c>
      <c r="G187" s="451">
        <v>29349895</v>
      </c>
      <c r="H187" s="451">
        <v>0</v>
      </c>
      <c r="I187" s="451">
        <v>598977</v>
      </c>
      <c r="J187" s="451">
        <v>59897745</v>
      </c>
      <c r="K187" s="451">
        <v>0</v>
      </c>
      <c r="L187" s="451">
        <v>0</v>
      </c>
      <c r="M187" s="451">
        <v>29948873</v>
      </c>
      <c r="N187" s="451">
        <v>59897745</v>
      </c>
      <c r="O187" s="451">
        <v>241084</v>
      </c>
      <c r="P187" s="451">
        <v>241084</v>
      </c>
      <c r="Q187" s="451">
        <v>0</v>
      </c>
      <c r="R187" s="451">
        <v>0</v>
      </c>
      <c r="S187" s="451">
        <v>0</v>
      </c>
      <c r="T187" s="451">
        <v>0</v>
      </c>
      <c r="U187" s="451">
        <v>0</v>
      </c>
      <c r="V187" s="451">
        <v>0</v>
      </c>
      <c r="W187" s="451">
        <v>0</v>
      </c>
      <c r="X187" s="451">
        <v>0</v>
      </c>
      <c r="Y187" s="451">
        <v>0</v>
      </c>
      <c r="Z187" s="451">
        <v>0</v>
      </c>
      <c r="AA187" s="451">
        <v>0</v>
      </c>
      <c r="AB187" s="451">
        <v>3583554</v>
      </c>
      <c r="AC187" s="451">
        <v>3511882</v>
      </c>
      <c r="AD187" s="451">
        <v>0</v>
      </c>
      <c r="AE187" s="451">
        <v>71671</v>
      </c>
      <c r="AF187" s="451">
        <v>7167107</v>
      </c>
      <c r="AG187" s="451">
        <v>311453.98</v>
      </c>
      <c r="AH187" s="451">
        <v>305224</v>
      </c>
      <c r="AI187" s="451">
        <v>0</v>
      </c>
      <c r="AJ187" s="451">
        <v>6229</v>
      </c>
      <c r="AK187" s="451">
        <v>622906.98</v>
      </c>
      <c r="AL187" s="451">
        <v>1461071</v>
      </c>
      <c r="AM187" s="451">
        <v>1431849</v>
      </c>
      <c r="AN187" s="451">
        <v>0</v>
      </c>
      <c r="AO187" s="451">
        <v>29221</v>
      </c>
      <c r="AP187" s="451">
        <v>2922141</v>
      </c>
      <c r="AQ187" s="451">
        <v>-68354</v>
      </c>
      <c r="AR187" s="451">
        <v>-66987</v>
      </c>
      <c r="AS187" s="451">
        <v>0</v>
      </c>
      <c r="AT187" s="451">
        <v>-1367</v>
      </c>
      <c r="AU187" s="451">
        <v>-136708</v>
      </c>
      <c r="AV187" s="451">
        <v>1392717</v>
      </c>
      <c r="AW187" s="451">
        <v>1364862</v>
      </c>
      <c r="AX187" s="451">
        <v>0</v>
      </c>
      <c r="AY187" s="451">
        <v>27854</v>
      </c>
      <c r="AZ187" s="451">
        <v>2785433</v>
      </c>
      <c r="BA187" s="451">
        <v>0</v>
      </c>
      <c r="BB187" s="451">
        <v>0</v>
      </c>
      <c r="BC187" s="451">
        <v>0</v>
      </c>
      <c r="BD187" s="451">
        <v>0</v>
      </c>
      <c r="BE187" s="451">
        <v>0</v>
      </c>
      <c r="BF187" s="451">
        <v>526227</v>
      </c>
      <c r="BG187" s="451">
        <v>515702</v>
      </c>
      <c r="BH187" s="451">
        <v>0</v>
      </c>
      <c r="BI187" s="451">
        <v>10525</v>
      </c>
      <c r="BJ187" s="451">
        <v>1052454</v>
      </c>
      <c r="BK187" s="451">
        <v>526227</v>
      </c>
      <c r="BL187" s="451">
        <v>515702</v>
      </c>
      <c r="BM187" s="451">
        <v>0</v>
      </c>
      <c r="BN187" s="451">
        <v>10525</v>
      </c>
      <c r="BO187" s="451">
        <v>1052454</v>
      </c>
      <c r="BP187" s="451">
        <v>0</v>
      </c>
      <c r="BQ187" s="451">
        <v>0</v>
      </c>
      <c r="BR187" s="451">
        <v>0</v>
      </c>
      <c r="BS187" s="451">
        <v>0</v>
      </c>
      <c r="BT187" s="451">
        <v>0</v>
      </c>
      <c r="BU187" s="451">
        <v>1519590</v>
      </c>
      <c r="BV187" s="451">
        <v>1489198</v>
      </c>
      <c r="BW187" s="451">
        <v>0</v>
      </c>
      <c r="BX187" s="451">
        <v>30392</v>
      </c>
      <c r="BY187" s="451">
        <v>3039180</v>
      </c>
      <c r="BZ187" s="451">
        <v>1519590</v>
      </c>
      <c r="CA187" s="451">
        <v>1489198</v>
      </c>
      <c r="CB187" s="451">
        <v>0</v>
      </c>
      <c r="CC187" s="451">
        <v>30392</v>
      </c>
      <c r="CD187" s="451">
        <v>3039180</v>
      </c>
      <c r="CE187" s="104"/>
      <c r="CF187" s="104"/>
      <c r="CG187" s="104"/>
    </row>
    <row r="188" spans="1:85" ht="12.75" x14ac:dyDescent="0.2">
      <c r="A188" s="446">
        <v>181</v>
      </c>
      <c r="B188" s="447" t="s">
        <v>245</v>
      </c>
      <c r="C188" s="448" t="s">
        <v>1093</v>
      </c>
      <c r="D188" s="449" t="s">
        <v>1097</v>
      </c>
      <c r="E188" s="450" t="s">
        <v>244</v>
      </c>
      <c r="F188" s="451">
        <v>17576958</v>
      </c>
      <c r="G188" s="451">
        <v>14061566</v>
      </c>
      <c r="H188" s="451">
        <v>3515392</v>
      </c>
      <c r="I188" s="451">
        <v>0</v>
      </c>
      <c r="J188" s="451">
        <v>35153916</v>
      </c>
      <c r="K188" s="451">
        <v>0</v>
      </c>
      <c r="L188" s="451">
        <v>0</v>
      </c>
      <c r="M188" s="451">
        <v>17576958</v>
      </c>
      <c r="N188" s="451">
        <v>35153916</v>
      </c>
      <c r="O188" s="451">
        <v>182381</v>
      </c>
      <c r="P188" s="451">
        <v>182381</v>
      </c>
      <c r="Q188" s="451">
        <v>0</v>
      </c>
      <c r="R188" s="451">
        <v>0</v>
      </c>
      <c r="S188" s="451">
        <v>0</v>
      </c>
      <c r="T188" s="451">
        <v>0</v>
      </c>
      <c r="U188" s="451">
        <v>0</v>
      </c>
      <c r="V188" s="451">
        <v>0</v>
      </c>
      <c r="W188" s="451">
        <v>0</v>
      </c>
      <c r="X188" s="451">
        <v>0</v>
      </c>
      <c r="Y188" s="451">
        <v>0</v>
      </c>
      <c r="Z188" s="451">
        <v>0</v>
      </c>
      <c r="AA188" s="451">
        <v>0</v>
      </c>
      <c r="AB188" s="451">
        <v>1067810</v>
      </c>
      <c r="AC188" s="451">
        <v>854248</v>
      </c>
      <c r="AD188" s="451">
        <v>213562</v>
      </c>
      <c r="AE188" s="451">
        <v>0</v>
      </c>
      <c r="AF188" s="451">
        <v>2135620</v>
      </c>
      <c r="AG188" s="451">
        <v>303513</v>
      </c>
      <c r="AH188" s="451">
        <v>242810</v>
      </c>
      <c r="AI188" s="451">
        <v>60703</v>
      </c>
      <c r="AJ188" s="451">
        <v>0</v>
      </c>
      <c r="AK188" s="451">
        <v>607026</v>
      </c>
      <c r="AL188" s="451">
        <v>0</v>
      </c>
      <c r="AM188" s="451">
        <v>0</v>
      </c>
      <c r="AN188" s="451">
        <v>0</v>
      </c>
      <c r="AO188" s="451">
        <v>0</v>
      </c>
      <c r="AP188" s="451">
        <v>0</v>
      </c>
      <c r="AQ188" s="451">
        <v>135246</v>
      </c>
      <c r="AR188" s="451">
        <v>108197</v>
      </c>
      <c r="AS188" s="451">
        <v>27049</v>
      </c>
      <c r="AT188" s="451">
        <v>0</v>
      </c>
      <c r="AU188" s="451">
        <v>270492</v>
      </c>
      <c r="AV188" s="451">
        <v>135246</v>
      </c>
      <c r="AW188" s="451">
        <v>108197</v>
      </c>
      <c r="AX188" s="451">
        <v>27049</v>
      </c>
      <c r="AY188" s="451">
        <v>0</v>
      </c>
      <c r="AZ188" s="451">
        <v>270492</v>
      </c>
      <c r="BA188" s="451">
        <v>0</v>
      </c>
      <c r="BB188" s="451">
        <v>0</v>
      </c>
      <c r="BC188" s="451">
        <v>0</v>
      </c>
      <c r="BD188" s="451">
        <v>0</v>
      </c>
      <c r="BE188" s="451">
        <v>0</v>
      </c>
      <c r="BF188" s="451">
        <v>174772</v>
      </c>
      <c r="BG188" s="451">
        <v>139818</v>
      </c>
      <c r="BH188" s="451">
        <v>34954</v>
      </c>
      <c r="BI188" s="451">
        <v>0</v>
      </c>
      <c r="BJ188" s="451">
        <v>349544</v>
      </c>
      <c r="BK188" s="451">
        <v>174772</v>
      </c>
      <c r="BL188" s="451">
        <v>139818</v>
      </c>
      <c r="BM188" s="451">
        <v>34954</v>
      </c>
      <c r="BN188" s="451">
        <v>0</v>
      </c>
      <c r="BO188" s="451">
        <v>349544</v>
      </c>
      <c r="BP188" s="451">
        <v>0</v>
      </c>
      <c r="BQ188" s="451">
        <v>0</v>
      </c>
      <c r="BR188" s="451">
        <v>0</v>
      </c>
      <c r="BS188" s="451">
        <v>0</v>
      </c>
      <c r="BT188" s="451">
        <v>0</v>
      </c>
      <c r="BU188" s="451">
        <v>495480</v>
      </c>
      <c r="BV188" s="451">
        <v>396384</v>
      </c>
      <c r="BW188" s="451">
        <v>99096</v>
      </c>
      <c r="BX188" s="451">
        <v>0</v>
      </c>
      <c r="BY188" s="451">
        <v>990960</v>
      </c>
      <c r="BZ188" s="451">
        <v>495480</v>
      </c>
      <c r="CA188" s="451">
        <v>396384</v>
      </c>
      <c r="CB188" s="451">
        <v>99096</v>
      </c>
      <c r="CC188" s="451">
        <v>0</v>
      </c>
      <c r="CD188" s="451">
        <v>990960</v>
      </c>
      <c r="CE188" s="104"/>
      <c r="CF188" s="104"/>
      <c r="CG188" s="104"/>
    </row>
    <row r="189" spans="1:85" ht="12.75" x14ac:dyDescent="0.2">
      <c r="A189" s="446">
        <v>182</v>
      </c>
      <c r="B189" s="447" t="s">
        <v>247</v>
      </c>
      <c r="C189" s="448" t="s">
        <v>1093</v>
      </c>
      <c r="D189" s="449" t="s">
        <v>1096</v>
      </c>
      <c r="E189" s="450" t="s">
        <v>246</v>
      </c>
      <c r="F189" s="451">
        <v>10862826</v>
      </c>
      <c r="G189" s="451">
        <v>8690260</v>
      </c>
      <c r="H189" s="451">
        <v>2172565</v>
      </c>
      <c r="I189" s="451">
        <v>0</v>
      </c>
      <c r="J189" s="451">
        <v>21725651</v>
      </c>
      <c r="K189" s="451">
        <v>0</v>
      </c>
      <c r="L189" s="451">
        <v>0</v>
      </c>
      <c r="M189" s="451">
        <v>10862826</v>
      </c>
      <c r="N189" s="451">
        <v>21725651</v>
      </c>
      <c r="O189" s="451">
        <v>122912</v>
      </c>
      <c r="P189" s="451">
        <v>122912</v>
      </c>
      <c r="Q189" s="451">
        <v>0</v>
      </c>
      <c r="R189" s="451">
        <v>0</v>
      </c>
      <c r="S189" s="451">
        <v>0</v>
      </c>
      <c r="T189" s="451">
        <v>0</v>
      </c>
      <c r="U189" s="451">
        <v>0</v>
      </c>
      <c r="V189" s="451">
        <v>0</v>
      </c>
      <c r="W189" s="451">
        <v>0</v>
      </c>
      <c r="X189" s="451">
        <v>0</v>
      </c>
      <c r="Y189" s="451">
        <v>0</v>
      </c>
      <c r="Z189" s="451">
        <v>0</v>
      </c>
      <c r="AA189" s="451">
        <v>0</v>
      </c>
      <c r="AB189" s="451">
        <v>246897</v>
      </c>
      <c r="AC189" s="451">
        <v>197517</v>
      </c>
      <c r="AD189" s="451">
        <v>49379</v>
      </c>
      <c r="AE189" s="451">
        <v>0</v>
      </c>
      <c r="AF189" s="451">
        <v>493793</v>
      </c>
      <c r="AG189" s="451">
        <v>205926.98</v>
      </c>
      <c r="AH189" s="451">
        <v>164742</v>
      </c>
      <c r="AI189" s="451">
        <v>41185</v>
      </c>
      <c r="AJ189" s="451">
        <v>0</v>
      </c>
      <c r="AK189" s="451">
        <v>411853.98</v>
      </c>
      <c r="AL189" s="451">
        <v>97500</v>
      </c>
      <c r="AM189" s="451">
        <v>78000</v>
      </c>
      <c r="AN189" s="451">
        <v>19500</v>
      </c>
      <c r="AO189" s="451">
        <v>0</v>
      </c>
      <c r="AP189" s="451">
        <v>195000</v>
      </c>
      <c r="AQ189" s="451">
        <v>0</v>
      </c>
      <c r="AR189" s="451">
        <v>0</v>
      </c>
      <c r="AS189" s="451">
        <v>0</v>
      </c>
      <c r="AT189" s="451">
        <v>0</v>
      </c>
      <c r="AU189" s="451">
        <v>0</v>
      </c>
      <c r="AV189" s="451">
        <v>97500</v>
      </c>
      <c r="AW189" s="451">
        <v>78000</v>
      </c>
      <c r="AX189" s="451">
        <v>19500</v>
      </c>
      <c r="AY189" s="451">
        <v>0</v>
      </c>
      <c r="AZ189" s="451">
        <v>195000</v>
      </c>
      <c r="BA189" s="451">
        <v>0</v>
      </c>
      <c r="BB189" s="451">
        <v>0</v>
      </c>
      <c r="BC189" s="451">
        <v>0</v>
      </c>
      <c r="BD189" s="451">
        <v>0</v>
      </c>
      <c r="BE189" s="451">
        <v>0</v>
      </c>
      <c r="BF189" s="451">
        <v>92997</v>
      </c>
      <c r="BG189" s="451">
        <v>74397</v>
      </c>
      <c r="BH189" s="451">
        <v>18599</v>
      </c>
      <c r="BI189" s="451">
        <v>0</v>
      </c>
      <c r="BJ189" s="451">
        <v>185993</v>
      </c>
      <c r="BK189" s="451">
        <v>92997</v>
      </c>
      <c r="BL189" s="451">
        <v>74397</v>
      </c>
      <c r="BM189" s="451">
        <v>18599</v>
      </c>
      <c r="BN189" s="451">
        <v>0</v>
      </c>
      <c r="BO189" s="451">
        <v>185993</v>
      </c>
      <c r="BP189" s="451">
        <v>0</v>
      </c>
      <c r="BQ189" s="451">
        <v>0</v>
      </c>
      <c r="BR189" s="451">
        <v>0</v>
      </c>
      <c r="BS189" s="451">
        <v>0</v>
      </c>
      <c r="BT189" s="451">
        <v>0</v>
      </c>
      <c r="BU189" s="451">
        <v>346529</v>
      </c>
      <c r="BV189" s="451">
        <v>277224</v>
      </c>
      <c r="BW189" s="451">
        <v>69306</v>
      </c>
      <c r="BX189" s="451">
        <v>0</v>
      </c>
      <c r="BY189" s="451">
        <v>693059</v>
      </c>
      <c r="BZ189" s="451">
        <v>346529</v>
      </c>
      <c r="CA189" s="451">
        <v>277224</v>
      </c>
      <c r="CB189" s="451">
        <v>69306</v>
      </c>
      <c r="CC189" s="451">
        <v>0</v>
      </c>
      <c r="CD189" s="451">
        <v>693059</v>
      </c>
      <c r="CE189" s="104"/>
      <c r="CF189" s="104"/>
      <c r="CG189" s="104"/>
    </row>
    <row r="190" spans="1:85" ht="12.75" x14ac:dyDescent="0.2">
      <c r="A190" s="446">
        <v>183</v>
      </c>
      <c r="B190" s="447" t="s">
        <v>249</v>
      </c>
      <c r="C190" s="448" t="s">
        <v>794</v>
      </c>
      <c r="D190" s="449" t="s">
        <v>1101</v>
      </c>
      <c r="E190" s="450" t="s">
        <v>730</v>
      </c>
      <c r="F190" s="451">
        <v>40568083</v>
      </c>
      <c r="G190" s="451">
        <v>39756721</v>
      </c>
      <c r="H190" s="451">
        <v>0</v>
      </c>
      <c r="I190" s="451">
        <v>811362</v>
      </c>
      <c r="J190" s="451">
        <v>81136166</v>
      </c>
      <c r="K190" s="451">
        <v>0</v>
      </c>
      <c r="L190" s="451">
        <v>0</v>
      </c>
      <c r="M190" s="451">
        <v>40568083</v>
      </c>
      <c r="N190" s="451">
        <v>81136166</v>
      </c>
      <c r="O190" s="451">
        <v>255809</v>
      </c>
      <c r="P190" s="451">
        <v>255809</v>
      </c>
      <c r="Q190" s="451">
        <v>0</v>
      </c>
      <c r="R190" s="451">
        <v>0</v>
      </c>
      <c r="S190" s="451">
        <v>0</v>
      </c>
      <c r="T190" s="451">
        <v>0</v>
      </c>
      <c r="U190" s="451">
        <v>22179</v>
      </c>
      <c r="V190" s="451">
        <v>0</v>
      </c>
      <c r="W190" s="451">
        <v>22179</v>
      </c>
      <c r="X190" s="451">
        <v>0</v>
      </c>
      <c r="Y190" s="451">
        <v>0</v>
      </c>
      <c r="Z190" s="451">
        <v>0</v>
      </c>
      <c r="AA190" s="451">
        <v>0</v>
      </c>
      <c r="AB190" s="451">
        <v>2097733</v>
      </c>
      <c r="AC190" s="451">
        <v>2055779</v>
      </c>
      <c r="AD190" s="451">
        <v>0</v>
      </c>
      <c r="AE190" s="451">
        <v>41955</v>
      </c>
      <c r="AF190" s="451">
        <v>4195467</v>
      </c>
      <c r="AG190" s="451">
        <v>566273</v>
      </c>
      <c r="AH190" s="451">
        <v>554947</v>
      </c>
      <c r="AI190" s="451">
        <v>0</v>
      </c>
      <c r="AJ190" s="451">
        <v>11325</v>
      </c>
      <c r="AK190" s="451">
        <v>1132545</v>
      </c>
      <c r="AL190" s="451">
        <v>349500</v>
      </c>
      <c r="AM190" s="451">
        <v>342510</v>
      </c>
      <c r="AN190" s="451">
        <v>0</v>
      </c>
      <c r="AO190" s="451">
        <v>6990</v>
      </c>
      <c r="AP190" s="451">
        <v>699000</v>
      </c>
      <c r="AQ190" s="451">
        <v>-53450</v>
      </c>
      <c r="AR190" s="451">
        <v>-52381</v>
      </c>
      <c r="AS190" s="451">
        <v>0</v>
      </c>
      <c r="AT190" s="451">
        <v>-1069</v>
      </c>
      <c r="AU190" s="451">
        <v>-106900</v>
      </c>
      <c r="AV190" s="451">
        <v>296050</v>
      </c>
      <c r="AW190" s="451">
        <v>290129</v>
      </c>
      <c r="AX190" s="451">
        <v>0</v>
      </c>
      <c r="AY190" s="451">
        <v>5921</v>
      </c>
      <c r="AZ190" s="451">
        <v>592100</v>
      </c>
      <c r="BA190" s="451">
        <v>0</v>
      </c>
      <c r="BB190" s="451">
        <v>0</v>
      </c>
      <c r="BC190" s="451">
        <v>0</v>
      </c>
      <c r="BD190" s="451">
        <v>0</v>
      </c>
      <c r="BE190" s="451">
        <v>0</v>
      </c>
      <c r="BF190" s="451">
        <v>1475666</v>
      </c>
      <c r="BG190" s="451">
        <v>1446152</v>
      </c>
      <c r="BH190" s="451">
        <v>0</v>
      </c>
      <c r="BI190" s="451">
        <v>29513</v>
      </c>
      <c r="BJ190" s="451">
        <v>2951331</v>
      </c>
      <c r="BK190" s="451">
        <v>1475666</v>
      </c>
      <c r="BL190" s="451">
        <v>1446152</v>
      </c>
      <c r="BM190" s="451">
        <v>0</v>
      </c>
      <c r="BN190" s="451">
        <v>29513</v>
      </c>
      <c r="BO190" s="451">
        <v>2951331</v>
      </c>
      <c r="BP190" s="451">
        <v>0</v>
      </c>
      <c r="BQ190" s="451">
        <v>0</v>
      </c>
      <c r="BR190" s="451">
        <v>0</v>
      </c>
      <c r="BS190" s="451">
        <v>0</v>
      </c>
      <c r="BT190" s="451">
        <v>0</v>
      </c>
      <c r="BU190" s="451">
        <v>3066370</v>
      </c>
      <c r="BV190" s="451">
        <v>3005043</v>
      </c>
      <c r="BW190" s="451">
        <v>0</v>
      </c>
      <c r="BX190" s="451">
        <v>61327</v>
      </c>
      <c r="BY190" s="451">
        <v>6132740</v>
      </c>
      <c r="BZ190" s="451">
        <v>3066370</v>
      </c>
      <c r="CA190" s="451">
        <v>3005043</v>
      </c>
      <c r="CB190" s="451">
        <v>0</v>
      </c>
      <c r="CC190" s="451">
        <v>61327</v>
      </c>
      <c r="CD190" s="451">
        <v>6132740</v>
      </c>
      <c r="CE190" s="104"/>
      <c r="CF190" s="104"/>
      <c r="CG190" s="104"/>
    </row>
    <row r="191" spans="1:85" ht="12.75" x14ac:dyDescent="0.2">
      <c r="A191" s="446">
        <v>184</v>
      </c>
      <c r="B191" s="447" t="s">
        <v>251</v>
      </c>
      <c r="C191" s="448" t="s">
        <v>1093</v>
      </c>
      <c r="D191" s="449" t="s">
        <v>1097</v>
      </c>
      <c r="E191" s="450" t="s">
        <v>250</v>
      </c>
      <c r="F191" s="451">
        <v>11660705</v>
      </c>
      <c r="G191" s="451">
        <v>9328564</v>
      </c>
      <c r="H191" s="451">
        <v>2332141</v>
      </c>
      <c r="I191" s="451">
        <v>0</v>
      </c>
      <c r="J191" s="451">
        <v>23321410</v>
      </c>
      <c r="K191" s="451">
        <v>0</v>
      </c>
      <c r="L191" s="451">
        <v>0</v>
      </c>
      <c r="M191" s="451">
        <v>11660705</v>
      </c>
      <c r="N191" s="451">
        <v>23321410</v>
      </c>
      <c r="O191" s="451">
        <v>230177</v>
      </c>
      <c r="P191" s="451">
        <v>230177</v>
      </c>
      <c r="Q191" s="451">
        <v>0</v>
      </c>
      <c r="R191" s="451">
        <v>0</v>
      </c>
      <c r="S191" s="451">
        <v>0</v>
      </c>
      <c r="T191" s="451">
        <v>0</v>
      </c>
      <c r="U191" s="451">
        <v>18840</v>
      </c>
      <c r="V191" s="451">
        <v>0</v>
      </c>
      <c r="W191" s="451">
        <v>18840</v>
      </c>
      <c r="X191" s="451">
        <v>0</v>
      </c>
      <c r="Y191" s="451">
        <v>0</v>
      </c>
      <c r="Z191" s="451">
        <v>0</v>
      </c>
      <c r="AA191" s="451">
        <v>0</v>
      </c>
      <c r="AB191" s="451">
        <v>179811</v>
      </c>
      <c r="AC191" s="451">
        <v>143848</v>
      </c>
      <c r="AD191" s="451">
        <v>35962</v>
      </c>
      <c r="AE191" s="451">
        <v>0</v>
      </c>
      <c r="AF191" s="451">
        <v>359621</v>
      </c>
      <c r="AG191" s="451">
        <v>200092</v>
      </c>
      <c r="AH191" s="451">
        <v>160074</v>
      </c>
      <c r="AI191" s="451">
        <v>40018</v>
      </c>
      <c r="AJ191" s="451">
        <v>0</v>
      </c>
      <c r="AK191" s="451">
        <v>400184</v>
      </c>
      <c r="AL191" s="451">
        <v>0</v>
      </c>
      <c r="AM191" s="451">
        <v>0</v>
      </c>
      <c r="AN191" s="451">
        <v>0</v>
      </c>
      <c r="AO191" s="451">
        <v>0</v>
      </c>
      <c r="AP191" s="451">
        <v>0</v>
      </c>
      <c r="AQ191" s="451">
        <v>38544</v>
      </c>
      <c r="AR191" s="451">
        <v>30835</v>
      </c>
      <c r="AS191" s="451">
        <v>7709</v>
      </c>
      <c r="AT191" s="451">
        <v>0</v>
      </c>
      <c r="AU191" s="451">
        <v>77088</v>
      </c>
      <c r="AV191" s="451">
        <v>38544</v>
      </c>
      <c r="AW191" s="451">
        <v>30835</v>
      </c>
      <c r="AX191" s="451">
        <v>7709</v>
      </c>
      <c r="AY191" s="451">
        <v>0</v>
      </c>
      <c r="AZ191" s="451">
        <v>77088</v>
      </c>
      <c r="BA191" s="451">
        <v>0</v>
      </c>
      <c r="BB191" s="451">
        <v>0</v>
      </c>
      <c r="BC191" s="451">
        <v>0</v>
      </c>
      <c r="BD191" s="451">
        <v>0</v>
      </c>
      <c r="BE191" s="451">
        <v>0</v>
      </c>
      <c r="BF191" s="451">
        <v>64011</v>
      </c>
      <c r="BG191" s="451">
        <v>51208</v>
      </c>
      <c r="BH191" s="451">
        <v>12802</v>
      </c>
      <c r="BI191" s="451">
        <v>0</v>
      </c>
      <c r="BJ191" s="451">
        <v>128021</v>
      </c>
      <c r="BK191" s="451">
        <v>64011</v>
      </c>
      <c r="BL191" s="451">
        <v>51208</v>
      </c>
      <c r="BM191" s="451">
        <v>12802</v>
      </c>
      <c r="BN191" s="451">
        <v>0</v>
      </c>
      <c r="BO191" s="451">
        <v>128021</v>
      </c>
      <c r="BP191" s="451">
        <v>0</v>
      </c>
      <c r="BQ191" s="451">
        <v>0</v>
      </c>
      <c r="BR191" s="451">
        <v>0</v>
      </c>
      <c r="BS191" s="451">
        <v>0</v>
      </c>
      <c r="BT191" s="451">
        <v>0</v>
      </c>
      <c r="BU191" s="451">
        <v>161042</v>
      </c>
      <c r="BV191" s="451">
        <v>128833</v>
      </c>
      <c r="BW191" s="451">
        <v>32208</v>
      </c>
      <c r="BX191" s="451">
        <v>0</v>
      </c>
      <c r="BY191" s="451">
        <v>322083</v>
      </c>
      <c r="BZ191" s="451">
        <v>161042</v>
      </c>
      <c r="CA191" s="451">
        <v>128833</v>
      </c>
      <c r="CB191" s="451">
        <v>32208</v>
      </c>
      <c r="CC191" s="451">
        <v>0</v>
      </c>
      <c r="CD191" s="451">
        <v>322083</v>
      </c>
      <c r="CE191" s="104"/>
      <c r="CF191" s="104"/>
      <c r="CG191" s="104"/>
    </row>
    <row r="192" spans="1:85" ht="12.75" x14ac:dyDescent="0.2">
      <c r="A192" s="446">
        <v>185</v>
      </c>
      <c r="B192" s="447" t="s">
        <v>253</v>
      </c>
      <c r="C192" s="448" t="s">
        <v>794</v>
      </c>
      <c r="D192" s="449" t="s">
        <v>1102</v>
      </c>
      <c r="E192" s="450" t="s">
        <v>731</v>
      </c>
      <c r="F192" s="451">
        <v>27079894</v>
      </c>
      <c r="G192" s="451">
        <v>26538297</v>
      </c>
      <c r="H192" s="451">
        <v>0</v>
      </c>
      <c r="I192" s="451">
        <v>541598</v>
      </c>
      <c r="J192" s="451">
        <v>54159789</v>
      </c>
      <c r="K192" s="451">
        <v>0</v>
      </c>
      <c r="L192" s="451">
        <v>0</v>
      </c>
      <c r="M192" s="451">
        <v>27079894</v>
      </c>
      <c r="N192" s="451">
        <v>54159789</v>
      </c>
      <c r="O192" s="451">
        <v>259620</v>
      </c>
      <c r="P192" s="451">
        <v>259620</v>
      </c>
      <c r="Q192" s="451">
        <v>0</v>
      </c>
      <c r="R192" s="451">
        <v>0</v>
      </c>
      <c r="S192" s="451">
        <v>0</v>
      </c>
      <c r="T192" s="451">
        <v>0</v>
      </c>
      <c r="U192" s="451">
        <v>4574</v>
      </c>
      <c r="V192" s="451">
        <v>0</v>
      </c>
      <c r="W192" s="451">
        <v>4574</v>
      </c>
      <c r="X192" s="451">
        <v>0</v>
      </c>
      <c r="Y192" s="451">
        <v>0</v>
      </c>
      <c r="Z192" s="451">
        <v>0</v>
      </c>
      <c r="AA192" s="451">
        <v>0</v>
      </c>
      <c r="AB192" s="451">
        <v>2680884</v>
      </c>
      <c r="AC192" s="451">
        <v>2627267</v>
      </c>
      <c r="AD192" s="451">
        <v>0</v>
      </c>
      <c r="AE192" s="451">
        <v>53618</v>
      </c>
      <c r="AF192" s="451">
        <v>5361769</v>
      </c>
      <c r="AG192" s="451">
        <v>436388.64</v>
      </c>
      <c r="AH192" s="451">
        <v>427661</v>
      </c>
      <c r="AI192" s="451">
        <v>0</v>
      </c>
      <c r="AJ192" s="451">
        <v>8728</v>
      </c>
      <c r="AK192" s="451">
        <v>872777.64</v>
      </c>
      <c r="AL192" s="451">
        <v>1054935.31</v>
      </c>
      <c r="AM192" s="451">
        <v>1033837</v>
      </c>
      <c r="AN192" s="451">
        <v>0</v>
      </c>
      <c r="AO192" s="451">
        <v>21099</v>
      </c>
      <c r="AP192" s="451">
        <v>2109871.31</v>
      </c>
      <c r="AQ192" s="451">
        <v>479347</v>
      </c>
      <c r="AR192" s="451">
        <v>469760</v>
      </c>
      <c r="AS192" s="451">
        <v>0</v>
      </c>
      <c r="AT192" s="451">
        <v>9587</v>
      </c>
      <c r="AU192" s="451">
        <v>958694</v>
      </c>
      <c r="AV192" s="451">
        <v>1534282.31</v>
      </c>
      <c r="AW192" s="451">
        <v>1503597</v>
      </c>
      <c r="AX192" s="451">
        <v>0</v>
      </c>
      <c r="AY192" s="451">
        <v>30686</v>
      </c>
      <c r="AZ192" s="451">
        <v>3068565.31</v>
      </c>
      <c r="BA192" s="451">
        <v>0</v>
      </c>
      <c r="BB192" s="451">
        <v>0</v>
      </c>
      <c r="BC192" s="451">
        <v>0</v>
      </c>
      <c r="BD192" s="451">
        <v>0</v>
      </c>
      <c r="BE192" s="451">
        <v>0</v>
      </c>
      <c r="BF192" s="451">
        <v>730713.52</v>
      </c>
      <c r="BG192" s="451">
        <v>716099</v>
      </c>
      <c r="BH192" s="451">
        <v>0</v>
      </c>
      <c r="BI192" s="451">
        <v>14614</v>
      </c>
      <c r="BJ192" s="451">
        <v>1461426.52</v>
      </c>
      <c r="BK192" s="451">
        <v>730713.52</v>
      </c>
      <c r="BL192" s="451">
        <v>716099</v>
      </c>
      <c r="BM192" s="451">
        <v>0</v>
      </c>
      <c r="BN192" s="451">
        <v>14614</v>
      </c>
      <c r="BO192" s="451">
        <v>1461426.52</v>
      </c>
      <c r="BP192" s="451">
        <v>0</v>
      </c>
      <c r="BQ192" s="451">
        <v>0</v>
      </c>
      <c r="BR192" s="451">
        <v>0</v>
      </c>
      <c r="BS192" s="451">
        <v>0</v>
      </c>
      <c r="BT192" s="451">
        <v>0</v>
      </c>
      <c r="BU192" s="451">
        <v>1125043.83</v>
      </c>
      <c r="BV192" s="451">
        <v>1102543</v>
      </c>
      <c r="BW192" s="451">
        <v>0</v>
      </c>
      <c r="BX192" s="451">
        <v>22501</v>
      </c>
      <c r="BY192" s="451">
        <v>2250087.83</v>
      </c>
      <c r="BZ192" s="451">
        <v>1125043.83</v>
      </c>
      <c r="CA192" s="451">
        <v>1102543</v>
      </c>
      <c r="CB192" s="451">
        <v>0</v>
      </c>
      <c r="CC192" s="451">
        <v>22501</v>
      </c>
      <c r="CD192" s="451">
        <v>2250087.83</v>
      </c>
      <c r="CE192" s="104"/>
      <c r="CF192" s="104"/>
      <c r="CG192" s="104"/>
    </row>
    <row r="193" spans="1:85" ht="12.75" x14ac:dyDescent="0.2">
      <c r="A193" s="446">
        <v>186</v>
      </c>
      <c r="B193" s="447" t="s">
        <v>255</v>
      </c>
      <c r="C193" s="448" t="s">
        <v>1100</v>
      </c>
      <c r="D193" s="449" t="s">
        <v>1105</v>
      </c>
      <c r="E193" s="450" t="s">
        <v>254</v>
      </c>
      <c r="F193" s="451">
        <v>26503351</v>
      </c>
      <c r="G193" s="451">
        <v>25973283</v>
      </c>
      <c r="H193" s="451">
        <v>0</v>
      </c>
      <c r="I193" s="451">
        <v>530067</v>
      </c>
      <c r="J193" s="451">
        <v>53006701</v>
      </c>
      <c r="K193" s="451">
        <v>0</v>
      </c>
      <c r="L193" s="451">
        <v>0</v>
      </c>
      <c r="M193" s="451">
        <v>26503351</v>
      </c>
      <c r="N193" s="451">
        <v>53006701</v>
      </c>
      <c r="O193" s="451">
        <v>228416</v>
      </c>
      <c r="P193" s="451">
        <v>228416</v>
      </c>
      <c r="Q193" s="451">
        <v>0</v>
      </c>
      <c r="R193" s="451">
        <v>0</v>
      </c>
      <c r="S193" s="451">
        <v>0</v>
      </c>
      <c r="T193" s="451">
        <v>0</v>
      </c>
      <c r="U193" s="451">
        <v>0</v>
      </c>
      <c r="V193" s="451">
        <v>0</v>
      </c>
      <c r="W193" s="451">
        <v>0</v>
      </c>
      <c r="X193" s="451">
        <v>0</v>
      </c>
      <c r="Y193" s="451">
        <v>0</v>
      </c>
      <c r="Z193" s="451">
        <v>0</v>
      </c>
      <c r="AA193" s="451">
        <v>0</v>
      </c>
      <c r="AB193" s="451">
        <v>2581256.61</v>
      </c>
      <c r="AC193" s="451">
        <v>2529632</v>
      </c>
      <c r="AD193" s="451">
        <v>0</v>
      </c>
      <c r="AE193" s="451">
        <v>51625</v>
      </c>
      <c r="AF193" s="451">
        <v>5162513.6100000003</v>
      </c>
      <c r="AG193" s="451">
        <v>213773</v>
      </c>
      <c r="AH193" s="451">
        <v>209497</v>
      </c>
      <c r="AI193" s="451">
        <v>0</v>
      </c>
      <c r="AJ193" s="451">
        <v>4275</v>
      </c>
      <c r="AK193" s="451">
        <v>427545</v>
      </c>
      <c r="AL193" s="451">
        <v>0</v>
      </c>
      <c r="AM193" s="451">
        <v>0</v>
      </c>
      <c r="AN193" s="451">
        <v>0</v>
      </c>
      <c r="AO193" s="451">
        <v>0</v>
      </c>
      <c r="AP193" s="451">
        <v>0</v>
      </c>
      <c r="AQ193" s="451">
        <v>367305</v>
      </c>
      <c r="AR193" s="451">
        <v>359959</v>
      </c>
      <c r="AS193" s="451">
        <v>0</v>
      </c>
      <c r="AT193" s="451">
        <v>7346</v>
      </c>
      <c r="AU193" s="451">
        <v>734610</v>
      </c>
      <c r="AV193" s="451">
        <v>367305</v>
      </c>
      <c r="AW193" s="451">
        <v>359959</v>
      </c>
      <c r="AX193" s="451">
        <v>0</v>
      </c>
      <c r="AY193" s="451">
        <v>7346</v>
      </c>
      <c r="AZ193" s="451">
        <v>734610</v>
      </c>
      <c r="BA193" s="451">
        <v>0</v>
      </c>
      <c r="BB193" s="451">
        <v>0</v>
      </c>
      <c r="BC193" s="451">
        <v>0</v>
      </c>
      <c r="BD193" s="451">
        <v>0</v>
      </c>
      <c r="BE193" s="451">
        <v>0</v>
      </c>
      <c r="BF193" s="451">
        <v>475395</v>
      </c>
      <c r="BG193" s="451">
        <v>465888</v>
      </c>
      <c r="BH193" s="451">
        <v>0</v>
      </c>
      <c r="BI193" s="451">
        <v>9508</v>
      </c>
      <c r="BJ193" s="451">
        <v>950791</v>
      </c>
      <c r="BK193" s="451">
        <v>475395</v>
      </c>
      <c r="BL193" s="451">
        <v>465888</v>
      </c>
      <c r="BM193" s="451">
        <v>0</v>
      </c>
      <c r="BN193" s="451">
        <v>9508</v>
      </c>
      <c r="BO193" s="451">
        <v>950791</v>
      </c>
      <c r="BP193" s="451">
        <v>0</v>
      </c>
      <c r="BQ193" s="451">
        <v>0</v>
      </c>
      <c r="BR193" s="451">
        <v>0</v>
      </c>
      <c r="BS193" s="451">
        <v>0</v>
      </c>
      <c r="BT193" s="451">
        <v>0</v>
      </c>
      <c r="BU193" s="451">
        <v>950791</v>
      </c>
      <c r="BV193" s="451">
        <v>931775</v>
      </c>
      <c r="BW193" s="451">
        <v>0</v>
      </c>
      <c r="BX193" s="451">
        <v>19016</v>
      </c>
      <c r="BY193" s="451">
        <v>1901582</v>
      </c>
      <c r="BZ193" s="451">
        <v>950791</v>
      </c>
      <c r="CA193" s="451">
        <v>931775</v>
      </c>
      <c r="CB193" s="451">
        <v>0</v>
      </c>
      <c r="CC193" s="451">
        <v>19016</v>
      </c>
      <c r="CD193" s="451">
        <v>1901582</v>
      </c>
      <c r="CE193" s="104"/>
      <c r="CF193" s="104"/>
      <c r="CG193" s="104"/>
    </row>
    <row r="194" spans="1:85" ht="12.75" x14ac:dyDescent="0.2">
      <c r="A194" s="446">
        <v>187</v>
      </c>
      <c r="B194" s="447" t="s">
        <v>257</v>
      </c>
      <c r="C194" s="448" t="s">
        <v>1093</v>
      </c>
      <c r="D194" s="449" t="s">
        <v>1103</v>
      </c>
      <c r="E194" s="450" t="s">
        <v>256</v>
      </c>
      <c r="F194" s="451">
        <v>18730186</v>
      </c>
      <c r="G194" s="451">
        <v>14984149</v>
      </c>
      <c r="H194" s="451">
        <v>3746037</v>
      </c>
      <c r="I194" s="451">
        <v>0</v>
      </c>
      <c r="J194" s="451">
        <v>37460372</v>
      </c>
      <c r="K194" s="451">
        <v>0</v>
      </c>
      <c r="L194" s="451">
        <v>0</v>
      </c>
      <c r="M194" s="451">
        <v>18730186</v>
      </c>
      <c r="N194" s="451">
        <v>37460372</v>
      </c>
      <c r="O194" s="451">
        <v>110454</v>
      </c>
      <c r="P194" s="451">
        <v>110454</v>
      </c>
      <c r="Q194" s="451">
        <v>0</v>
      </c>
      <c r="R194" s="451">
        <v>0</v>
      </c>
      <c r="S194" s="451">
        <v>0</v>
      </c>
      <c r="T194" s="451">
        <v>0</v>
      </c>
      <c r="U194" s="451">
        <v>0</v>
      </c>
      <c r="V194" s="451">
        <v>0</v>
      </c>
      <c r="W194" s="451">
        <v>0</v>
      </c>
      <c r="X194" s="451">
        <v>0</v>
      </c>
      <c r="Y194" s="451">
        <v>0</v>
      </c>
      <c r="Z194" s="451">
        <v>0</v>
      </c>
      <c r="AA194" s="451">
        <v>0</v>
      </c>
      <c r="AB194" s="451">
        <v>407439</v>
      </c>
      <c r="AC194" s="451">
        <v>325951</v>
      </c>
      <c r="AD194" s="451">
        <v>81488</v>
      </c>
      <c r="AE194" s="451">
        <v>0</v>
      </c>
      <c r="AF194" s="451">
        <v>814878</v>
      </c>
      <c r="AG194" s="451">
        <v>652423.78</v>
      </c>
      <c r="AH194" s="451">
        <v>521939</v>
      </c>
      <c r="AI194" s="451">
        <v>130485</v>
      </c>
      <c r="AJ194" s="451">
        <v>0</v>
      </c>
      <c r="AK194" s="451">
        <v>1304847.78</v>
      </c>
      <c r="AL194" s="451">
        <v>48482</v>
      </c>
      <c r="AM194" s="451">
        <v>38786</v>
      </c>
      <c r="AN194" s="451">
        <v>9697</v>
      </c>
      <c r="AO194" s="451">
        <v>0</v>
      </c>
      <c r="AP194" s="451">
        <v>96965</v>
      </c>
      <c r="AQ194" s="451">
        <v>40961</v>
      </c>
      <c r="AR194" s="451">
        <v>32769</v>
      </c>
      <c r="AS194" s="451">
        <v>8192</v>
      </c>
      <c r="AT194" s="451">
        <v>0</v>
      </c>
      <c r="AU194" s="451">
        <v>81922</v>
      </c>
      <c r="AV194" s="451">
        <v>89443</v>
      </c>
      <c r="AW194" s="451">
        <v>71555</v>
      </c>
      <c r="AX194" s="451">
        <v>17889</v>
      </c>
      <c r="AY194" s="451">
        <v>0</v>
      </c>
      <c r="AZ194" s="451">
        <v>178887</v>
      </c>
      <c r="BA194" s="451">
        <v>0</v>
      </c>
      <c r="BB194" s="451">
        <v>0</v>
      </c>
      <c r="BC194" s="451">
        <v>0</v>
      </c>
      <c r="BD194" s="451">
        <v>0</v>
      </c>
      <c r="BE194" s="451">
        <v>0</v>
      </c>
      <c r="BF194" s="451">
        <v>292630</v>
      </c>
      <c r="BG194" s="451">
        <v>234104</v>
      </c>
      <c r="BH194" s="451">
        <v>58526</v>
      </c>
      <c r="BI194" s="451">
        <v>0</v>
      </c>
      <c r="BJ194" s="451">
        <v>585260</v>
      </c>
      <c r="BK194" s="451">
        <v>292630</v>
      </c>
      <c r="BL194" s="451">
        <v>234104</v>
      </c>
      <c r="BM194" s="451">
        <v>58526</v>
      </c>
      <c r="BN194" s="451">
        <v>0</v>
      </c>
      <c r="BO194" s="451">
        <v>585260</v>
      </c>
      <c r="BP194" s="451">
        <v>0</v>
      </c>
      <c r="BQ194" s="451">
        <v>0</v>
      </c>
      <c r="BR194" s="451">
        <v>0</v>
      </c>
      <c r="BS194" s="451">
        <v>0</v>
      </c>
      <c r="BT194" s="451">
        <v>0</v>
      </c>
      <c r="BU194" s="451">
        <v>763400</v>
      </c>
      <c r="BV194" s="451">
        <v>610720</v>
      </c>
      <c r="BW194" s="451">
        <v>152680</v>
      </c>
      <c r="BX194" s="451">
        <v>0</v>
      </c>
      <c r="BY194" s="451">
        <v>1526800</v>
      </c>
      <c r="BZ194" s="451">
        <v>763400</v>
      </c>
      <c r="CA194" s="451">
        <v>610720</v>
      </c>
      <c r="CB194" s="451">
        <v>152680</v>
      </c>
      <c r="CC194" s="451">
        <v>0</v>
      </c>
      <c r="CD194" s="451">
        <v>1526800</v>
      </c>
      <c r="CE194" s="104"/>
      <c r="CF194" s="104"/>
      <c r="CG194" s="104"/>
    </row>
    <row r="195" spans="1:85" ht="12.75" x14ac:dyDescent="0.2">
      <c r="A195" s="446">
        <v>188</v>
      </c>
      <c r="B195" s="447" t="s">
        <v>259</v>
      </c>
      <c r="C195" s="448" t="s">
        <v>1093</v>
      </c>
      <c r="D195" s="449" t="s">
        <v>1096</v>
      </c>
      <c r="E195" s="450" t="s">
        <v>258</v>
      </c>
      <c r="F195" s="451">
        <v>22338174</v>
      </c>
      <c r="G195" s="451">
        <v>17870539</v>
      </c>
      <c r="H195" s="451">
        <v>4020871</v>
      </c>
      <c r="I195" s="451">
        <v>446763</v>
      </c>
      <c r="J195" s="451">
        <v>44676347</v>
      </c>
      <c r="K195" s="451">
        <v>0</v>
      </c>
      <c r="L195" s="451">
        <v>0</v>
      </c>
      <c r="M195" s="451">
        <v>22338174</v>
      </c>
      <c r="N195" s="451">
        <v>44676347</v>
      </c>
      <c r="O195" s="451">
        <v>145672</v>
      </c>
      <c r="P195" s="451">
        <v>145672</v>
      </c>
      <c r="Q195" s="451">
        <v>0</v>
      </c>
      <c r="R195" s="451">
        <v>0</v>
      </c>
      <c r="S195" s="451">
        <v>0</v>
      </c>
      <c r="T195" s="451">
        <v>0</v>
      </c>
      <c r="U195" s="451">
        <v>0</v>
      </c>
      <c r="V195" s="451">
        <v>0</v>
      </c>
      <c r="W195" s="451">
        <v>0</v>
      </c>
      <c r="X195" s="451">
        <v>0</v>
      </c>
      <c r="Y195" s="451">
        <v>0</v>
      </c>
      <c r="Z195" s="451">
        <v>0</v>
      </c>
      <c r="AA195" s="451">
        <v>0</v>
      </c>
      <c r="AB195" s="451">
        <v>822906.77</v>
      </c>
      <c r="AC195" s="451">
        <v>658326</v>
      </c>
      <c r="AD195" s="451">
        <v>148123</v>
      </c>
      <c r="AE195" s="451">
        <v>16458</v>
      </c>
      <c r="AF195" s="451">
        <v>1645813.77</v>
      </c>
      <c r="AG195" s="451">
        <v>-742605.29</v>
      </c>
      <c r="AH195" s="451">
        <v>-594084</v>
      </c>
      <c r="AI195" s="451">
        <v>-133669</v>
      </c>
      <c r="AJ195" s="451">
        <v>-14852</v>
      </c>
      <c r="AK195" s="451">
        <v>-1485210.2</v>
      </c>
      <c r="AL195" s="451">
        <v>240729.58</v>
      </c>
      <c r="AM195" s="451">
        <v>192583</v>
      </c>
      <c r="AN195" s="451">
        <v>43331</v>
      </c>
      <c r="AO195" s="451">
        <v>4815</v>
      </c>
      <c r="AP195" s="451">
        <v>481458.58</v>
      </c>
      <c r="AQ195" s="451">
        <v>179624.34</v>
      </c>
      <c r="AR195" s="451">
        <v>143701</v>
      </c>
      <c r="AS195" s="451">
        <v>32333</v>
      </c>
      <c r="AT195" s="451">
        <v>3593</v>
      </c>
      <c r="AU195" s="451">
        <v>359251.34</v>
      </c>
      <c r="AV195" s="451">
        <v>420353.92</v>
      </c>
      <c r="AW195" s="451">
        <v>336284</v>
      </c>
      <c r="AX195" s="451">
        <v>75664</v>
      </c>
      <c r="AY195" s="451">
        <v>8408</v>
      </c>
      <c r="AZ195" s="451">
        <v>840709.92</v>
      </c>
      <c r="BA195" s="451">
        <v>0</v>
      </c>
      <c r="BB195" s="451">
        <v>0</v>
      </c>
      <c r="BC195" s="451">
        <v>0</v>
      </c>
      <c r="BD195" s="451">
        <v>0</v>
      </c>
      <c r="BE195" s="451">
        <v>0</v>
      </c>
      <c r="BF195" s="451">
        <v>445138.91</v>
      </c>
      <c r="BG195" s="451">
        <v>356112</v>
      </c>
      <c r="BH195" s="451">
        <v>80125</v>
      </c>
      <c r="BI195" s="451">
        <v>8903</v>
      </c>
      <c r="BJ195" s="451">
        <v>890278.91</v>
      </c>
      <c r="BK195" s="451">
        <v>445138.91</v>
      </c>
      <c r="BL195" s="451">
        <v>356112</v>
      </c>
      <c r="BM195" s="451">
        <v>80125</v>
      </c>
      <c r="BN195" s="451">
        <v>8903</v>
      </c>
      <c r="BO195" s="451">
        <v>890278.91</v>
      </c>
      <c r="BP195" s="451">
        <v>0</v>
      </c>
      <c r="BQ195" s="451">
        <v>0</v>
      </c>
      <c r="BR195" s="451">
        <v>0</v>
      </c>
      <c r="BS195" s="451">
        <v>0</v>
      </c>
      <c r="BT195" s="451">
        <v>0</v>
      </c>
      <c r="BU195" s="451">
        <v>1261195.04</v>
      </c>
      <c r="BV195" s="451">
        <v>1008956</v>
      </c>
      <c r="BW195" s="451">
        <v>227015</v>
      </c>
      <c r="BX195" s="451">
        <v>25224</v>
      </c>
      <c r="BY195" s="451">
        <v>2522390.04</v>
      </c>
      <c r="BZ195" s="451">
        <v>1261195.04</v>
      </c>
      <c r="CA195" s="451">
        <v>1008956</v>
      </c>
      <c r="CB195" s="451">
        <v>227015</v>
      </c>
      <c r="CC195" s="451">
        <v>25224</v>
      </c>
      <c r="CD195" s="451">
        <v>2522390.04</v>
      </c>
      <c r="CE195" s="104"/>
      <c r="CF195" s="104"/>
      <c r="CG195" s="104"/>
    </row>
    <row r="196" spans="1:85" ht="12.75" x14ac:dyDescent="0.2">
      <c r="A196" s="446">
        <v>189</v>
      </c>
      <c r="B196" s="447" t="s">
        <v>261</v>
      </c>
      <c r="C196" s="448" t="s">
        <v>1093</v>
      </c>
      <c r="D196" s="449" t="s">
        <v>1096</v>
      </c>
      <c r="E196" s="450" t="s">
        <v>260</v>
      </c>
      <c r="F196" s="451">
        <v>45363609</v>
      </c>
      <c r="G196" s="451">
        <v>36290888</v>
      </c>
      <c r="H196" s="451">
        <v>9072722</v>
      </c>
      <c r="I196" s="451">
        <v>0</v>
      </c>
      <c r="J196" s="451">
        <v>90727219</v>
      </c>
      <c r="K196" s="451">
        <v>2105649</v>
      </c>
      <c r="L196" s="451">
        <v>2105649</v>
      </c>
      <c r="M196" s="451">
        <v>43257960</v>
      </c>
      <c r="N196" s="451">
        <v>88621570</v>
      </c>
      <c r="O196" s="451">
        <v>301115</v>
      </c>
      <c r="P196" s="451">
        <v>301115</v>
      </c>
      <c r="Q196" s="451">
        <v>535861</v>
      </c>
      <c r="R196" s="451">
        <v>535861</v>
      </c>
      <c r="S196" s="451">
        <v>0</v>
      </c>
      <c r="T196" s="451">
        <v>0</v>
      </c>
      <c r="U196" s="451">
        <v>0</v>
      </c>
      <c r="V196" s="451">
        <v>0</v>
      </c>
      <c r="W196" s="451">
        <v>0</v>
      </c>
      <c r="X196" s="451">
        <v>2105649</v>
      </c>
      <c r="Y196" s="451">
        <v>0</v>
      </c>
      <c r="Z196" s="451">
        <v>0</v>
      </c>
      <c r="AA196" s="451">
        <v>2105649</v>
      </c>
      <c r="AB196" s="451">
        <v>953729.06</v>
      </c>
      <c r="AC196" s="451">
        <v>762983</v>
      </c>
      <c r="AD196" s="451">
        <v>190746</v>
      </c>
      <c r="AE196" s="451">
        <v>0</v>
      </c>
      <c r="AF196" s="451">
        <v>1907458.06</v>
      </c>
      <c r="AG196" s="451">
        <v>895104</v>
      </c>
      <c r="AH196" s="451">
        <v>716084</v>
      </c>
      <c r="AI196" s="451">
        <v>179021</v>
      </c>
      <c r="AJ196" s="451">
        <v>0</v>
      </c>
      <c r="AK196" s="451">
        <v>1790209</v>
      </c>
      <c r="AL196" s="451">
        <v>224475</v>
      </c>
      <c r="AM196" s="451">
        <v>179580</v>
      </c>
      <c r="AN196" s="451">
        <v>44895</v>
      </c>
      <c r="AO196" s="451">
        <v>0</v>
      </c>
      <c r="AP196" s="451">
        <v>448950</v>
      </c>
      <c r="AQ196" s="451">
        <v>115182.73</v>
      </c>
      <c r="AR196" s="451">
        <v>92146</v>
      </c>
      <c r="AS196" s="451">
        <v>23036</v>
      </c>
      <c r="AT196" s="451">
        <v>0</v>
      </c>
      <c r="AU196" s="451">
        <v>230364.73</v>
      </c>
      <c r="AV196" s="451">
        <v>339657.73</v>
      </c>
      <c r="AW196" s="451">
        <v>271726</v>
      </c>
      <c r="AX196" s="451">
        <v>67931</v>
      </c>
      <c r="AY196" s="451">
        <v>0</v>
      </c>
      <c r="AZ196" s="451">
        <v>679314.73</v>
      </c>
      <c r="BA196" s="451">
        <v>0</v>
      </c>
      <c r="BB196" s="451">
        <v>0</v>
      </c>
      <c r="BC196" s="451">
        <v>0</v>
      </c>
      <c r="BD196" s="451">
        <v>0</v>
      </c>
      <c r="BE196" s="451">
        <v>0</v>
      </c>
      <c r="BF196" s="451">
        <v>5561.21</v>
      </c>
      <c r="BG196" s="451">
        <v>4448</v>
      </c>
      <c r="BH196" s="451">
        <v>1112</v>
      </c>
      <c r="BI196" s="451">
        <v>0</v>
      </c>
      <c r="BJ196" s="451">
        <v>11121.21</v>
      </c>
      <c r="BK196" s="451">
        <v>5561.21</v>
      </c>
      <c r="BL196" s="451">
        <v>4448</v>
      </c>
      <c r="BM196" s="451">
        <v>1112</v>
      </c>
      <c r="BN196" s="451">
        <v>0</v>
      </c>
      <c r="BO196" s="451">
        <v>11121.21</v>
      </c>
      <c r="BP196" s="451">
        <v>0</v>
      </c>
      <c r="BQ196" s="451">
        <v>0</v>
      </c>
      <c r="BR196" s="451">
        <v>0</v>
      </c>
      <c r="BS196" s="451">
        <v>0</v>
      </c>
      <c r="BT196" s="451">
        <v>0</v>
      </c>
      <c r="BU196" s="451">
        <v>1479042.28</v>
      </c>
      <c r="BV196" s="451">
        <v>1183234</v>
      </c>
      <c r="BW196" s="451">
        <v>295808</v>
      </c>
      <c r="BX196" s="451">
        <v>0</v>
      </c>
      <c r="BY196" s="451">
        <v>2958084.28</v>
      </c>
      <c r="BZ196" s="451">
        <v>1479042.28</v>
      </c>
      <c r="CA196" s="451">
        <v>1183234</v>
      </c>
      <c r="CB196" s="451">
        <v>295808</v>
      </c>
      <c r="CC196" s="451">
        <v>0</v>
      </c>
      <c r="CD196" s="451">
        <v>2958084.28</v>
      </c>
      <c r="CE196" s="104"/>
      <c r="CF196" s="104"/>
      <c r="CG196" s="104"/>
    </row>
    <row r="197" spans="1:85" ht="12.75" x14ac:dyDescent="0.2">
      <c r="A197" s="446">
        <v>190</v>
      </c>
      <c r="B197" s="447" t="s">
        <v>263</v>
      </c>
      <c r="C197" s="448" t="s">
        <v>794</v>
      </c>
      <c r="D197" s="449" t="s">
        <v>1105</v>
      </c>
      <c r="E197" s="450" t="s">
        <v>262</v>
      </c>
      <c r="F197" s="451">
        <v>34237374</v>
      </c>
      <c r="G197" s="451">
        <v>34237375</v>
      </c>
      <c r="H197" s="451">
        <v>0</v>
      </c>
      <c r="I197" s="451">
        <v>0</v>
      </c>
      <c r="J197" s="451">
        <v>68474749</v>
      </c>
      <c r="K197" s="451">
        <v>11913</v>
      </c>
      <c r="L197" s="451">
        <v>11913</v>
      </c>
      <c r="M197" s="451">
        <v>34225461</v>
      </c>
      <c r="N197" s="451">
        <v>68462836</v>
      </c>
      <c r="O197" s="451">
        <v>474143</v>
      </c>
      <c r="P197" s="451">
        <v>474143</v>
      </c>
      <c r="Q197" s="451">
        <v>0</v>
      </c>
      <c r="R197" s="451">
        <v>0</v>
      </c>
      <c r="S197" s="451">
        <v>0</v>
      </c>
      <c r="T197" s="451">
        <v>0</v>
      </c>
      <c r="U197" s="451">
        <v>390530</v>
      </c>
      <c r="V197" s="451">
        <v>0</v>
      </c>
      <c r="W197" s="451">
        <v>390530</v>
      </c>
      <c r="X197" s="451">
        <v>11913</v>
      </c>
      <c r="Y197" s="451">
        <v>0</v>
      </c>
      <c r="Z197" s="451">
        <v>0</v>
      </c>
      <c r="AA197" s="451">
        <v>11913</v>
      </c>
      <c r="AB197" s="451">
        <v>1686029</v>
      </c>
      <c r="AC197" s="451">
        <v>1686029</v>
      </c>
      <c r="AD197" s="451">
        <v>0</v>
      </c>
      <c r="AE197" s="451">
        <v>0</v>
      </c>
      <c r="AF197" s="451">
        <v>3372058</v>
      </c>
      <c r="AG197" s="451">
        <v>-106340</v>
      </c>
      <c r="AH197" s="451">
        <v>-106340</v>
      </c>
      <c r="AI197" s="451">
        <v>0</v>
      </c>
      <c r="AJ197" s="451">
        <v>0</v>
      </c>
      <c r="AK197" s="451">
        <v>-212680</v>
      </c>
      <c r="AL197" s="451">
        <v>591557.85</v>
      </c>
      <c r="AM197" s="451">
        <v>591558</v>
      </c>
      <c r="AN197" s="451">
        <v>0</v>
      </c>
      <c r="AO197" s="451">
        <v>0</v>
      </c>
      <c r="AP197" s="451">
        <v>1183115.8500000001</v>
      </c>
      <c r="AQ197" s="451">
        <v>171784.52</v>
      </c>
      <c r="AR197" s="451">
        <v>171784</v>
      </c>
      <c r="AS197" s="451">
        <v>0</v>
      </c>
      <c r="AT197" s="451">
        <v>0</v>
      </c>
      <c r="AU197" s="451">
        <v>343568.52</v>
      </c>
      <c r="AV197" s="451">
        <v>763342.37</v>
      </c>
      <c r="AW197" s="451">
        <v>763342</v>
      </c>
      <c r="AX197" s="451">
        <v>0</v>
      </c>
      <c r="AY197" s="451">
        <v>0</v>
      </c>
      <c r="AZ197" s="451">
        <v>1526684.37</v>
      </c>
      <c r="BA197" s="451">
        <v>0</v>
      </c>
      <c r="BB197" s="451">
        <v>0</v>
      </c>
      <c r="BC197" s="451">
        <v>0</v>
      </c>
      <c r="BD197" s="451">
        <v>0</v>
      </c>
      <c r="BE197" s="451">
        <v>0</v>
      </c>
      <c r="BF197" s="451">
        <v>771590</v>
      </c>
      <c r="BG197" s="451">
        <v>771590</v>
      </c>
      <c r="BH197" s="451">
        <v>0</v>
      </c>
      <c r="BI197" s="451">
        <v>0</v>
      </c>
      <c r="BJ197" s="451">
        <v>1543180</v>
      </c>
      <c r="BK197" s="451">
        <v>771590</v>
      </c>
      <c r="BL197" s="451">
        <v>771590</v>
      </c>
      <c r="BM197" s="451">
        <v>0</v>
      </c>
      <c r="BN197" s="451">
        <v>0</v>
      </c>
      <c r="BO197" s="451">
        <v>1543180</v>
      </c>
      <c r="BP197" s="451">
        <v>0</v>
      </c>
      <c r="BQ197" s="451">
        <v>0</v>
      </c>
      <c r="BR197" s="451">
        <v>0</v>
      </c>
      <c r="BS197" s="451">
        <v>0</v>
      </c>
      <c r="BT197" s="451">
        <v>0</v>
      </c>
      <c r="BU197" s="451">
        <v>1861531</v>
      </c>
      <c r="BV197" s="451">
        <v>1861532</v>
      </c>
      <c r="BW197" s="451">
        <v>0</v>
      </c>
      <c r="BX197" s="451">
        <v>0</v>
      </c>
      <c r="BY197" s="451">
        <v>3723063</v>
      </c>
      <c r="BZ197" s="451">
        <v>1861531</v>
      </c>
      <c r="CA197" s="451">
        <v>1861532</v>
      </c>
      <c r="CB197" s="451">
        <v>0</v>
      </c>
      <c r="CC197" s="451">
        <v>0</v>
      </c>
      <c r="CD197" s="451">
        <v>3723063</v>
      </c>
      <c r="CE197" s="104"/>
      <c r="CF197" s="104"/>
      <c r="CG197" s="104"/>
    </row>
    <row r="198" spans="1:85" ht="12.75" x14ac:dyDescent="0.2">
      <c r="A198" s="446">
        <v>191</v>
      </c>
      <c r="B198" s="447" t="s">
        <v>265</v>
      </c>
      <c r="C198" s="448" t="s">
        <v>1093</v>
      </c>
      <c r="D198" s="449" t="s">
        <v>1097</v>
      </c>
      <c r="E198" s="450" t="s">
        <v>264</v>
      </c>
      <c r="F198" s="451">
        <v>37004596</v>
      </c>
      <c r="G198" s="451">
        <v>29603677</v>
      </c>
      <c r="H198" s="451">
        <v>7400919</v>
      </c>
      <c r="I198" s="451">
        <v>0</v>
      </c>
      <c r="J198" s="451">
        <v>74009192</v>
      </c>
      <c r="K198" s="451">
        <v>0</v>
      </c>
      <c r="L198" s="451">
        <v>0</v>
      </c>
      <c r="M198" s="451">
        <v>37004596</v>
      </c>
      <c r="N198" s="451">
        <v>74009192</v>
      </c>
      <c r="O198" s="451">
        <v>268738</v>
      </c>
      <c r="P198" s="451">
        <v>268738</v>
      </c>
      <c r="Q198" s="451">
        <v>0</v>
      </c>
      <c r="R198" s="451">
        <v>0</v>
      </c>
      <c r="S198" s="451">
        <v>0</v>
      </c>
      <c r="T198" s="451">
        <v>0</v>
      </c>
      <c r="U198" s="451">
        <v>0</v>
      </c>
      <c r="V198" s="451">
        <v>0</v>
      </c>
      <c r="W198" s="451">
        <v>0</v>
      </c>
      <c r="X198" s="451">
        <v>0</v>
      </c>
      <c r="Y198" s="451">
        <v>0</v>
      </c>
      <c r="Z198" s="451">
        <v>0</v>
      </c>
      <c r="AA198" s="451">
        <v>0</v>
      </c>
      <c r="AB198" s="451">
        <v>2076899</v>
      </c>
      <c r="AC198" s="451">
        <v>1661520</v>
      </c>
      <c r="AD198" s="451">
        <v>415380</v>
      </c>
      <c r="AE198" s="451">
        <v>0</v>
      </c>
      <c r="AF198" s="451">
        <v>4153799</v>
      </c>
      <c r="AG198" s="451">
        <v>441940</v>
      </c>
      <c r="AH198" s="451">
        <v>353552</v>
      </c>
      <c r="AI198" s="451">
        <v>88388</v>
      </c>
      <c r="AJ198" s="451">
        <v>0</v>
      </c>
      <c r="AK198" s="451">
        <v>883880</v>
      </c>
      <c r="AL198" s="451">
        <v>0</v>
      </c>
      <c r="AM198" s="451">
        <v>0</v>
      </c>
      <c r="AN198" s="451">
        <v>0</v>
      </c>
      <c r="AO198" s="451">
        <v>0</v>
      </c>
      <c r="AP198" s="451">
        <v>0</v>
      </c>
      <c r="AQ198" s="451">
        <v>339473</v>
      </c>
      <c r="AR198" s="451">
        <v>271578</v>
      </c>
      <c r="AS198" s="451">
        <v>67895</v>
      </c>
      <c r="AT198" s="451">
        <v>0</v>
      </c>
      <c r="AU198" s="451">
        <v>678946</v>
      </c>
      <c r="AV198" s="451">
        <v>339473</v>
      </c>
      <c r="AW198" s="451">
        <v>271578</v>
      </c>
      <c r="AX198" s="451">
        <v>67895</v>
      </c>
      <c r="AY198" s="451">
        <v>0</v>
      </c>
      <c r="AZ198" s="451">
        <v>678946</v>
      </c>
      <c r="BA198" s="451">
        <v>0</v>
      </c>
      <c r="BB198" s="451">
        <v>0</v>
      </c>
      <c r="BC198" s="451">
        <v>0</v>
      </c>
      <c r="BD198" s="451">
        <v>0</v>
      </c>
      <c r="BE198" s="451">
        <v>0</v>
      </c>
      <c r="BF198" s="451">
        <v>238004</v>
      </c>
      <c r="BG198" s="451">
        <v>190403</v>
      </c>
      <c r="BH198" s="451">
        <v>47601</v>
      </c>
      <c r="BI198" s="451">
        <v>0</v>
      </c>
      <c r="BJ198" s="451">
        <v>476008</v>
      </c>
      <c r="BK198" s="451">
        <v>238004</v>
      </c>
      <c r="BL198" s="451">
        <v>190403</v>
      </c>
      <c r="BM198" s="451">
        <v>47601</v>
      </c>
      <c r="BN198" s="451">
        <v>0</v>
      </c>
      <c r="BO198" s="451">
        <v>476008</v>
      </c>
      <c r="BP198" s="451">
        <v>0</v>
      </c>
      <c r="BQ198" s="451">
        <v>0</v>
      </c>
      <c r="BR198" s="451">
        <v>0</v>
      </c>
      <c r="BS198" s="451">
        <v>0</v>
      </c>
      <c r="BT198" s="451">
        <v>0</v>
      </c>
      <c r="BU198" s="451">
        <v>194907</v>
      </c>
      <c r="BV198" s="451">
        <v>155926</v>
      </c>
      <c r="BW198" s="451">
        <v>38982</v>
      </c>
      <c r="BX198" s="451">
        <v>0</v>
      </c>
      <c r="BY198" s="451">
        <v>389815</v>
      </c>
      <c r="BZ198" s="451">
        <v>194907</v>
      </c>
      <c r="CA198" s="451">
        <v>155926</v>
      </c>
      <c r="CB198" s="451">
        <v>38982</v>
      </c>
      <c r="CC198" s="451">
        <v>0</v>
      </c>
      <c r="CD198" s="451">
        <v>389815</v>
      </c>
      <c r="CE198" s="104"/>
      <c r="CF198" s="104"/>
      <c r="CG198" s="104"/>
    </row>
    <row r="199" spans="1:85" ht="12.75" x14ac:dyDescent="0.2">
      <c r="A199" s="446">
        <v>192</v>
      </c>
      <c r="B199" s="447" t="s">
        <v>267</v>
      </c>
      <c r="C199" s="448" t="s">
        <v>794</v>
      </c>
      <c r="D199" s="449" t="s">
        <v>1096</v>
      </c>
      <c r="E199" s="450" t="s">
        <v>732</v>
      </c>
      <c r="F199" s="451">
        <v>57124605</v>
      </c>
      <c r="G199" s="451">
        <v>55982113</v>
      </c>
      <c r="H199" s="451">
        <v>0</v>
      </c>
      <c r="I199" s="451">
        <v>1142492</v>
      </c>
      <c r="J199" s="451">
        <v>114249210</v>
      </c>
      <c r="K199" s="451">
        <v>0</v>
      </c>
      <c r="L199" s="451">
        <v>0</v>
      </c>
      <c r="M199" s="451">
        <v>57124605</v>
      </c>
      <c r="N199" s="451">
        <v>114249210</v>
      </c>
      <c r="O199" s="451">
        <v>498329</v>
      </c>
      <c r="P199" s="451">
        <v>498329</v>
      </c>
      <c r="Q199" s="451">
        <v>0</v>
      </c>
      <c r="R199" s="451">
        <v>0</v>
      </c>
      <c r="S199" s="451">
        <v>0</v>
      </c>
      <c r="T199" s="451">
        <v>0</v>
      </c>
      <c r="U199" s="451">
        <v>0</v>
      </c>
      <c r="V199" s="451">
        <v>0</v>
      </c>
      <c r="W199" s="451">
        <v>0</v>
      </c>
      <c r="X199" s="451">
        <v>0</v>
      </c>
      <c r="Y199" s="451">
        <v>0</v>
      </c>
      <c r="Z199" s="451">
        <v>0</v>
      </c>
      <c r="AA199" s="451">
        <v>0</v>
      </c>
      <c r="AB199" s="451">
        <v>5074080</v>
      </c>
      <c r="AC199" s="451">
        <v>4972598</v>
      </c>
      <c r="AD199" s="451">
        <v>0</v>
      </c>
      <c r="AE199" s="451">
        <v>101482</v>
      </c>
      <c r="AF199" s="451">
        <v>10148160</v>
      </c>
      <c r="AG199" s="451">
        <v>1916935</v>
      </c>
      <c r="AH199" s="451">
        <v>1878596</v>
      </c>
      <c r="AI199" s="451">
        <v>0</v>
      </c>
      <c r="AJ199" s="451">
        <v>38339</v>
      </c>
      <c r="AK199" s="451">
        <v>3833870</v>
      </c>
      <c r="AL199" s="451">
        <v>2834100</v>
      </c>
      <c r="AM199" s="451">
        <v>2777418</v>
      </c>
      <c r="AN199" s="451">
        <v>0</v>
      </c>
      <c r="AO199" s="451">
        <v>56682</v>
      </c>
      <c r="AP199" s="451">
        <v>5668200</v>
      </c>
      <c r="AQ199" s="451">
        <v>34274</v>
      </c>
      <c r="AR199" s="451">
        <v>33590</v>
      </c>
      <c r="AS199" s="451">
        <v>0</v>
      </c>
      <c r="AT199" s="451">
        <v>686</v>
      </c>
      <c r="AU199" s="451">
        <v>68550</v>
      </c>
      <c r="AV199" s="451">
        <v>2868374</v>
      </c>
      <c r="AW199" s="451">
        <v>2811008</v>
      </c>
      <c r="AX199" s="451">
        <v>0</v>
      </c>
      <c r="AY199" s="451">
        <v>57368</v>
      </c>
      <c r="AZ199" s="451">
        <v>5736750</v>
      </c>
      <c r="BA199" s="451">
        <v>0</v>
      </c>
      <c r="BB199" s="451">
        <v>0</v>
      </c>
      <c r="BC199" s="451">
        <v>0</v>
      </c>
      <c r="BD199" s="451">
        <v>0</v>
      </c>
      <c r="BE199" s="451">
        <v>0</v>
      </c>
      <c r="BF199" s="451">
        <v>1195809</v>
      </c>
      <c r="BG199" s="451">
        <v>1171893</v>
      </c>
      <c r="BH199" s="451">
        <v>0</v>
      </c>
      <c r="BI199" s="451">
        <v>23916</v>
      </c>
      <c r="BJ199" s="451">
        <v>2391618</v>
      </c>
      <c r="BK199" s="451">
        <v>1195809</v>
      </c>
      <c r="BL199" s="451">
        <v>1171893</v>
      </c>
      <c r="BM199" s="451">
        <v>0</v>
      </c>
      <c r="BN199" s="451">
        <v>23916</v>
      </c>
      <c r="BO199" s="451">
        <v>2391618</v>
      </c>
      <c r="BP199" s="451">
        <v>0</v>
      </c>
      <c r="BQ199" s="451">
        <v>0</v>
      </c>
      <c r="BR199" s="451">
        <v>0</v>
      </c>
      <c r="BS199" s="451">
        <v>0</v>
      </c>
      <c r="BT199" s="451">
        <v>0</v>
      </c>
      <c r="BU199" s="451">
        <v>3313229</v>
      </c>
      <c r="BV199" s="451">
        <v>3246965</v>
      </c>
      <c r="BW199" s="451">
        <v>0</v>
      </c>
      <c r="BX199" s="451">
        <v>66265</v>
      </c>
      <c r="BY199" s="451">
        <v>6626459</v>
      </c>
      <c r="BZ199" s="451">
        <v>3313229</v>
      </c>
      <c r="CA199" s="451">
        <v>3246965</v>
      </c>
      <c r="CB199" s="451">
        <v>0</v>
      </c>
      <c r="CC199" s="451">
        <v>66265</v>
      </c>
      <c r="CD199" s="451">
        <v>6626459</v>
      </c>
      <c r="CE199" s="104"/>
      <c r="CF199" s="104"/>
      <c r="CG199" s="104"/>
    </row>
    <row r="200" spans="1:85" ht="12.75" x14ac:dyDescent="0.2">
      <c r="A200" s="446">
        <v>193</v>
      </c>
      <c r="B200" s="447" t="s">
        <v>269</v>
      </c>
      <c r="C200" s="448" t="s">
        <v>1093</v>
      </c>
      <c r="D200" s="449" t="s">
        <v>1103</v>
      </c>
      <c r="E200" s="450" t="s">
        <v>733</v>
      </c>
      <c r="F200" s="451">
        <v>15770289</v>
      </c>
      <c r="G200" s="451">
        <v>12616231</v>
      </c>
      <c r="H200" s="451">
        <v>3154058</v>
      </c>
      <c r="I200" s="451">
        <v>0</v>
      </c>
      <c r="J200" s="451">
        <v>31540578</v>
      </c>
      <c r="K200" s="451">
        <v>0</v>
      </c>
      <c r="L200" s="451">
        <v>0</v>
      </c>
      <c r="M200" s="451">
        <v>15770289</v>
      </c>
      <c r="N200" s="451">
        <v>31540578</v>
      </c>
      <c r="O200" s="451">
        <v>136145</v>
      </c>
      <c r="P200" s="451">
        <v>136145</v>
      </c>
      <c r="Q200" s="451">
        <v>0</v>
      </c>
      <c r="R200" s="451">
        <v>0</v>
      </c>
      <c r="S200" s="451">
        <v>0</v>
      </c>
      <c r="T200" s="451">
        <v>0</v>
      </c>
      <c r="U200" s="451">
        <v>0</v>
      </c>
      <c r="V200" s="451">
        <v>0</v>
      </c>
      <c r="W200" s="451">
        <v>0</v>
      </c>
      <c r="X200" s="451">
        <v>0</v>
      </c>
      <c r="Y200" s="451">
        <v>0</v>
      </c>
      <c r="Z200" s="451">
        <v>0</v>
      </c>
      <c r="AA200" s="451">
        <v>0</v>
      </c>
      <c r="AB200" s="451">
        <v>617567.29</v>
      </c>
      <c r="AC200" s="451">
        <v>494055</v>
      </c>
      <c r="AD200" s="451">
        <v>123514</v>
      </c>
      <c r="AE200" s="451">
        <v>0</v>
      </c>
      <c r="AF200" s="451">
        <v>1235136.29</v>
      </c>
      <c r="AG200" s="451">
        <v>151178.38</v>
      </c>
      <c r="AH200" s="451">
        <v>120943</v>
      </c>
      <c r="AI200" s="451">
        <v>30236</v>
      </c>
      <c r="AJ200" s="451">
        <v>0</v>
      </c>
      <c r="AK200" s="451">
        <v>302357.38</v>
      </c>
      <c r="AL200" s="451">
        <v>115000</v>
      </c>
      <c r="AM200" s="451">
        <v>92000</v>
      </c>
      <c r="AN200" s="451">
        <v>23000</v>
      </c>
      <c r="AO200" s="451">
        <v>0</v>
      </c>
      <c r="AP200" s="451">
        <v>230000</v>
      </c>
      <c r="AQ200" s="451">
        <v>70000</v>
      </c>
      <c r="AR200" s="451">
        <v>56000</v>
      </c>
      <c r="AS200" s="451">
        <v>14000</v>
      </c>
      <c r="AT200" s="451">
        <v>0</v>
      </c>
      <c r="AU200" s="451">
        <v>140000</v>
      </c>
      <c r="AV200" s="451">
        <v>185000</v>
      </c>
      <c r="AW200" s="451">
        <v>148000</v>
      </c>
      <c r="AX200" s="451">
        <v>37000</v>
      </c>
      <c r="AY200" s="451">
        <v>0</v>
      </c>
      <c r="AZ200" s="451">
        <v>370000</v>
      </c>
      <c r="BA200" s="451">
        <v>0</v>
      </c>
      <c r="BB200" s="451">
        <v>0</v>
      </c>
      <c r="BC200" s="451">
        <v>0</v>
      </c>
      <c r="BD200" s="451">
        <v>0</v>
      </c>
      <c r="BE200" s="451">
        <v>0</v>
      </c>
      <c r="BF200" s="451">
        <v>206598.76</v>
      </c>
      <c r="BG200" s="451">
        <v>165280</v>
      </c>
      <c r="BH200" s="451">
        <v>41320</v>
      </c>
      <c r="BI200" s="451">
        <v>0</v>
      </c>
      <c r="BJ200" s="451">
        <v>413198.76</v>
      </c>
      <c r="BK200" s="451">
        <v>206598.76</v>
      </c>
      <c r="BL200" s="451">
        <v>165280</v>
      </c>
      <c r="BM200" s="451">
        <v>41320</v>
      </c>
      <c r="BN200" s="451">
        <v>0</v>
      </c>
      <c r="BO200" s="451">
        <v>413198.76</v>
      </c>
      <c r="BP200" s="451">
        <v>0</v>
      </c>
      <c r="BQ200" s="451">
        <v>0</v>
      </c>
      <c r="BR200" s="451">
        <v>0</v>
      </c>
      <c r="BS200" s="451">
        <v>0</v>
      </c>
      <c r="BT200" s="451">
        <v>0</v>
      </c>
      <c r="BU200" s="451">
        <v>572727.74</v>
      </c>
      <c r="BV200" s="451">
        <v>458182</v>
      </c>
      <c r="BW200" s="451">
        <v>114545</v>
      </c>
      <c r="BX200" s="451">
        <v>0</v>
      </c>
      <c r="BY200" s="451">
        <v>1145454.74</v>
      </c>
      <c r="BZ200" s="451">
        <v>572727.74</v>
      </c>
      <c r="CA200" s="451">
        <v>458182</v>
      </c>
      <c r="CB200" s="451">
        <v>114545</v>
      </c>
      <c r="CC200" s="451">
        <v>0</v>
      </c>
      <c r="CD200" s="451">
        <v>1145454.74</v>
      </c>
      <c r="CE200" s="104"/>
      <c r="CF200" s="104"/>
      <c r="CG200" s="104"/>
    </row>
    <row r="201" spans="1:85" ht="12.75" x14ac:dyDescent="0.2">
      <c r="A201" s="446">
        <v>194</v>
      </c>
      <c r="B201" s="447" t="s">
        <v>271</v>
      </c>
      <c r="C201" s="448" t="s">
        <v>1093</v>
      </c>
      <c r="D201" s="449" t="s">
        <v>1096</v>
      </c>
      <c r="E201" s="450" t="s">
        <v>734</v>
      </c>
      <c r="F201" s="451">
        <v>5459222</v>
      </c>
      <c r="G201" s="451">
        <v>4367378</v>
      </c>
      <c r="H201" s="451">
        <v>982660</v>
      </c>
      <c r="I201" s="451">
        <v>109184</v>
      </c>
      <c r="J201" s="451">
        <v>10918444</v>
      </c>
      <c r="K201" s="451">
        <v>0</v>
      </c>
      <c r="L201" s="451">
        <v>0</v>
      </c>
      <c r="M201" s="451">
        <v>5459222</v>
      </c>
      <c r="N201" s="451">
        <v>10918444</v>
      </c>
      <c r="O201" s="451">
        <v>56189</v>
      </c>
      <c r="P201" s="451">
        <v>56189</v>
      </c>
      <c r="Q201" s="451">
        <v>0</v>
      </c>
      <c r="R201" s="451">
        <v>0</v>
      </c>
      <c r="S201" s="451">
        <v>0</v>
      </c>
      <c r="T201" s="451">
        <v>0</v>
      </c>
      <c r="U201" s="451">
        <v>0</v>
      </c>
      <c r="V201" s="451">
        <v>0</v>
      </c>
      <c r="W201" s="451">
        <v>0</v>
      </c>
      <c r="X201" s="451">
        <v>0</v>
      </c>
      <c r="Y201" s="451">
        <v>0</v>
      </c>
      <c r="Z201" s="451">
        <v>0</v>
      </c>
      <c r="AA201" s="451">
        <v>0</v>
      </c>
      <c r="AB201" s="451">
        <v>372027</v>
      </c>
      <c r="AC201" s="451">
        <v>297622</v>
      </c>
      <c r="AD201" s="451">
        <v>66965</v>
      </c>
      <c r="AE201" s="451">
        <v>7441</v>
      </c>
      <c r="AF201" s="451">
        <v>744055</v>
      </c>
      <c r="AG201" s="451">
        <v>157481</v>
      </c>
      <c r="AH201" s="451">
        <v>125986</v>
      </c>
      <c r="AI201" s="451">
        <v>28347</v>
      </c>
      <c r="AJ201" s="451">
        <v>3150</v>
      </c>
      <c r="AK201" s="451">
        <v>314964</v>
      </c>
      <c r="AL201" s="451">
        <v>68789</v>
      </c>
      <c r="AM201" s="451">
        <v>55031</v>
      </c>
      <c r="AN201" s="451">
        <v>12382</v>
      </c>
      <c r="AO201" s="451">
        <v>1376</v>
      </c>
      <c r="AP201" s="451">
        <v>137578</v>
      </c>
      <c r="AQ201" s="451">
        <v>37628.199999999997</v>
      </c>
      <c r="AR201" s="451">
        <v>30103</v>
      </c>
      <c r="AS201" s="451">
        <v>6773</v>
      </c>
      <c r="AT201" s="451">
        <v>753</v>
      </c>
      <c r="AU201" s="451">
        <v>75257.2</v>
      </c>
      <c r="AV201" s="451">
        <v>106417.2</v>
      </c>
      <c r="AW201" s="451">
        <v>85134</v>
      </c>
      <c r="AX201" s="451">
        <v>19155</v>
      </c>
      <c r="AY201" s="451">
        <v>2129</v>
      </c>
      <c r="AZ201" s="451">
        <v>212835.20000000001</v>
      </c>
      <c r="BA201" s="451">
        <v>0</v>
      </c>
      <c r="BB201" s="451">
        <v>0</v>
      </c>
      <c r="BC201" s="451">
        <v>0</v>
      </c>
      <c r="BD201" s="451">
        <v>0</v>
      </c>
      <c r="BE201" s="451">
        <v>0</v>
      </c>
      <c r="BF201" s="451">
        <v>46641</v>
      </c>
      <c r="BG201" s="451">
        <v>37312</v>
      </c>
      <c r="BH201" s="451">
        <v>8395</v>
      </c>
      <c r="BI201" s="451">
        <v>933</v>
      </c>
      <c r="BJ201" s="451">
        <v>93281</v>
      </c>
      <c r="BK201" s="451">
        <v>46641</v>
      </c>
      <c r="BL201" s="451">
        <v>37312</v>
      </c>
      <c r="BM201" s="451">
        <v>8395</v>
      </c>
      <c r="BN201" s="451">
        <v>933</v>
      </c>
      <c r="BO201" s="451">
        <v>93281</v>
      </c>
      <c r="BP201" s="451">
        <v>0</v>
      </c>
      <c r="BQ201" s="451">
        <v>0</v>
      </c>
      <c r="BR201" s="451">
        <v>0</v>
      </c>
      <c r="BS201" s="451">
        <v>0</v>
      </c>
      <c r="BT201" s="451">
        <v>0</v>
      </c>
      <c r="BU201" s="451">
        <v>170375</v>
      </c>
      <c r="BV201" s="451">
        <v>136300</v>
      </c>
      <c r="BW201" s="451">
        <v>30668</v>
      </c>
      <c r="BX201" s="451">
        <v>3408</v>
      </c>
      <c r="BY201" s="451">
        <v>340751</v>
      </c>
      <c r="BZ201" s="451">
        <v>170375</v>
      </c>
      <c r="CA201" s="451">
        <v>136300</v>
      </c>
      <c r="CB201" s="451">
        <v>30668</v>
      </c>
      <c r="CC201" s="451">
        <v>3408</v>
      </c>
      <c r="CD201" s="451">
        <v>340751</v>
      </c>
      <c r="CE201" s="104"/>
      <c r="CF201" s="104"/>
      <c r="CG201" s="104"/>
    </row>
    <row r="202" spans="1:85" ht="12.75" x14ac:dyDescent="0.2">
      <c r="A202" s="446">
        <v>195</v>
      </c>
      <c r="B202" s="447" t="s">
        <v>273</v>
      </c>
      <c r="C202" s="448" t="s">
        <v>1100</v>
      </c>
      <c r="D202" s="449" t="s">
        <v>1095</v>
      </c>
      <c r="E202" s="450" t="s">
        <v>272</v>
      </c>
      <c r="F202" s="451">
        <v>25950975</v>
      </c>
      <c r="G202" s="451">
        <v>25431956</v>
      </c>
      <c r="H202" s="451">
        <v>0</v>
      </c>
      <c r="I202" s="451">
        <v>519020</v>
      </c>
      <c r="J202" s="451">
        <v>51901951</v>
      </c>
      <c r="K202" s="451">
        <v>0</v>
      </c>
      <c r="L202" s="451">
        <v>0</v>
      </c>
      <c r="M202" s="451">
        <v>25950975</v>
      </c>
      <c r="N202" s="451">
        <v>51901951</v>
      </c>
      <c r="O202" s="451">
        <v>309623</v>
      </c>
      <c r="P202" s="451">
        <v>309623</v>
      </c>
      <c r="Q202" s="451">
        <v>0</v>
      </c>
      <c r="R202" s="451">
        <v>0</v>
      </c>
      <c r="S202" s="451">
        <v>0</v>
      </c>
      <c r="T202" s="451">
        <v>0</v>
      </c>
      <c r="U202" s="451">
        <v>0</v>
      </c>
      <c r="V202" s="451">
        <v>0</v>
      </c>
      <c r="W202" s="451">
        <v>0</v>
      </c>
      <c r="X202" s="451">
        <v>0</v>
      </c>
      <c r="Y202" s="451">
        <v>0</v>
      </c>
      <c r="Z202" s="451">
        <v>0</v>
      </c>
      <c r="AA202" s="451">
        <v>0</v>
      </c>
      <c r="AB202" s="451">
        <v>3348980</v>
      </c>
      <c r="AC202" s="451">
        <v>3282000</v>
      </c>
      <c r="AD202" s="451">
        <v>0</v>
      </c>
      <c r="AE202" s="451">
        <v>66980</v>
      </c>
      <c r="AF202" s="451">
        <v>6697960</v>
      </c>
      <c r="AG202" s="451">
        <v>409388</v>
      </c>
      <c r="AH202" s="451">
        <v>401200</v>
      </c>
      <c r="AI202" s="451">
        <v>0</v>
      </c>
      <c r="AJ202" s="451">
        <v>8188</v>
      </c>
      <c r="AK202" s="451">
        <v>818776</v>
      </c>
      <c r="AL202" s="451">
        <v>1729485</v>
      </c>
      <c r="AM202" s="451">
        <v>1694896</v>
      </c>
      <c r="AN202" s="451">
        <v>0</v>
      </c>
      <c r="AO202" s="451">
        <v>34590</v>
      </c>
      <c r="AP202" s="451">
        <v>3458971</v>
      </c>
      <c r="AQ202" s="451">
        <v>102428</v>
      </c>
      <c r="AR202" s="451">
        <v>100380</v>
      </c>
      <c r="AS202" s="451">
        <v>0</v>
      </c>
      <c r="AT202" s="451">
        <v>2049</v>
      </c>
      <c r="AU202" s="451">
        <v>204857</v>
      </c>
      <c r="AV202" s="451">
        <v>1831913</v>
      </c>
      <c r="AW202" s="451">
        <v>1795276</v>
      </c>
      <c r="AX202" s="451">
        <v>0</v>
      </c>
      <c r="AY202" s="451">
        <v>36639</v>
      </c>
      <c r="AZ202" s="451">
        <v>3663828</v>
      </c>
      <c r="BA202" s="451">
        <v>0</v>
      </c>
      <c r="BB202" s="451">
        <v>0</v>
      </c>
      <c r="BC202" s="451">
        <v>0</v>
      </c>
      <c r="BD202" s="451">
        <v>0</v>
      </c>
      <c r="BE202" s="451">
        <v>0</v>
      </c>
      <c r="BF202" s="451">
        <v>1866097</v>
      </c>
      <c r="BG202" s="451">
        <v>1828776</v>
      </c>
      <c r="BH202" s="451">
        <v>0</v>
      </c>
      <c r="BI202" s="451">
        <v>37322</v>
      </c>
      <c r="BJ202" s="451">
        <v>3732195</v>
      </c>
      <c r="BK202" s="451">
        <v>1866097</v>
      </c>
      <c r="BL202" s="451">
        <v>1828776</v>
      </c>
      <c r="BM202" s="451">
        <v>0</v>
      </c>
      <c r="BN202" s="451">
        <v>37322</v>
      </c>
      <c r="BO202" s="451">
        <v>3732195</v>
      </c>
      <c r="BP202" s="451">
        <v>0</v>
      </c>
      <c r="BQ202" s="451">
        <v>0</v>
      </c>
      <c r="BR202" s="451">
        <v>0</v>
      </c>
      <c r="BS202" s="451">
        <v>0</v>
      </c>
      <c r="BT202" s="451">
        <v>0</v>
      </c>
      <c r="BU202" s="451">
        <v>0</v>
      </c>
      <c r="BV202" s="451">
        <v>0</v>
      </c>
      <c r="BW202" s="451">
        <v>0</v>
      </c>
      <c r="BX202" s="451">
        <v>0</v>
      </c>
      <c r="BY202" s="451">
        <v>0</v>
      </c>
      <c r="BZ202" s="451">
        <v>0</v>
      </c>
      <c r="CA202" s="451">
        <v>0</v>
      </c>
      <c r="CB202" s="451">
        <v>0</v>
      </c>
      <c r="CC202" s="451">
        <v>0</v>
      </c>
      <c r="CD202" s="451">
        <v>0</v>
      </c>
      <c r="CE202" s="104"/>
      <c r="CF202" s="104"/>
      <c r="CG202" s="104"/>
    </row>
    <row r="203" spans="1:85" ht="12.75" x14ac:dyDescent="0.2">
      <c r="A203" s="446">
        <v>196</v>
      </c>
      <c r="B203" s="447" t="s">
        <v>275</v>
      </c>
      <c r="C203" s="448" t="s">
        <v>1093</v>
      </c>
      <c r="D203" s="449" t="s">
        <v>1094</v>
      </c>
      <c r="E203" s="450" t="s">
        <v>274</v>
      </c>
      <c r="F203" s="451">
        <v>39629263</v>
      </c>
      <c r="G203" s="451">
        <v>31703410</v>
      </c>
      <c r="H203" s="451">
        <v>7925853</v>
      </c>
      <c r="I203" s="451">
        <v>0</v>
      </c>
      <c r="J203" s="451">
        <v>79258526</v>
      </c>
      <c r="K203" s="451">
        <v>0</v>
      </c>
      <c r="L203" s="451">
        <v>0</v>
      </c>
      <c r="M203" s="451">
        <v>39629263</v>
      </c>
      <c r="N203" s="451">
        <v>79258526</v>
      </c>
      <c r="O203" s="451">
        <v>220001</v>
      </c>
      <c r="P203" s="451">
        <v>220001</v>
      </c>
      <c r="Q203" s="451">
        <v>0</v>
      </c>
      <c r="R203" s="451">
        <v>0</v>
      </c>
      <c r="S203" s="451">
        <v>0</v>
      </c>
      <c r="T203" s="451">
        <v>0</v>
      </c>
      <c r="U203" s="451">
        <v>0</v>
      </c>
      <c r="V203" s="451">
        <v>0</v>
      </c>
      <c r="W203" s="451">
        <v>0</v>
      </c>
      <c r="X203" s="451">
        <v>0</v>
      </c>
      <c r="Y203" s="451">
        <v>0</v>
      </c>
      <c r="Z203" s="451">
        <v>0</v>
      </c>
      <c r="AA203" s="451">
        <v>0</v>
      </c>
      <c r="AB203" s="451">
        <v>1661344</v>
      </c>
      <c r="AC203" s="451">
        <v>1329076</v>
      </c>
      <c r="AD203" s="451">
        <v>332269</v>
      </c>
      <c r="AE203" s="451">
        <v>0</v>
      </c>
      <c r="AF203" s="451">
        <v>3322689</v>
      </c>
      <c r="AG203" s="451">
        <v>1086718</v>
      </c>
      <c r="AH203" s="451">
        <v>869375</v>
      </c>
      <c r="AI203" s="451">
        <v>217344</v>
      </c>
      <c r="AJ203" s="451">
        <v>0</v>
      </c>
      <c r="AK203" s="451">
        <v>2173437</v>
      </c>
      <c r="AL203" s="451">
        <v>771848</v>
      </c>
      <c r="AM203" s="451">
        <v>617479</v>
      </c>
      <c r="AN203" s="451">
        <v>154370</v>
      </c>
      <c r="AO203" s="451">
        <v>0</v>
      </c>
      <c r="AP203" s="451">
        <v>1543697</v>
      </c>
      <c r="AQ203" s="451">
        <v>45357</v>
      </c>
      <c r="AR203" s="451">
        <v>36285</v>
      </c>
      <c r="AS203" s="451">
        <v>9071</v>
      </c>
      <c r="AT203" s="451">
        <v>0</v>
      </c>
      <c r="AU203" s="451">
        <v>90713</v>
      </c>
      <c r="AV203" s="451">
        <v>817205</v>
      </c>
      <c r="AW203" s="451">
        <v>653764</v>
      </c>
      <c r="AX203" s="451">
        <v>163441</v>
      </c>
      <c r="AY203" s="451">
        <v>0</v>
      </c>
      <c r="AZ203" s="451">
        <v>1634410</v>
      </c>
      <c r="BA203" s="451">
        <v>0</v>
      </c>
      <c r="BB203" s="451">
        <v>0</v>
      </c>
      <c r="BC203" s="451">
        <v>0</v>
      </c>
      <c r="BD203" s="451">
        <v>0</v>
      </c>
      <c r="BE203" s="451">
        <v>0</v>
      </c>
      <c r="BF203" s="451">
        <v>566449</v>
      </c>
      <c r="BG203" s="451">
        <v>453160</v>
      </c>
      <c r="BH203" s="451">
        <v>113290</v>
      </c>
      <c r="BI203" s="451">
        <v>0</v>
      </c>
      <c r="BJ203" s="451">
        <v>1132899</v>
      </c>
      <c r="BK203" s="451">
        <v>566449</v>
      </c>
      <c r="BL203" s="451">
        <v>453160</v>
      </c>
      <c r="BM203" s="451">
        <v>113290</v>
      </c>
      <c r="BN203" s="451">
        <v>0</v>
      </c>
      <c r="BO203" s="451">
        <v>1132899</v>
      </c>
      <c r="BP203" s="451">
        <v>0</v>
      </c>
      <c r="BQ203" s="451">
        <v>0</v>
      </c>
      <c r="BR203" s="451">
        <v>0</v>
      </c>
      <c r="BS203" s="451">
        <v>0</v>
      </c>
      <c r="BT203" s="451">
        <v>0</v>
      </c>
      <c r="BU203" s="451">
        <v>1610882</v>
      </c>
      <c r="BV203" s="451">
        <v>1288705</v>
      </c>
      <c r="BW203" s="451">
        <v>322176</v>
      </c>
      <c r="BX203" s="451">
        <v>0</v>
      </c>
      <c r="BY203" s="451">
        <v>3221763</v>
      </c>
      <c r="BZ203" s="451">
        <v>1610882</v>
      </c>
      <c r="CA203" s="451">
        <v>1288705</v>
      </c>
      <c r="CB203" s="451">
        <v>322176</v>
      </c>
      <c r="CC203" s="451">
        <v>0</v>
      </c>
      <c r="CD203" s="451">
        <v>3221763</v>
      </c>
      <c r="CE203" s="104"/>
      <c r="CF203" s="104"/>
      <c r="CG203" s="104"/>
    </row>
    <row r="204" spans="1:85" ht="12.75" x14ac:dyDescent="0.2">
      <c r="A204" s="446">
        <v>197</v>
      </c>
      <c r="B204" s="447" t="s">
        <v>277</v>
      </c>
      <c r="C204" s="448" t="s">
        <v>1093</v>
      </c>
      <c r="D204" s="449" t="s">
        <v>1095</v>
      </c>
      <c r="E204" s="450" t="s">
        <v>276</v>
      </c>
      <c r="F204" s="451">
        <v>8505515</v>
      </c>
      <c r="G204" s="451">
        <v>6804412</v>
      </c>
      <c r="H204" s="451">
        <v>1530993</v>
      </c>
      <c r="I204" s="451">
        <v>170110</v>
      </c>
      <c r="J204" s="451">
        <v>17011030</v>
      </c>
      <c r="K204" s="451">
        <v>0</v>
      </c>
      <c r="L204" s="451">
        <v>0</v>
      </c>
      <c r="M204" s="451">
        <v>8505515</v>
      </c>
      <c r="N204" s="451">
        <v>17011030</v>
      </c>
      <c r="O204" s="451">
        <v>137523</v>
      </c>
      <c r="P204" s="451">
        <v>137523</v>
      </c>
      <c r="Q204" s="451">
        <v>0</v>
      </c>
      <c r="R204" s="451">
        <v>0</v>
      </c>
      <c r="S204" s="451">
        <v>0</v>
      </c>
      <c r="T204" s="451">
        <v>0</v>
      </c>
      <c r="U204" s="451">
        <v>0</v>
      </c>
      <c r="V204" s="451">
        <v>0</v>
      </c>
      <c r="W204" s="451">
        <v>0</v>
      </c>
      <c r="X204" s="451">
        <v>0</v>
      </c>
      <c r="Y204" s="451">
        <v>0</v>
      </c>
      <c r="Z204" s="451">
        <v>0</v>
      </c>
      <c r="AA204" s="451">
        <v>0</v>
      </c>
      <c r="AB204" s="451">
        <v>521643</v>
      </c>
      <c r="AC204" s="451">
        <v>417315</v>
      </c>
      <c r="AD204" s="451">
        <v>93896</v>
      </c>
      <c r="AE204" s="451">
        <v>10433</v>
      </c>
      <c r="AF204" s="451">
        <v>1043287</v>
      </c>
      <c r="AG204" s="451">
        <v>39675</v>
      </c>
      <c r="AH204" s="451">
        <v>31739</v>
      </c>
      <c r="AI204" s="451">
        <v>7141</v>
      </c>
      <c r="AJ204" s="451">
        <v>793</v>
      </c>
      <c r="AK204" s="451">
        <v>79348</v>
      </c>
      <c r="AL204" s="451">
        <v>510000</v>
      </c>
      <c r="AM204" s="451">
        <v>408000</v>
      </c>
      <c r="AN204" s="451">
        <v>91800</v>
      </c>
      <c r="AO204" s="451">
        <v>10200</v>
      </c>
      <c r="AP204" s="451">
        <v>1020000</v>
      </c>
      <c r="AQ204" s="451">
        <v>-105000</v>
      </c>
      <c r="AR204" s="451">
        <v>-84000</v>
      </c>
      <c r="AS204" s="451">
        <v>-18900</v>
      </c>
      <c r="AT204" s="451">
        <v>-2100</v>
      </c>
      <c r="AU204" s="451">
        <v>-210000</v>
      </c>
      <c r="AV204" s="451">
        <v>405000</v>
      </c>
      <c r="AW204" s="451">
        <v>324000</v>
      </c>
      <c r="AX204" s="451">
        <v>72900</v>
      </c>
      <c r="AY204" s="451">
        <v>8100</v>
      </c>
      <c r="AZ204" s="451">
        <v>810000</v>
      </c>
      <c r="BA204" s="451">
        <v>0</v>
      </c>
      <c r="BB204" s="451">
        <v>0</v>
      </c>
      <c r="BC204" s="451">
        <v>0</v>
      </c>
      <c r="BD204" s="451">
        <v>0</v>
      </c>
      <c r="BE204" s="451">
        <v>0</v>
      </c>
      <c r="BF204" s="451">
        <v>180067</v>
      </c>
      <c r="BG204" s="451">
        <v>144054</v>
      </c>
      <c r="BH204" s="451">
        <v>32412</v>
      </c>
      <c r="BI204" s="451">
        <v>3601</v>
      </c>
      <c r="BJ204" s="451">
        <v>360134</v>
      </c>
      <c r="BK204" s="451">
        <v>180067</v>
      </c>
      <c r="BL204" s="451">
        <v>144054</v>
      </c>
      <c r="BM204" s="451">
        <v>32412</v>
      </c>
      <c r="BN204" s="451">
        <v>3601</v>
      </c>
      <c r="BO204" s="451">
        <v>360134</v>
      </c>
      <c r="BP204" s="451">
        <v>0</v>
      </c>
      <c r="BQ204" s="451">
        <v>0</v>
      </c>
      <c r="BR204" s="451">
        <v>0</v>
      </c>
      <c r="BS204" s="451">
        <v>0</v>
      </c>
      <c r="BT204" s="451">
        <v>0</v>
      </c>
      <c r="BU204" s="451">
        <v>555014</v>
      </c>
      <c r="BV204" s="451">
        <v>444012</v>
      </c>
      <c r="BW204" s="451">
        <v>99903</v>
      </c>
      <c r="BX204" s="451">
        <v>11100</v>
      </c>
      <c r="BY204" s="451">
        <v>1110029</v>
      </c>
      <c r="BZ204" s="451">
        <v>555014</v>
      </c>
      <c r="CA204" s="451">
        <v>444012</v>
      </c>
      <c r="CB204" s="451">
        <v>99903</v>
      </c>
      <c r="CC204" s="451">
        <v>11100</v>
      </c>
      <c r="CD204" s="451">
        <v>1110029</v>
      </c>
      <c r="CE204" s="104"/>
      <c r="CF204" s="104"/>
      <c r="CG204" s="104"/>
    </row>
    <row r="205" spans="1:85" ht="12.75" x14ac:dyDescent="0.2">
      <c r="A205" s="446">
        <v>198</v>
      </c>
      <c r="B205" s="447" t="s">
        <v>279</v>
      </c>
      <c r="C205" s="448" t="s">
        <v>794</v>
      </c>
      <c r="D205" s="449" t="s">
        <v>1097</v>
      </c>
      <c r="E205" s="450" t="s">
        <v>735</v>
      </c>
      <c r="F205" s="451">
        <v>41802627</v>
      </c>
      <c r="G205" s="451">
        <v>40966574</v>
      </c>
      <c r="H205" s="451">
        <v>0</v>
      </c>
      <c r="I205" s="451">
        <v>836053</v>
      </c>
      <c r="J205" s="451">
        <v>83605254</v>
      </c>
      <c r="K205" s="451">
        <v>0</v>
      </c>
      <c r="L205" s="451">
        <v>0</v>
      </c>
      <c r="M205" s="451">
        <v>41802627</v>
      </c>
      <c r="N205" s="451">
        <v>83605254</v>
      </c>
      <c r="O205" s="451">
        <v>275537</v>
      </c>
      <c r="P205" s="451">
        <v>275537</v>
      </c>
      <c r="Q205" s="451">
        <v>0</v>
      </c>
      <c r="R205" s="451">
        <v>0</v>
      </c>
      <c r="S205" s="451">
        <v>0</v>
      </c>
      <c r="T205" s="451">
        <v>0</v>
      </c>
      <c r="U205" s="451">
        <v>0</v>
      </c>
      <c r="V205" s="451">
        <v>0</v>
      </c>
      <c r="W205" s="451">
        <v>0</v>
      </c>
      <c r="X205" s="451">
        <v>0</v>
      </c>
      <c r="Y205" s="451">
        <v>0</v>
      </c>
      <c r="Z205" s="451">
        <v>0</v>
      </c>
      <c r="AA205" s="451">
        <v>0</v>
      </c>
      <c r="AB205" s="451">
        <v>3075574.52</v>
      </c>
      <c r="AC205" s="451">
        <v>3014064</v>
      </c>
      <c r="AD205" s="451">
        <v>0</v>
      </c>
      <c r="AE205" s="451">
        <v>61512</v>
      </c>
      <c r="AF205" s="451">
        <v>6151150.5199999996</v>
      </c>
      <c r="AG205" s="451">
        <v>1151326</v>
      </c>
      <c r="AH205" s="451">
        <v>1128299</v>
      </c>
      <c r="AI205" s="451">
        <v>0</v>
      </c>
      <c r="AJ205" s="451">
        <v>23027</v>
      </c>
      <c r="AK205" s="451">
        <v>2302652</v>
      </c>
      <c r="AL205" s="451">
        <v>0</v>
      </c>
      <c r="AM205" s="451">
        <v>0</v>
      </c>
      <c r="AN205" s="451">
        <v>0</v>
      </c>
      <c r="AO205" s="451">
        <v>0</v>
      </c>
      <c r="AP205" s="451">
        <v>0</v>
      </c>
      <c r="AQ205" s="451">
        <v>476993</v>
      </c>
      <c r="AR205" s="451">
        <v>467454</v>
      </c>
      <c r="AS205" s="451">
        <v>0</v>
      </c>
      <c r="AT205" s="451">
        <v>9540</v>
      </c>
      <c r="AU205" s="451">
        <v>953987</v>
      </c>
      <c r="AV205" s="451">
        <v>476993</v>
      </c>
      <c r="AW205" s="451">
        <v>467454</v>
      </c>
      <c r="AX205" s="451">
        <v>0</v>
      </c>
      <c r="AY205" s="451">
        <v>9540</v>
      </c>
      <c r="AZ205" s="451">
        <v>953987</v>
      </c>
      <c r="BA205" s="451">
        <v>0</v>
      </c>
      <c r="BB205" s="451">
        <v>0</v>
      </c>
      <c r="BC205" s="451">
        <v>0</v>
      </c>
      <c r="BD205" s="451">
        <v>0</v>
      </c>
      <c r="BE205" s="451">
        <v>0</v>
      </c>
      <c r="BF205" s="451">
        <v>1157919</v>
      </c>
      <c r="BG205" s="451">
        <v>1134760</v>
      </c>
      <c r="BH205" s="451">
        <v>0</v>
      </c>
      <c r="BI205" s="451">
        <v>23158</v>
      </c>
      <c r="BJ205" s="451">
        <v>2315837</v>
      </c>
      <c r="BK205" s="451">
        <v>1157919</v>
      </c>
      <c r="BL205" s="451">
        <v>1134760</v>
      </c>
      <c r="BM205" s="451">
        <v>0</v>
      </c>
      <c r="BN205" s="451">
        <v>23158</v>
      </c>
      <c r="BO205" s="451">
        <v>2315837</v>
      </c>
      <c r="BP205" s="451">
        <v>0</v>
      </c>
      <c r="BQ205" s="451">
        <v>0</v>
      </c>
      <c r="BR205" s="451">
        <v>0</v>
      </c>
      <c r="BS205" s="451">
        <v>0</v>
      </c>
      <c r="BT205" s="451">
        <v>0</v>
      </c>
      <c r="BU205" s="451">
        <v>3107506</v>
      </c>
      <c r="BV205" s="451">
        <v>3045355</v>
      </c>
      <c r="BW205" s="451">
        <v>0</v>
      </c>
      <c r="BX205" s="451">
        <v>62150</v>
      </c>
      <c r="BY205" s="451">
        <v>6215011</v>
      </c>
      <c r="BZ205" s="451">
        <v>3107506</v>
      </c>
      <c r="CA205" s="451">
        <v>3045355</v>
      </c>
      <c r="CB205" s="451">
        <v>0</v>
      </c>
      <c r="CC205" s="451">
        <v>62150</v>
      </c>
      <c r="CD205" s="451">
        <v>6215011</v>
      </c>
      <c r="CE205" s="104" t="s">
        <v>1120</v>
      </c>
      <c r="CF205" s="104"/>
      <c r="CG205" s="104"/>
    </row>
    <row r="206" spans="1:85" ht="12.75" x14ac:dyDescent="0.2">
      <c r="A206" s="446">
        <v>199</v>
      </c>
      <c r="B206" s="447" t="s">
        <v>281</v>
      </c>
      <c r="C206" s="448" t="s">
        <v>794</v>
      </c>
      <c r="D206" s="449" t="s">
        <v>1102</v>
      </c>
      <c r="E206" s="450" t="s">
        <v>736</v>
      </c>
      <c r="F206" s="451">
        <v>42705291</v>
      </c>
      <c r="G206" s="451">
        <v>41851185</v>
      </c>
      <c r="H206" s="451">
        <v>0</v>
      </c>
      <c r="I206" s="451">
        <v>854106</v>
      </c>
      <c r="J206" s="451">
        <v>85410582</v>
      </c>
      <c r="K206" s="451">
        <v>0</v>
      </c>
      <c r="L206" s="451">
        <v>0</v>
      </c>
      <c r="M206" s="451">
        <v>42705291</v>
      </c>
      <c r="N206" s="451">
        <v>85410582</v>
      </c>
      <c r="O206" s="451">
        <v>310279</v>
      </c>
      <c r="P206" s="451">
        <v>310279</v>
      </c>
      <c r="Q206" s="451">
        <v>0</v>
      </c>
      <c r="R206" s="451">
        <v>0</v>
      </c>
      <c r="S206" s="451">
        <v>0</v>
      </c>
      <c r="T206" s="451">
        <v>0</v>
      </c>
      <c r="U206" s="451">
        <v>0</v>
      </c>
      <c r="V206" s="451">
        <v>0</v>
      </c>
      <c r="W206" s="451">
        <v>0</v>
      </c>
      <c r="X206" s="451">
        <v>0</v>
      </c>
      <c r="Y206" s="451">
        <v>0</v>
      </c>
      <c r="Z206" s="451">
        <v>0</v>
      </c>
      <c r="AA206" s="451">
        <v>0</v>
      </c>
      <c r="AB206" s="451">
        <v>1848374</v>
      </c>
      <c r="AC206" s="451">
        <v>1811408</v>
      </c>
      <c r="AD206" s="451">
        <v>0</v>
      </c>
      <c r="AE206" s="451">
        <v>36968</v>
      </c>
      <c r="AF206" s="451">
        <v>3696750</v>
      </c>
      <c r="AG206" s="451">
        <v>-894537</v>
      </c>
      <c r="AH206" s="451">
        <v>-876646</v>
      </c>
      <c r="AI206" s="451">
        <v>0</v>
      </c>
      <c r="AJ206" s="451">
        <v>-17891</v>
      </c>
      <c r="AK206" s="451">
        <v>-1789074</v>
      </c>
      <c r="AL206" s="451">
        <v>288006.59000000003</v>
      </c>
      <c r="AM206" s="451">
        <v>282247</v>
      </c>
      <c r="AN206" s="451">
        <v>0</v>
      </c>
      <c r="AO206" s="451">
        <v>5760</v>
      </c>
      <c r="AP206" s="451">
        <v>576013.59</v>
      </c>
      <c r="AQ206" s="451">
        <v>70557</v>
      </c>
      <c r="AR206" s="451">
        <v>69145</v>
      </c>
      <c r="AS206" s="451">
        <v>0</v>
      </c>
      <c r="AT206" s="451">
        <v>1411</v>
      </c>
      <c r="AU206" s="451">
        <v>141113</v>
      </c>
      <c r="AV206" s="451">
        <v>358563.59</v>
      </c>
      <c r="AW206" s="451">
        <v>351392</v>
      </c>
      <c r="AX206" s="451">
        <v>0</v>
      </c>
      <c r="AY206" s="451">
        <v>7171</v>
      </c>
      <c r="AZ206" s="451">
        <v>717126.59</v>
      </c>
      <c r="BA206" s="451">
        <v>0</v>
      </c>
      <c r="BB206" s="451">
        <v>0</v>
      </c>
      <c r="BC206" s="451">
        <v>0</v>
      </c>
      <c r="BD206" s="451">
        <v>0</v>
      </c>
      <c r="BE206" s="451">
        <v>0</v>
      </c>
      <c r="BF206" s="451">
        <v>238955</v>
      </c>
      <c r="BG206" s="451">
        <v>234175</v>
      </c>
      <c r="BH206" s="451">
        <v>0</v>
      </c>
      <c r="BI206" s="451">
        <v>4779</v>
      </c>
      <c r="BJ206" s="451">
        <v>477909</v>
      </c>
      <c r="BK206" s="451">
        <v>238955</v>
      </c>
      <c r="BL206" s="451">
        <v>234175</v>
      </c>
      <c r="BM206" s="451">
        <v>0</v>
      </c>
      <c r="BN206" s="451">
        <v>4779</v>
      </c>
      <c r="BO206" s="451">
        <v>477909</v>
      </c>
      <c r="BP206" s="451">
        <v>0</v>
      </c>
      <c r="BQ206" s="451">
        <v>0</v>
      </c>
      <c r="BR206" s="451">
        <v>0</v>
      </c>
      <c r="BS206" s="451">
        <v>0</v>
      </c>
      <c r="BT206" s="451">
        <v>0</v>
      </c>
      <c r="BU206" s="451">
        <v>451100</v>
      </c>
      <c r="BV206" s="451">
        <v>442078</v>
      </c>
      <c r="BW206" s="451">
        <v>0</v>
      </c>
      <c r="BX206" s="451">
        <v>9022</v>
      </c>
      <c r="BY206" s="451">
        <v>902200</v>
      </c>
      <c r="BZ206" s="451">
        <v>451100</v>
      </c>
      <c r="CA206" s="451">
        <v>442078</v>
      </c>
      <c r="CB206" s="451">
        <v>0</v>
      </c>
      <c r="CC206" s="451">
        <v>9022</v>
      </c>
      <c r="CD206" s="451">
        <v>902200</v>
      </c>
      <c r="CE206" s="104"/>
      <c r="CF206" s="104"/>
      <c r="CG206" s="104"/>
    </row>
    <row r="207" spans="1:85" ht="12.75" x14ac:dyDescent="0.2">
      <c r="A207" s="446">
        <v>200</v>
      </c>
      <c r="B207" s="447" t="s">
        <v>283</v>
      </c>
      <c r="C207" s="448" t="s">
        <v>794</v>
      </c>
      <c r="D207" s="449" t="s">
        <v>1102</v>
      </c>
      <c r="E207" s="450" t="s">
        <v>737</v>
      </c>
      <c r="F207" s="451">
        <v>28382379</v>
      </c>
      <c r="G207" s="451">
        <v>27814731</v>
      </c>
      <c r="H207" s="451">
        <v>0</v>
      </c>
      <c r="I207" s="451">
        <v>567648</v>
      </c>
      <c r="J207" s="451">
        <v>56764758</v>
      </c>
      <c r="K207" s="451">
        <v>0</v>
      </c>
      <c r="L207" s="451">
        <v>0</v>
      </c>
      <c r="M207" s="451">
        <v>28382379</v>
      </c>
      <c r="N207" s="451">
        <v>56764758</v>
      </c>
      <c r="O207" s="451">
        <v>239641</v>
      </c>
      <c r="P207" s="451">
        <v>239641</v>
      </c>
      <c r="Q207" s="451">
        <v>0</v>
      </c>
      <c r="R207" s="451">
        <v>0</v>
      </c>
      <c r="S207" s="451">
        <v>0</v>
      </c>
      <c r="T207" s="451">
        <v>0</v>
      </c>
      <c r="U207" s="451">
        <v>0</v>
      </c>
      <c r="V207" s="451">
        <v>0</v>
      </c>
      <c r="W207" s="451">
        <v>0</v>
      </c>
      <c r="X207" s="451">
        <v>0</v>
      </c>
      <c r="Y207" s="451">
        <v>0</v>
      </c>
      <c r="Z207" s="451">
        <v>0</v>
      </c>
      <c r="AA207" s="451">
        <v>0</v>
      </c>
      <c r="AB207" s="451">
        <v>646730.17000000004</v>
      </c>
      <c r="AC207" s="451">
        <v>633795</v>
      </c>
      <c r="AD207" s="451">
        <v>0</v>
      </c>
      <c r="AE207" s="451">
        <v>12935</v>
      </c>
      <c r="AF207" s="451">
        <v>1293460.17</v>
      </c>
      <c r="AG207" s="451">
        <v>525362.41</v>
      </c>
      <c r="AH207" s="451">
        <v>514854</v>
      </c>
      <c r="AI207" s="451">
        <v>0</v>
      </c>
      <c r="AJ207" s="451">
        <v>10507</v>
      </c>
      <c r="AK207" s="451">
        <v>1050723.4099999999</v>
      </c>
      <c r="AL207" s="451">
        <v>223380</v>
      </c>
      <c r="AM207" s="451">
        <v>218912</v>
      </c>
      <c r="AN207" s="451">
        <v>0</v>
      </c>
      <c r="AO207" s="451">
        <v>4468</v>
      </c>
      <c r="AP207" s="451">
        <v>446760</v>
      </c>
      <c r="AQ207" s="451">
        <v>-22064</v>
      </c>
      <c r="AR207" s="451">
        <v>-21623</v>
      </c>
      <c r="AS207" s="451">
        <v>0</v>
      </c>
      <c r="AT207" s="451">
        <v>-441</v>
      </c>
      <c r="AU207" s="451">
        <v>-44128</v>
      </c>
      <c r="AV207" s="451">
        <v>201316</v>
      </c>
      <c r="AW207" s="451">
        <v>197289</v>
      </c>
      <c r="AX207" s="451">
        <v>0</v>
      </c>
      <c r="AY207" s="451">
        <v>4027</v>
      </c>
      <c r="AZ207" s="451">
        <v>402632</v>
      </c>
      <c r="BA207" s="451">
        <v>0</v>
      </c>
      <c r="BB207" s="451">
        <v>0</v>
      </c>
      <c r="BC207" s="451">
        <v>0</v>
      </c>
      <c r="BD207" s="451">
        <v>0</v>
      </c>
      <c r="BE207" s="451">
        <v>0</v>
      </c>
      <c r="BF207" s="451">
        <v>483801</v>
      </c>
      <c r="BG207" s="451">
        <v>474124</v>
      </c>
      <c r="BH207" s="451">
        <v>0</v>
      </c>
      <c r="BI207" s="451">
        <v>9676</v>
      </c>
      <c r="BJ207" s="451">
        <v>967601</v>
      </c>
      <c r="BK207" s="451">
        <v>483801</v>
      </c>
      <c r="BL207" s="451">
        <v>474124</v>
      </c>
      <c r="BM207" s="451">
        <v>0</v>
      </c>
      <c r="BN207" s="451">
        <v>9676</v>
      </c>
      <c r="BO207" s="451">
        <v>967601</v>
      </c>
      <c r="BP207" s="451">
        <v>0</v>
      </c>
      <c r="BQ207" s="451">
        <v>0</v>
      </c>
      <c r="BR207" s="451">
        <v>0</v>
      </c>
      <c r="BS207" s="451">
        <v>0</v>
      </c>
      <c r="BT207" s="451">
        <v>0</v>
      </c>
      <c r="BU207" s="451">
        <v>1108256</v>
      </c>
      <c r="BV207" s="451">
        <v>1086090</v>
      </c>
      <c r="BW207" s="451">
        <v>0</v>
      </c>
      <c r="BX207" s="451">
        <v>22165</v>
      </c>
      <c r="BY207" s="451">
        <v>2216511</v>
      </c>
      <c r="BZ207" s="451">
        <v>1108256</v>
      </c>
      <c r="CA207" s="451">
        <v>1086090</v>
      </c>
      <c r="CB207" s="451">
        <v>0</v>
      </c>
      <c r="CC207" s="451">
        <v>22165</v>
      </c>
      <c r="CD207" s="451">
        <v>2216511</v>
      </c>
      <c r="CE207" s="104"/>
      <c r="CF207" s="104"/>
      <c r="CG207" s="104"/>
    </row>
    <row r="208" spans="1:85" ht="12.75" x14ac:dyDescent="0.2">
      <c r="A208" s="446">
        <v>201</v>
      </c>
      <c r="B208" s="447" t="s">
        <v>285</v>
      </c>
      <c r="C208" s="448" t="s">
        <v>794</v>
      </c>
      <c r="D208" s="449" t="s">
        <v>1094</v>
      </c>
      <c r="E208" s="450" t="s">
        <v>738</v>
      </c>
      <c r="F208" s="451">
        <v>31754705</v>
      </c>
      <c r="G208" s="451">
        <v>31119611</v>
      </c>
      <c r="H208" s="451">
        <v>0</v>
      </c>
      <c r="I208" s="451">
        <v>635094</v>
      </c>
      <c r="J208" s="451">
        <v>63509410</v>
      </c>
      <c r="K208" s="451">
        <v>0</v>
      </c>
      <c r="L208" s="451">
        <v>0</v>
      </c>
      <c r="M208" s="451">
        <v>31754705</v>
      </c>
      <c r="N208" s="451">
        <v>63509410</v>
      </c>
      <c r="O208" s="451">
        <v>280689</v>
      </c>
      <c r="P208" s="451">
        <v>280689</v>
      </c>
      <c r="Q208" s="451">
        <v>0</v>
      </c>
      <c r="R208" s="451">
        <v>0</v>
      </c>
      <c r="S208" s="451">
        <v>0</v>
      </c>
      <c r="T208" s="451">
        <v>0</v>
      </c>
      <c r="U208" s="451">
        <v>0</v>
      </c>
      <c r="V208" s="451">
        <v>0</v>
      </c>
      <c r="W208" s="451">
        <v>0</v>
      </c>
      <c r="X208" s="451">
        <v>0</v>
      </c>
      <c r="Y208" s="451">
        <v>0</v>
      </c>
      <c r="Z208" s="451">
        <v>0</v>
      </c>
      <c r="AA208" s="451">
        <v>0</v>
      </c>
      <c r="AB208" s="451">
        <v>2248388</v>
      </c>
      <c r="AC208" s="451">
        <v>2203421</v>
      </c>
      <c r="AD208" s="451">
        <v>0</v>
      </c>
      <c r="AE208" s="451">
        <v>44968</v>
      </c>
      <c r="AF208" s="451">
        <v>4496777</v>
      </c>
      <c r="AG208" s="451">
        <v>522806</v>
      </c>
      <c r="AH208" s="451">
        <v>512349</v>
      </c>
      <c r="AI208" s="451">
        <v>0</v>
      </c>
      <c r="AJ208" s="451">
        <v>10456</v>
      </c>
      <c r="AK208" s="451">
        <v>1045611</v>
      </c>
      <c r="AL208" s="451">
        <v>1334500</v>
      </c>
      <c r="AM208" s="451">
        <v>1307810</v>
      </c>
      <c r="AN208" s="451">
        <v>0</v>
      </c>
      <c r="AO208" s="451">
        <v>26690</v>
      </c>
      <c r="AP208" s="451">
        <v>2669000</v>
      </c>
      <c r="AQ208" s="451">
        <v>280500</v>
      </c>
      <c r="AR208" s="451">
        <v>274890</v>
      </c>
      <c r="AS208" s="451">
        <v>0</v>
      </c>
      <c r="AT208" s="451">
        <v>5610</v>
      </c>
      <c r="AU208" s="451">
        <v>561000</v>
      </c>
      <c r="AV208" s="451">
        <v>1615000</v>
      </c>
      <c r="AW208" s="451">
        <v>1582700</v>
      </c>
      <c r="AX208" s="451">
        <v>0</v>
      </c>
      <c r="AY208" s="451">
        <v>32300</v>
      </c>
      <c r="AZ208" s="451">
        <v>3230000</v>
      </c>
      <c r="BA208" s="451">
        <v>0</v>
      </c>
      <c r="BB208" s="451">
        <v>0</v>
      </c>
      <c r="BC208" s="451">
        <v>0</v>
      </c>
      <c r="BD208" s="451">
        <v>0</v>
      </c>
      <c r="BE208" s="451">
        <v>0</v>
      </c>
      <c r="BF208" s="451">
        <v>1340802</v>
      </c>
      <c r="BG208" s="451">
        <v>1313985</v>
      </c>
      <c r="BH208" s="451">
        <v>0</v>
      </c>
      <c r="BI208" s="451">
        <v>26816</v>
      </c>
      <c r="BJ208" s="451">
        <v>2681603</v>
      </c>
      <c r="BK208" s="451">
        <v>1340802</v>
      </c>
      <c r="BL208" s="451">
        <v>1313985</v>
      </c>
      <c r="BM208" s="451">
        <v>0</v>
      </c>
      <c r="BN208" s="451">
        <v>26816</v>
      </c>
      <c r="BO208" s="451">
        <v>2681603</v>
      </c>
      <c r="BP208" s="451">
        <v>0</v>
      </c>
      <c r="BQ208" s="451">
        <v>0</v>
      </c>
      <c r="BR208" s="451">
        <v>0</v>
      </c>
      <c r="BS208" s="451">
        <v>0</v>
      </c>
      <c r="BT208" s="451">
        <v>0</v>
      </c>
      <c r="BU208" s="451">
        <v>5591329</v>
      </c>
      <c r="BV208" s="451">
        <v>5479502</v>
      </c>
      <c r="BW208" s="451">
        <v>0</v>
      </c>
      <c r="BX208" s="451">
        <v>111827</v>
      </c>
      <c r="BY208" s="451">
        <v>11182658</v>
      </c>
      <c r="BZ208" s="451">
        <v>5591329</v>
      </c>
      <c r="CA208" s="451">
        <v>5479502</v>
      </c>
      <c r="CB208" s="451">
        <v>0</v>
      </c>
      <c r="CC208" s="451">
        <v>111827</v>
      </c>
      <c r="CD208" s="451">
        <v>11182658</v>
      </c>
      <c r="CE208" s="104"/>
      <c r="CF208" s="104"/>
      <c r="CG208" s="104"/>
    </row>
    <row r="209" spans="1:85" ht="12.75" x14ac:dyDescent="0.2">
      <c r="A209" s="446">
        <v>202</v>
      </c>
      <c r="B209" s="447" t="s">
        <v>287</v>
      </c>
      <c r="C209" s="448" t="s">
        <v>1093</v>
      </c>
      <c r="D209" s="449" t="s">
        <v>1095</v>
      </c>
      <c r="E209" s="450" t="s">
        <v>286</v>
      </c>
      <c r="F209" s="451">
        <v>29646904</v>
      </c>
      <c r="G209" s="451">
        <v>23717523</v>
      </c>
      <c r="H209" s="451">
        <v>5336443</v>
      </c>
      <c r="I209" s="451">
        <v>592938</v>
      </c>
      <c r="J209" s="451">
        <v>59293808</v>
      </c>
      <c r="K209" s="451">
        <v>0</v>
      </c>
      <c r="L209" s="451">
        <v>0</v>
      </c>
      <c r="M209" s="451">
        <v>29646904</v>
      </c>
      <c r="N209" s="451">
        <v>59293808</v>
      </c>
      <c r="O209" s="451">
        <v>239401</v>
      </c>
      <c r="P209" s="451">
        <v>239401</v>
      </c>
      <c r="Q209" s="451">
        <v>0</v>
      </c>
      <c r="R209" s="451">
        <v>0</v>
      </c>
      <c r="S209" s="451">
        <v>0</v>
      </c>
      <c r="T209" s="451">
        <v>0</v>
      </c>
      <c r="U209" s="451">
        <v>0</v>
      </c>
      <c r="V209" s="451">
        <v>0</v>
      </c>
      <c r="W209" s="451">
        <v>0</v>
      </c>
      <c r="X209" s="451">
        <v>0</v>
      </c>
      <c r="Y209" s="451">
        <v>0</v>
      </c>
      <c r="Z209" s="451">
        <v>0</v>
      </c>
      <c r="AA209" s="451">
        <v>0</v>
      </c>
      <c r="AB209" s="451">
        <v>1347416</v>
      </c>
      <c r="AC209" s="451">
        <v>1077933</v>
      </c>
      <c r="AD209" s="451">
        <v>242535</v>
      </c>
      <c r="AE209" s="451">
        <v>26948</v>
      </c>
      <c r="AF209" s="451">
        <v>2694832</v>
      </c>
      <c r="AG209" s="451">
        <v>548495.61</v>
      </c>
      <c r="AH209" s="451">
        <v>438797</v>
      </c>
      <c r="AI209" s="451">
        <v>98729</v>
      </c>
      <c r="AJ209" s="451">
        <v>10970</v>
      </c>
      <c r="AK209" s="451">
        <v>1096991.6100000001</v>
      </c>
      <c r="AL209" s="451">
        <v>751580.95</v>
      </c>
      <c r="AM209" s="451">
        <v>601264</v>
      </c>
      <c r="AN209" s="451">
        <v>135284</v>
      </c>
      <c r="AO209" s="451">
        <v>15032</v>
      </c>
      <c r="AP209" s="451">
        <v>1503160.95</v>
      </c>
      <c r="AQ209" s="451">
        <v>141366.94</v>
      </c>
      <c r="AR209" s="451">
        <v>113093</v>
      </c>
      <c r="AS209" s="451">
        <v>25446</v>
      </c>
      <c r="AT209" s="451">
        <v>2827</v>
      </c>
      <c r="AU209" s="451">
        <v>282732.94</v>
      </c>
      <c r="AV209" s="451">
        <v>892947.89</v>
      </c>
      <c r="AW209" s="451">
        <v>714357</v>
      </c>
      <c r="AX209" s="451">
        <v>160730</v>
      </c>
      <c r="AY209" s="451">
        <v>17859</v>
      </c>
      <c r="AZ209" s="451">
        <v>1785893.89</v>
      </c>
      <c r="BA209" s="451">
        <v>0</v>
      </c>
      <c r="BB209" s="451">
        <v>0</v>
      </c>
      <c r="BC209" s="451">
        <v>0</v>
      </c>
      <c r="BD209" s="451">
        <v>0</v>
      </c>
      <c r="BE209" s="451">
        <v>0</v>
      </c>
      <c r="BF209" s="451">
        <v>638664.15</v>
      </c>
      <c r="BG209" s="451">
        <v>510931</v>
      </c>
      <c r="BH209" s="451">
        <v>114959</v>
      </c>
      <c r="BI209" s="451">
        <v>12773</v>
      </c>
      <c r="BJ209" s="451">
        <v>1277327.1499999999</v>
      </c>
      <c r="BK209" s="451">
        <v>638664.15</v>
      </c>
      <c r="BL209" s="451">
        <v>510931</v>
      </c>
      <c r="BM209" s="451">
        <v>114959</v>
      </c>
      <c r="BN209" s="451">
        <v>12773</v>
      </c>
      <c r="BO209" s="451">
        <v>1277327.1499999999</v>
      </c>
      <c r="BP209" s="451">
        <v>0</v>
      </c>
      <c r="BQ209" s="451">
        <v>0</v>
      </c>
      <c r="BR209" s="451">
        <v>0</v>
      </c>
      <c r="BS209" s="451">
        <v>0</v>
      </c>
      <c r="BT209" s="451">
        <v>0</v>
      </c>
      <c r="BU209" s="451">
        <v>1809591.12</v>
      </c>
      <c r="BV209" s="451">
        <v>1447674</v>
      </c>
      <c r="BW209" s="451">
        <v>325727</v>
      </c>
      <c r="BX209" s="451">
        <v>36192</v>
      </c>
      <c r="BY209" s="451">
        <v>3619184.12</v>
      </c>
      <c r="BZ209" s="451">
        <v>1809591.12</v>
      </c>
      <c r="CA209" s="451">
        <v>1447674</v>
      </c>
      <c r="CB209" s="451">
        <v>325727</v>
      </c>
      <c r="CC209" s="451">
        <v>36192</v>
      </c>
      <c r="CD209" s="451">
        <v>3619184.12</v>
      </c>
      <c r="CE209" s="104"/>
      <c r="CF209" s="104"/>
      <c r="CG209" s="104"/>
    </row>
    <row r="210" spans="1:85" ht="12.75" x14ac:dyDescent="0.2">
      <c r="A210" s="446">
        <v>203</v>
      </c>
      <c r="B210" s="447" t="s">
        <v>289</v>
      </c>
      <c r="C210" s="448" t="s">
        <v>1093</v>
      </c>
      <c r="D210" s="449" t="s">
        <v>1102</v>
      </c>
      <c r="E210" s="450" t="s">
        <v>288</v>
      </c>
      <c r="F210" s="451">
        <v>8638653</v>
      </c>
      <c r="G210" s="451">
        <v>6910922</v>
      </c>
      <c r="H210" s="451">
        <v>1554958</v>
      </c>
      <c r="I210" s="451">
        <v>172773</v>
      </c>
      <c r="J210" s="451">
        <v>17277306</v>
      </c>
      <c r="K210" s="451">
        <v>0</v>
      </c>
      <c r="L210" s="451">
        <v>0</v>
      </c>
      <c r="M210" s="451">
        <v>8638653</v>
      </c>
      <c r="N210" s="451">
        <v>17277306</v>
      </c>
      <c r="O210" s="451">
        <v>93946</v>
      </c>
      <c r="P210" s="451">
        <v>93946</v>
      </c>
      <c r="Q210" s="451">
        <v>0</v>
      </c>
      <c r="R210" s="451">
        <v>0</v>
      </c>
      <c r="S210" s="451">
        <v>0</v>
      </c>
      <c r="T210" s="451">
        <v>0</v>
      </c>
      <c r="U210" s="451">
        <v>0</v>
      </c>
      <c r="V210" s="451">
        <v>0</v>
      </c>
      <c r="W210" s="451">
        <v>0</v>
      </c>
      <c r="X210" s="451">
        <v>0</v>
      </c>
      <c r="Y210" s="451">
        <v>0</v>
      </c>
      <c r="Z210" s="451">
        <v>0</v>
      </c>
      <c r="AA210" s="451">
        <v>0</v>
      </c>
      <c r="AB210" s="451">
        <v>276827.83</v>
      </c>
      <c r="AC210" s="451">
        <v>221463</v>
      </c>
      <c r="AD210" s="451">
        <v>49829</v>
      </c>
      <c r="AE210" s="451">
        <v>5537</v>
      </c>
      <c r="AF210" s="451">
        <v>553656.82999999996</v>
      </c>
      <c r="AG210" s="451">
        <v>116597.61</v>
      </c>
      <c r="AH210" s="451">
        <v>93278</v>
      </c>
      <c r="AI210" s="451">
        <v>20988</v>
      </c>
      <c r="AJ210" s="451">
        <v>2332</v>
      </c>
      <c r="AK210" s="451">
        <v>233195.61</v>
      </c>
      <c r="AL210" s="451">
        <v>38834</v>
      </c>
      <c r="AM210" s="451">
        <v>31068</v>
      </c>
      <c r="AN210" s="451">
        <v>6990</v>
      </c>
      <c r="AO210" s="451">
        <v>777</v>
      </c>
      <c r="AP210" s="451">
        <v>77669</v>
      </c>
      <c r="AQ210" s="451">
        <v>10000</v>
      </c>
      <c r="AR210" s="451">
        <v>8000</v>
      </c>
      <c r="AS210" s="451">
        <v>1800</v>
      </c>
      <c r="AT210" s="451">
        <v>200</v>
      </c>
      <c r="AU210" s="451">
        <v>20000</v>
      </c>
      <c r="AV210" s="451">
        <v>48834</v>
      </c>
      <c r="AW210" s="451">
        <v>39068</v>
      </c>
      <c r="AX210" s="451">
        <v>8790</v>
      </c>
      <c r="AY210" s="451">
        <v>977</v>
      </c>
      <c r="AZ210" s="451">
        <v>97669</v>
      </c>
      <c r="BA210" s="451">
        <v>0</v>
      </c>
      <c r="BB210" s="451">
        <v>0</v>
      </c>
      <c r="BC210" s="451">
        <v>0</v>
      </c>
      <c r="BD210" s="451">
        <v>0</v>
      </c>
      <c r="BE210" s="451">
        <v>0</v>
      </c>
      <c r="BF210" s="451">
        <v>55741</v>
      </c>
      <c r="BG210" s="451">
        <v>44592</v>
      </c>
      <c r="BH210" s="451">
        <v>10033</v>
      </c>
      <c r="BI210" s="451">
        <v>1115</v>
      </c>
      <c r="BJ210" s="451">
        <v>111481</v>
      </c>
      <c r="BK210" s="451">
        <v>55741</v>
      </c>
      <c r="BL210" s="451">
        <v>44592</v>
      </c>
      <c r="BM210" s="451">
        <v>10033</v>
      </c>
      <c r="BN210" s="451">
        <v>1115</v>
      </c>
      <c r="BO210" s="451">
        <v>111481</v>
      </c>
      <c r="BP210" s="451">
        <v>0</v>
      </c>
      <c r="BQ210" s="451">
        <v>0</v>
      </c>
      <c r="BR210" s="451">
        <v>0</v>
      </c>
      <c r="BS210" s="451">
        <v>0</v>
      </c>
      <c r="BT210" s="451">
        <v>0</v>
      </c>
      <c r="BU210" s="451">
        <v>186609</v>
      </c>
      <c r="BV210" s="451">
        <v>149287</v>
      </c>
      <c r="BW210" s="451">
        <v>33590</v>
      </c>
      <c r="BX210" s="451">
        <v>3732</v>
      </c>
      <c r="BY210" s="451">
        <v>373218</v>
      </c>
      <c r="BZ210" s="451">
        <v>186609</v>
      </c>
      <c r="CA210" s="451">
        <v>149287</v>
      </c>
      <c r="CB210" s="451">
        <v>33590</v>
      </c>
      <c r="CC210" s="451">
        <v>3732</v>
      </c>
      <c r="CD210" s="451">
        <v>373218</v>
      </c>
      <c r="CE210" s="104"/>
      <c r="CF210" s="104"/>
      <c r="CG210" s="104"/>
    </row>
    <row r="211" spans="1:85" ht="12.75" x14ac:dyDescent="0.2">
      <c r="A211" s="446">
        <v>204</v>
      </c>
      <c r="B211" s="447" t="s">
        <v>291</v>
      </c>
      <c r="C211" s="448" t="s">
        <v>794</v>
      </c>
      <c r="D211" s="449" t="s">
        <v>1094</v>
      </c>
      <c r="E211" s="450" t="s">
        <v>739</v>
      </c>
      <c r="F211" s="451">
        <v>44636841</v>
      </c>
      <c r="G211" s="451">
        <v>43744104</v>
      </c>
      <c r="H211" s="451">
        <v>0</v>
      </c>
      <c r="I211" s="451">
        <v>892737</v>
      </c>
      <c r="J211" s="451">
        <v>89273682</v>
      </c>
      <c r="K211" s="451">
        <v>0</v>
      </c>
      <c r="L211" s="451">
        <v>0</v>
      </c>
      <c r="M211" s="451">
        <v>44636841</v>
      </c>
      <c r="N211" s="451">
        <v>89273682</v>
      </c>
      <c r="O211" s="451">
        <v>269167</v>
      </c>
      <c r="P211" s="451">
        <v>269167</v>
      </c>
      <c r="Q211" s="451">
        <v>0</v>
      </c>
      <c r="R211" s="451">
        <v>0</v>
      </c>
      <c r="S211" s="451">
        <v>0</v>
      </c>
      <c r="T211" s="451">
        <v>0</v>
      </c>
      <c r="U211" s="451">
        <v>0</v>
      </c>
      <c r="V211" s="451">
        <v>0</v>
      </c>
      <c r="W211" s="451">
        <v>0</v>
      </c>
      <c r="X211" s="451">
        <v>0</v>
      </c>
      <c r="Y211" s="451">
        <v>0</v>
      </c>
      <c r="Z211" s="451">
        <v>0</v>
      </c>
      <c r="AA211" s="451">
        <v>0</v>
      </c>
      <c r="AB211" s="451">
        <v>2323454</v>
      </c>
      <c r="AC211" s="451">
        <v>2276984</v>
      </c>
      <c r="AD211" s="451">
        <v>0</v>
      </c>
      <c r="AE211" s="451">
        <v>46469</v>
      </c>
      <c r="AF211" s="451">
        <v>4646907</v>
      </c>
      <c r="AG211" s="451">
        <v>582494</v>
      </c>
      <c r="AH211" s="451">
        <v>570844</v>
      </c>
      <c r="AI211" s="451">
        <v>0</v>
      </c>
      <c r="AJ211" s="451">
        <v>11650</v>
      </c>
      <c r="AK211" s="451">
        <v>1164988</v>
      </c>
      <c r="AL211" s="451">
        <v>462500</v>
      </c>
      <c r="AM211" s="451">
        <v>453250</v>
      </c>
      <c r="AN211" s="451">
        <v>0</v>
      </c>
      <c r="AO211" s="451">
        <v>9250</v>
      </c>
      <c r="AP211" s="451">
        <v>925000</v>
      </c>
      <c r="AQ211" s="451">
        <v>528535.18000000005</v>
      </c>
      <c r="AR211" s="451">
        <v>517965</v>
      </c>
      <c r="AS211" s="451">
        <v>0</v>
      </c>
      <c r="AT211" s="451">
        <v>10571</v>
      </c>
      <c r="AU211" s="451">
        <v>1057071.18</v>
      </c>
      <c r="AV211" s="451">
        <v>991035.18</v>
      </c>
      <c r="AW211" s="451">
        <v>971215</v>
      </c>
      <c r="AX211" s="451">
        <v>0</v>
      </c>
      <c r="AY211" s="451">
        <v>19821</v>
      </c>
      <c r="AZ211" s="451">
        <v>1982071.18</v>
      </c>
      <c r="BA211" s="451">
        <v>0</v>
      </c>
      <c r="BB211" s="451">
        <v>0</v>
      </c>
      <c r="BC211" s="451">
        <v>0</v>
      </c>
      <c r="BD211" s="451">
        <v>0</v>
      </c>
      <c r="BE211" s="451">
        <v>0</v>
      </c>
      <c r="BF211" s="451">
        <v>1500000</v>
      </c>
      <c r="BG211" s="451">
        <v>1470000</v>
      </c>
      <c r="BH211" s="451">
        <v>0</v>
      </c>
      <c r="BI211" s="451">
        <v>30000</v>
      </c>
      <c r="BJ211" s="451">
        <v>3000000</v>
      </c>
      <c r="BK211" s="451">
        <v>1500000</v>
      </c>
      <c r="BL211" s="451">
        <v>1470000</v>
      </c>
      <c r="BM211" s="451">
        <v>0</v>
      </c>
      <c r="BN211" s="451">
        <v>30000</v>
      </c>
      <c r="BO211" s="451">
        <v>3000000</v>
      </c>
      <c r="BP211" s="451">
        <v>0</v>
      </c>
      <c r="BQ211" s="451">
        <v>0</v>
      </c>
      <c r="BR211" s="451">
        <v>0</v>
      </c>
      <c r="BS211" s="451">
        <v>0</v>
      </c>
      <c r="BT211" s="451">
        <v>0</v>
      </c>
      <c r="BU211" s="451">
        <v>6000000</v>
      </c>
      <c r="BV211" s="451">
        <v>5880000</v>
      </c>
      <c r="BW211" s="451">
        <v>0</v>
      </c>
      <c r="BX211" s="451">
        <v>120000</v>
      </c>
      <c r="BY211" s="451">
        <v>12000000</v>
      </c>
      <c r="BZ211" s="451">
        <v>6000000</v>
      </c>
      <c r="CA211" s="451">
        <v>5880000</v>
      </c>
      <c r="CB211" s="451">
        <v>0</v>
      </c>
      <c r="CC211" s="451">
        <v>120000</v>
      </c>
      <c r="CD211" s="451">
        <v>12000000</v>
      </c>
      <c r="CE211" s="104"/>
      <c r="CF211" s="104"/>
      <c r="CG211" s="104"/>
    </row>
    <row r="212" spans="1:85" ht="12.75" x14ac:dyDescent="0.2">
      <c r="A212" s="446">
        <v>205</v>
      </c>
      <c r="B212" s="447" t="s">
        <v>293</v>
      </c>
      <c r="C212" s="448" t="s">
        <v>1098</v>
      </c>
      <c r="D212" s="449" t="s">
        <v>1099</v>
      </c>
      <c r="E212" s="450" t="s">
        <v>292</v>
      </c>
      <c r="F212" s="451">
        <v>25448171</v>
      </c>
      <c r="G212" s="451">
        <v>15268902</v>
      </c>
      <c r="H212" s="451">
        <v>10179268</v>
      </c>
      <c r="I212" s="451">
        <v>0</v>
      </c>
      <c r="J212" s="451">
        <v>50896341</v>
      </c>
      <c r="K212" s="451">
        <v>0</v>
      </c>
      <c r="L212" s="451">
        <v>0</v>
      </c>
      <c r="M212" s="451">
        <v>25448171</v>
      </c>
      <c r="N212" s="451">
        <v>50896341</v>
      </c>
      <c r="O212" s="451">
        <v>278679</v>
      </c>
      <c r="P212" s="451">
        <v>278679</v>
      </c>
      <c r="Q212" s="451">
        <v>0</v>
      </c>
      <c r="R212" s="451">
        <v>0</v>
      </c>
      <c r="S212" s="451">
        <v>0</v>
      </c>
      <c r="T212" s="451">
        <v>0</v>
      </c>
      <c r="U212" s="451">
        <v>0</v>
      </c>
      <c r="V212" s="451">
        <v>0</v>
      </c>
      <c r="W212" s="451">
        <v>0</v>
      </c>
      <c r="X212" s="451">
        <v>0</v>
      </c>
      <c r="Y212" s="451">
        <v>0</v>
      </c>
      <c r="Z212" s="451">
        <v>0</v>
      </c>
      <c r="AA212" s="451">
        <v>0</v>
      </c>
      <c r="AB212" s="451">
        <v>4139391.11</v>
      </c>
      <c r="AC212" s="451">
        <v>2483635</v>
      </c>
      <c r="AD212" s="451">
        <v>1655757</v>
      </c>
      <c r="AE212" s="451">
        <v>0</v>
      </c>
      <c r="AF212" s="451">
        <v>8278783.1100000003</v>
      </c>
      <c r="AG212" s="451">
        <v>818372.58</v>
      </c>
      <c r="AH212" s="451">
        <v>491023</v>
      </c>
      <c r="AI212" s="451">
        <v>327349</v>
      </c>
      <c r="AJ212" s="451">
        <v>0</v>
      </c>
      <c r="AK212" s="451">
        <v>1636744.58</v>
      </c>
      <c r="AL212" s="451">
        <v>2953000</v>
      </c>
      <c r="AM212" s="451">
        <v>1771800</v>
      </c>
      <c r="AN212" s="451">
        <v>1181200</v>
      </c>
      <c r="AO212" s="451">
        <v>0</v>
      </c>
      <c r="AP212" s="451">
        <v>5906000</v>
      </c>
      <c r="AQ212" s="451">
        <v>677500</v>
      </c>
      <c r="AR212" s="451">
        <v>406500</v>
      </c>
      <c r="AS212" s="451">
        <v>271000</v>
      </c>
      <c r="AT212" s="451">
        <v>0</v>
      </c>
      <c r="AU212" s="451">
        <v>1355000</v>
      </c>
      <c r="AV212" s="451">
        <v>3630500</v>
      </c>
      <c r="AW212" s="451">
        <v>2178300</v>
      </c>
      <c r="AX212" s="451">
        <v>1452200</v>
      </c>
      <c r="AY212" s="451">
        <v>0</v>
      </c>
      <c r="AZ212" s="451">
        <v>7261000</v>
      </c>
      <c r="BA212" s="451">
        <v>0</v>
      </c>
      <c r="BB212" s="451">
        <v>0</v>
      </c>
      <c r="BC212" s="451">
        <v>0</v>
      </c>
      <c r="BD212" s="451">
        <v>0</v>
      </c>
      <c r="BE212" s="451">
        <v>0</v>
      </c>
      <c r="BF212" s="451">
        <v>400000</v>
      </c>
      <c r="BG212" s="451">
        <v>240000</v>
      </c>
      <c r="BH212" s="451">
        <v>160000</v>
      </c>
      <c r="BI212" s="451">
        <v>0</v>
      </c>
      <c r="BJ212" s="451">
        <v>800000</v>
      </c>
      <c r="BK212" s="451">
        <v>400000</v>
      </c>
      <c r="BL212" s="451">
        <v>240000</v>
      </c>
      <c r="BM212" s="451">
        <v>160000</v>
      </c>
      <c r="BN212" s="451">
        <v>0</v>
      </c>
      <c r="BO212" s="451">
        <v>800000</v>
      </c>
      <c r="BP212" s="451">
        <v>0</v>
      </c>
      <c r="BQ212" s="451">
        <v>0</v>
      </c>
      <c r="BR212" s="451">
        <v>0</v>
      </c>
      <c r="BS212" s="451">
        <v>0</v>
      </c>
      <c r="BT212" s="451">
        <v>0</v>
      </c>
      <c r="BU212" s="451">
        <v>0</v>
      </c>
      <c r="BV212" s="451">
        <v>0</v>
      </c>
      <c r="BW212" s="451">
        <v>0</v>
      </c>
      <c r="BX212" s="451">
        <v>0</v>
      </c>
      <c r="BY212" s="451">
        <v>0</v>
      </c>
      <c r="BZ212" s="451">
        <v>0</v>
      </c>
      <c r="CA212" s="451">
        <v>0</v>
      </c>
      <c r="CB212" s="451">
        <v>0</v>
      </c>
      <c r="CC212" s="451">
        <v>0</v>
      </c>
      <c r="CD212" s="451">
        <v>0</v>
      </c>
      <c r="CE212" s="104"/>
      <c r="CF212" s="104"/>
      <c r="CG212" s="104"/>
    </row>
    <row r="213" spans="1:85" ht="12.75" x14ac:dyDescent="0.2">
      <c r="A213" s="446">
        <v>206</v>
      </c>
      <c r="B213" s="447" t="s">
        <v>295</v>
      </c>
      <c r="C213" s="448" t="s">
        <v>794</v>
      </c>
      <c r="D213" s="449" t="s">
        <v>1105</v>
      </c>
      <c r="E213" s="450" t="s">
        <v>740</v>
      </c>
      <c r="F213" s="451">
        <v>23426915</v>
      </c>
      <c r="G213" s="451">
        <v>22958376</v>
      </c>
      <c r="H213" s="451">
        <v>0</v>
      </c>
      <c r="I213" s="451">
        <v>468538</v>
      </c>
      <c r="J213" s="451">
        <v>46853829</v>
      </c>
      <c r="K213" s="451">
        <v>11720</v>
      </c>
      <c r="L213" s="451">
        <v>11720</v>
      </c>
      <c r="M213" s="451">
        <v>23415195</v>
      </c>
      <c r="N213" s="451">
        <v>46842109</v>
      </c>
      <c r="O213" s="451">
        <v>171732</v>
      </c>
      <c r="P213" s="451">
        <v>171732</v>
      </c>
      <c r="Q213" s="451">
        <v>11720</v>
      </c>
      <c r="R213" s="451">
        <v>11720</v>
      </c>
      <c r="S213" s="451">
        <v>0</v>
      </c>
      <c r="T213" s="451">
        <v>0</v>
      </c>
      <c r="U213" s="451">
        <v>0</v>
      </c>
      <c r="V213" s="451">
        <v>0</v>
      </c>
      <c r="W213" s="451">
        <v>0</v>
      </c>
      <c r="X213" s="451">
        <v>11720</v>
      </c>
      <c r="Y213" s="451">
        <v>0</v>
      </c>
      <c r="Z213" s="451">
        <v>0</v>
      </c>
      <c r="AA213" s="451">
        <v>11720</v>
      </c>
      <c r="AB213" s="451">
        <v>3931669</v>
      </c>
      <c r="AC213" s="451">
        <v>3853036</v>
      </c>
      <c r="AD213" s="451">
        <v>0</v>
      </c>
      <c r="AE213" s="451">
        <v>78633</v>
      </c>
      <c r="AF213" s="451">
        <v>7863338</v>
      </c>
      <c r="AG213" s="451">
        <v>198987</v>
      </c>
      <c r="AH213" s="451">
        <v>195008</v>
      </c>
      <c r="AI213" s="451">
        <v>0</v>
      </c>
      <c r="AJ213" s="451">
        <v>3980</v>
      </c>
      <c r="AK213" s="451">
        <v>397975</v>
      </c>
      <c r="AL213" s="451">
        <v>545229</v>
      </c>
      <c r="AM213" s="451">
        <v>534325</v>
      </c>
      <c r="AN213" s="451">
        <v>0</v>
      </c>
      <c r="AO213" s="451">
        <v>10905</v>
      </c>
      <c r="AP213" s="451">
        <v>1090459</v>
      </c>
      <c r="AQ213" s="451">
        <v>67316</v>
      </c>
      <c r="AR213" s="451">
        <v>65970</v>
      </c>
      <c r="AS213" s="451">
        <v>0</v>
      </c>
      <c r="AT213" s="451">
        <v>1346</v>
      </c>
      <c r="AU213" s="451">
        <v>134632</v>
      </c>
      <c r="AV213" s="451">
        <v>612545</v>
      </c>
      <c r="AW213" s="451">
        <v>600295</v>
      </c>
      <c r="AX213" s="451">
        <v>0</v>
      </c>
      <c r="AY213" s="451">
        <v>12251</v>
      </c>
      <c r="AZ213" s="451">
        <v>1225091</v>
      </c>
      <c r="BA213" s="451">
        <v>0</v>
      </c>
      <c r="BB213" s="451">
        <v>0</v>
      </c>
      <c r="BC213" s="451">
        <v>0</v>
      </c>
      <c r="BD213" s="451">
        <v>0</v>
      </c>
      <c r="BE213" s="451">
        <v>0</v>
      </c>
      <c r="BF213" s="451">
        <v>629296</v>
      </c>
      <c r="BG213" s="451">
        <v>616711</v>
      </c>
      <c r="BH213" s="451">
        <v>0</v>
      </c>
      <c r="BI213" s="451">
        <v>12586</v>
      </c>
      <c r="BJ213" s="451">
        <v>1258593</v>
      </c>
      <c r="BK213" s="451">
        <v>629296</v>
      </c>
      <c r="BL213" s="451">
        <v>616711</v>
      </c>
      <c r="BM213" s="451">
        <v>0</v>
      </c>
      <c r="BN213" s="451">
        <v>12586</v>
      </c>
      <c r="BO213" s="451">
        <v>1258593</v>
      </c>
      <c r="BP213" s="451">
        <v>0</v>
      </c>
      <c r="BQ213" s="451">
        <v>0</v>
      </c>
      <c r="BR213" s="451">
        <v>0</v>
      </c>
      <c r="BS213" s="451">
        <v>0</v>
      </c>
      <c r="BT213" s="451">
        <v>0</v>
      </c>
      <c r="BU213" s="451">
        <v>1734239</v>
      </c>
      <c r="BV213" s="451">
        <v>1699555</v>
      </c>
      <c r="BW213" s="451">
        <v>0</v>
      </c>
      <c r="BX213" s="451">
        <v>34685</v>
      </c>
      <c r="BY213" s="451">
        <v>3468479</v>
      </c>
      <c r="BZ213" s="451">
        <v>1734239</v>
      </c>
      <c r="CA213" s="451">
        <v>1699555</v>
      </c>
      <c r="CB213" s="451">
        <v>0</v>
      </c>
      <c r="CC213" s="451">
        <v>34685</v>
      </c>
      <c r="CD213" s="451">
        <v>3468479</v>
      </c>
      <c r="CE213" s="104"/>
      <c r="CF213" s="104"/>
      <c r="CG213" s="104"/>
    </row>
    <row r="214" spans="1:85" ht="12.75" x14ac:dyDescent="0.2">
      <c r="A214" s="446">
        <v>207</v>
      </c>
      <c r="B214" s="447" t="s">
        <v>297</v>
      </c>
      <c r="C214" s="448" t="s">
        <v>1093</v>
      </c>
      <c r="D214" s="449" t="s">
        <v>1103</v>
      </c>
      <c r="E214" s="450" t="s">
        <v>296</v>
      </c>
      <c r="F214" s="451">
        <v>16244620</v>
      </c>
      <c r="G214" s="451">
        <v>12995696</v>
      </c>
      <c r="H214" s="451">
        <v>2924032</v>
      </c>
      <c r="I214" s="451">
        <v>324892</v>
      </c>
      <c r="J214" s="451">
        <v>32489240</v>
      </c>
      <c r="K214" s="451">
        <v>0</v>
      </c>
      <c r="L214" s="451">
        <v>0</v>
      </c>
      <c r="M214" s="451">
        <v>16244620</v>
      </c>
      <c r="N214" s="451">
        <v>32489240</v>
      </c>
      <c r="O214" s="451">
        <v>111657</v>
      </c>
      <c r="P214" s="451">
        <v>111657</v>
      </c>
      <c r="Q214" s="451">
        <v>0</v>
      </c>
      <c r="R214" s="451">
        <v>0</v>
      </c>
      <c r="S214" s="451">
        <v>0</v>
      </c>
      <c r="T214" s="451">
        <v>0</v>
      </c>
      <c r="U214" s="451">
        <v>0</v>
      </c>
      <c r="V214" s="451">
        <v>0</v>
      </c>
      <c r="W214" s="451">
        <v>0</v>
      </c>
      <c r="X214" s="451">
        <v>0</v>
      </c>
      <c r="Y214" s="451">
        <v>0</v>
      </c>
      <c r="Z214" s="451">
        <v>0</v>
      </c>
      <c r="AA214" s="451">
        <v>0</v>
      </c>
      <c r="AB214" s="451">
        <v>684669</v>
      </c>
      <c r="AC214" s="451">
        <v>547736</v>
      </c>
      <c r="AD214" s="451">
        <v>123241</v>
      </c>
      <c r="AE214" s="451">
        <v>13693</v>
      </c>
      <c r="AF214" s="451">
        <v>1369339</v>
      </c>
      <c r="AG214" s="451">
        <v>258622</v>
      </c>
      <c r="AH214" s="451">
        <v>206897</v>
      </c>
      <c r="AI214" s="451">
        <v>46552</v>
      </c>
      <c r="AJ214" s="451">
        <v>5172</v>
      </c>
      <c r="AK214" s="451">
        <v>517243</v>
      </c>
      <c r="AL214" s="451">
        <v>480711</v>
      </c>
      <c r="AM214" s="451">
        <v>384568</v>
      </c>
      <c r="AN214" s="451">
        <v>86528</v>
      </c>
      <c r="AO214" s="451">
        <v>9614</v>
      </c>
      <c r="AP214" s="451">
        <v>961421</v>
      </c>
      <c r="AQ214" s="451">
        <v>67001</v>
      </c>
      <c r="AR214" s="451">
        <v>53601</v>
      </c>
      <c r="AS214" s="451">
        <v>12060</v>
      </c>
      <c r="AT214" s="451">
        <v>1340</v>
      </c>
      <c r="AU214" s="451">
        <v>134002</v>
      </c>
      <c r="AV214" s="451">
        <v>547712</v>
      </c>
      <c r="AW214" s="451">
        <v>438169</v>
      </c>
      <c r="AX214" s="451">
        <v>98588</v>
      </c>
      <c r="AY214" s="451">
        <v>10954</v>
      </c>
      <c r="AZ214" s="451">
        <v>1095423</v>
      </c>
      <c r="BA214" s="451">
        <v>0</v>
      </c>
      <c r="BB214" s="451">
        <v>0</v>
      </c>
      <c r="BC214" s="451">
        <v>0</v>
      </c>
      <c r="BD214" s="451">
        <v>0</v>
      </c>
      <c r="BE214" s="451">
        <v>0</v>
      </c>
      <c r="BF214" s="451">
        <v>150520</v>
      </c>
      <c r="BG214" s="451">
        <v>120415</v>
      </c>
      <c r="BH214" s="451">
        <v>27093</v>
      </c>
      <c r="BI214" s="451">
        <v>3010</v>
      </c>
      <c r="BJ214" s="451">
        <v>301038</v>
      </c>
      <c r="BK214" s="451">
        <v>150520</v>
      </c>
      <c r="BL214" s="451">
        <v>120415</v>
      </c>
      <c r="BM214" s="451">
        <v>27093</v>
      </c>
      <c r="BN214" s="451">
        <v>3010</v>
      </c>
      <c r="BO214" s="451">
        <v>301038</v>
      </c>
      <c r="BP214" s="451">
        <v>0</v>
      </c>
      <c r="BQ214" s="451">
        <v>0</v>
      </c>
      <c r="BR214" s="451">
        <v>0</v>
      </c>
      <c r="BS214" s="451">
        <v>0</v>
      </c>
      <c r="BT214" s="451">
        <v>0</v>
      </c>
      <c r="BU214" s="451">
        <v>413532</v>
      </c>
      <c r="BV214" s="451">
        <v>330826</v>
      </c>
      <c r="BW214" s="451">
        <v>74436</v>
      </c>
      <c r="BX214" s="451">
        <v>8271</v>
      </c>
      <c r="BY214" s="451">
        <v>827065</v>
      </c>
      <c r="BZ214" s="451">
        <v>413532</v>
      </c>
      <c r="CA214" s="451">
        <v>330826</v>
      </c>
      <c r="CB214" s="451">
        <v>74436</v>
      </c>
      <c r="CC214" s="451">
        <v>8271</v>
      </c>
      <c r="CD214" s="451">
        <v>827065</v>
      </c>
      <c r="CE214" s="104"/>
      <c r="CF214" s="104"/>
      <c r="CG214" s="104"/>
    </row>
    <row r="215" spans="1:85" ht="12.75" x14ac:dyDescent="0.2">
      <c r="A215" s="446">
        <v>208</v>
      </c>
      <c r="B215" s="447" t="s">
        <v>299</v>
      </c>
      <c r="C215" s="448" t="s">
        <v>1093</v>
      </c>
      <c r="D215" s="449" t="s">
        <v>1094</v>
      </c>
      <c r="E215" s="450" t="s">
        <v>741</v>
      </c>
      <c r="F215" s="451">
        <v>23694844</v>
      </c>
      <c r="G215" s="451">
        <v>18955875</v>
      </c>
      <c r="H215" s="451">
        <v>4738969</v>
      </c>
      <c r="I215" s="451">
        <v>0</v>
      </c>
      <c r="J215" s="451">
        <v>47389688</v>
      </c>
      <c r="K215" s="451">
        <v>0</v>
      </c>
      <c r="L215" s="451">
        <v>0</v>
      </c>
      <c r="M215" s="451">
        <v>23694844</v>
      </c>
      <c r="N215" s="451">
        <v>47389688</v>
      </c>
      <c r="O215" s="451">
        <v>177701</v>
      </c>
      <c r="P215" s="451">
        <v>177701</v>
      </c>
      <c r="Q215" s="451">
        <v>0</v>
      </c>
      <c r="R215" s="451">
        <v>0</v>
      </c>
      <c r="S215" s="451">
        <v>0</v>
      </c>
      <c r="T215" s="451">
        <v>0</v>
      </c>
      <c r="U215" s="451">
        <v>0</v>
      </c>
      <c r="V215" s="451">
        <v>0</v>
      </c>
      <c r="W215" s="451">
        <v>0</v>
      </c>
      <c r="X215" s="451">
        <v>0</v>
      </c>
      <c r="Y215" s="451">
        <v>0</v>
      </c>
      <c r="Z215" s="451">
        <v>0</v>
      </c>
      <c r="AA215" s="451">
        <v>0</v>
      </c>
      <c r="AB215" s="451">
        <v>21335.99</v>
      </c>
      <c r="AC215" s="451">
        <v>17069</v>
      </c>
      <c r="AD215" s="451">
        <v>4267</v>
      </c>
      <c r="AE215" s="451">
        <v>0</v>
      </c>
      <c r="AF215" s="451">
        <v>42671.99</v>
      </c>
      <c r="AG215" s="451">
        <v>296946.34999999998</v>
      </c>
      <c r="AH215" s="451">
        <v>237557</v>
      </c>
      <c r="AI215" s="451">
        <v>59389</v>
      </c>
      <c r="AJ215" s="451">
        <v>0</v>
      </c>
      <c r="AK215" s="451">
        <v>593892.35</v>
      </c>
      <c r="AL215" s="451">
        <v>46870.69</v>
      </c>
      <c r="AM215" s="451">
        <v>37497</v>
      </c>
      <c r="AN215" s="451">
        <v>9374</v>
      </c>
      <c r="AO215" s="451">
        <v>0</v>
      </c>
      <c r="AP215" s="451">
        <v>93741.69</v>
      </c>
      <c r="AQ215" s="451">
        <v>18124.41</v>
      </c>
      <c r="AR215" s="451">
        <v>14499</v>
      </c>
      <c r="AS215" s="451">
        <v>3625</v>
      </c>
      <c r="AT215" s="451">
        <v>0</v>
      </c>
      <c r="AU215" s="451">
        <v>36248.410000000003</v>
      </c>
      <c r="AV215" s="451">
        <v>64995.1</v>
      </c>
      <c r="AW215" s="451">
        <v>51996</v>
      </c>
      <c r="AX215" s="451">
        <v>12999</v>
      </c>
      <c r="AY215" s="451">
        <v>0</v>
      </c>
      <c r="AZ215" s="451">
        <v>129990.1</v>
      </c>
      <c r="BA215" s="451">
        <v>0</v>
      </c>
      <c r="BB215" s="451">
        <v>0</v>
      </c>
      <c r="BC215" s="451">
        <v>0</v>
      </c>
      <c r="BD215" s="451">
        <v>0</v>
      </c>
      <c r="BE215" s="451">
        <v>0</v>
      </c>
      <c r="BF215" s="451">
        <v>88323</v>
      </c>
      <c r="BG215" s="451">
        <v>70659</v>
      </c>
      <c r="BH215" s="451">
        <v>17665</v>
      </c>
      <c r="BI215" s="451">
        <v>0</v>
      </c>
      <c r="BJ215" s="451">
        <v>176647</v>
      </c>
      <c r="BK215" s="451">
        <v>88323</v>
      </c>
      <c r="BL215" s="451">
        <v>70659</v>
      </c>
      <c r="BM215" s="451">
        <v>17665</v>
      </c>
      <c r="BN215" s="451">
        <v>0</v>
      </c>
      <c r="BO215" s="451">
        <v>176647</v>
      </c>
      <c r="BP215" s="451">
        <v>0</v>
      </c>
      <c r="BQ215" s="451">
        <v>0</v>
      </c>
      <c r="BR215" s="451">
        <v>0</v>
      </c>
      <c r="BS215" s="451">
        <v>0</v>
      </c>
      <c r="BT215" s="451">
        <v>0</v>
      </c>
      <c r="BU215" s="451">
        <v>601984</v>
      </c>
      <c r="BV215" s="451">
        <v>481588</v>
      </c>
      <c r="BW215" s="451">
        <v>120397</v>
      </c>
      <c r="BX215" s="451">
        <v>0</v>
      </c>
      <c r="BY215" s="451">
        <v>1203969</v>
      </c>
      <c r="BZ215" s="451">
        <v>601984</v>
      </c>
      <c r="CA215" s="451">
        <v>481588</v>
      </c>
      <c r="CB215" s="451">
        <v>120397</v>
      </c>
      <c r="CC215" s="451">
        <v>0</v>
      </c>
      <c r="CD215" s="451">
        <v>1203969</v>
      </c>
      <c r="CE215" s="104"/>
      <c r="CF215" s="104"/>
      <c r="CG215" s="104"/>
    </row>
    <row r="216" spans="1:85" ht="12.75" x14ac:dyDescent="0.2">
      <c r="A216" s="446">
        <v>209</v>
      </c>
      <c r="B216" s="447" t="s">
        <v>301</v>
      </c>
      <c r="C216" s="448" t="s">
        <v>1093</v>
      </c>
      <c r="D216" s="449" t="s">
        <v>1095</v>
      </c>
      <c r="E216" s="450" t="s">
        <v>300</v>
      </c>
      <c r="F216" s="451">
        <v>6704936</v>
      </c>
      <c r="G216" s="451">
        <v>5363949</v>
      </c>
      <c r="H216" s="451">
        <v>1206889</v>
      </c>
      <c r="I216" s="451">
        <v>134099</v>
      </c>
      <c r="J216" s="451">
        <v>13409873</v>
      </c>
      <c r="K216" s="451">
        <v>0</v>
      </c>
      <c r="L216" s="451">
        <v>0</v>
      </c>
      <c r="M216" s="451">
        <v>6704936</v>
      </c>
      <c r="N216" s="451">
        <v>13409873</v>
      </c>
      <c r="O216" s="451">
        <v>85946</v>
      </c>
      <c r="P216" s="451">
        <v>85946</v>
      </c>
      <c r="Q216" s="451">
        <v>2997</v>
      </c>
      <c r="R216" s="451">
        <v>2997</v>
      </c>
      <c r="S216" s="451">
        <v>0</v>
      </c>
      <c r="T216" s="451">
        <v>0</v>
      </c>
      <c r="U216" s="451">
        <v>0</v>
      </c>
      <c r="V216" s="451">
        <v>0</v>
      </c>
      <c r="W216" s="451">
        <v>0</v>
      </c>
      <c r="X216" s="451">
        <v>0</v>
      </c>
      <c r="Y216" s="451">
        <v>0</v>
      </c>
      <c r="Z216" s="451">
        <v>0</v>
      </c>
      <c r="AA216" s="451">
        <v>0</v>
      </c>
      <c r="AB216" s="451">
        <v>300979</v>
      </c>
      <c r="AC216" s="451">
        <v>240783</v>
      </c>
      <c r="AD216" s="451">
        <v>54176</v>
      </c>
      <c r="AE216" s="451">
        <v>6020</v>
      </c>
      <c r="AF216" s="451">
        <v>601958</v>
      </c>
      <c r="AG216" s="451">
        <v>45771</v>
      </c>
      <c r="AH216" s="451">
        <v>36617</v>
      </c>
      <c r="AI216" s="451">
        <v>8239</v>
      </c>
      <c r="AJ216" s="451">
        <v>915</v>
      </c>
      <c r="AK216" s="451">
        <v>91542</v>
      </c>
      <c r="AL216" s="451">
        <v>125000</v>
      </c>
      <c r="AM216" s="451">
        <v>100000</v>
      </c>
      <c r="AN216" s="451">
        <v>22500</v>
      </c>
      <c r="AO216" s="451">
        <v>2500</v>
      </c>
      <c r="AP216" s="451">
        <v>250000</v>
      </c>
      <c r="AQ216" s="451">
        <v>40000</v>
      </c>
      <c r="AR216" s="451">
        <v>32000</v>
      </c>
      <c r="AS216" s="451">
        <v>7200</v>
      </c>
      <c r="AT216" s="451">
        <v>800</v>
      </c>
      <c r="AU216" s="451">
        <v>80000</v>
      </c>
      <c r="AV216" s="451">
        <v>165000</v>
      </c>
      <c r="AW216" s="451">
        <v>132000</v>
      </c>
      <c r="AX216" s="451">
        <v>29700</v>
      </c>
      <c r="AY216" s="451">
        <v>3300</v>
      </c>
      <c r="AZ216" s="451">
        <v>330000</v>
      </c>
      <c r="BA216" s="451">
        <v>0</v>
      </c>
      <c r="BB216" s="451">
        <v>0</v>
      </c>
      <c r="BC216" s="451">
        <v>0</v>
      </c>
      <c r="BD216" s="451">
        <v>0</v>
      </c>
      <c r="BE216" s="451">
        <v>0</v>
      </c>
      <c r="BF216" s="451">
        <v>53500</v>
      </c>
      <c r="BG216" s="451">
        <v>42800</v>
      </c>
      <c r="BH216" s="451">
        <v>9630</v>
      </c>
      <c r="BI216" s="451">
        <v>1070</v>
      </c>
      <c r="BJ216" s="451">
        <v>107000</v>
      </c>
      <c r="BK216" s="451">
        <v>53500</v>
      </c>
      <c r="BL216" s="451">
        <v>42800</v>
      </c>
      <c r="BM216" s="451">
        <v>9630</v>
      </c>
      <c r="BN216" s="451">
        <v>1070</v>
      </c>
      <c r="BO216" s="451">
        <v>107000</v>
      </c>
      <c r="BP216" s="451">
        <v>0</v>
      </c>
      <c r="BQ216" s="451">
        <v>0</v>
      </c>
      <c r="BR216" s="451">
        <v>0</v>
      </c>
      <c r="BS216" s="451">
        <v>0</v>
      </c>
      <c r="BT216" s="451">
        <v>0</v>
      </c>
      <c r="BU216" s="451">
        <v>130500</v>
      </c>
      <c r="BV216" s="451">
        <v>104400</v>
      </c>
      <c r="BW216" s="451">
        <v>23490</v>
      </c>
      <c r="BX216" s="451">
        <v>2610</v>
      </c>
      <c r="BY216" s="451">
        <v>261000</v>
      </c>
      <c r="BZ216" s="451">
        <v>130500</v>
      </c>
      <c r="CA216" s="451">
        <v>104400</v>
      </c>
      <c r="CB216" s="451">
        <v>23490</v>
      </c>
      <c r="CC216" s="451">
        <v>2610</v>
      </c>
      <c r="CD216" s="451">
        <v>261000</v>
      </c>
      <c r="CE216" s="104"/>
      <c r="CF216" s="104"/>
      <c r="CG216" s="104"/>
    </row>
    <row r="217" spans="1:85" ht="12.75" x14ac:dyDescent="0.2">
      <c r="A217" s="446">
        <v>210</v>
      </c>
      <c r="B217" s="447" t="s">
        <v>303</v>
      </c>
      <c r="C217" s="448" t="s">
        <v>1098</v>
      </c>
      <c r="D217" s="449" t="s">
        <v>1099</v>
      </c>
      <c r="E217" s="450" t="s">
        <v>302</v>
      </c>
      <c r="F217" s="451">
        <v>38304402</v>
      </c>
      <c r="G217" s="451">
        <v>22982642</v>
      </c>
      <c r="H217" s="451">
        <v>15321761</v>
      </c>
      <c r="I217" s="451">
        <v>0</v>
      </c>
      <c r="J217" s="451">
        <v>76608805</v>
      </c>
      <c r="K217" s="451">
        <v>0</v>
      </c>
      <c r="L217" s="451">
        <v>0</v>
      </c>
      <c r="M217" s="451">
        <v>38304402</v>
      </c>
      <c r="N217" s="451">
        <v>76608805</v>
      </c>
      <c r="O217" s="451">
        <v>304564</v>
      </c>
      <c r="P217" s="451">
        <v>304564</v>
      </c>
      <c r="Q217" s="451">
        <v>0</v>
      </c>
      <c r="R217" s="451">
        <v>0</v>
      </c>
      <c r="S217" s="451">
        <v>0</v>
      </c>
      <c r="T217" s="451">
        <v>0</v>
      </c>
      <c r="U217" s="451">
        <v>0</v>
      </c>
      <c r="V217" s="451">
        <v>0</v>
      </c>
      <c r="W217" s="451">
        <v>0</v>
      </c>
      <c r="X217" s="451">
        <v>0</v>
      </c>
      <c r="Y217" s="451">
        <v>0</v>
      </c>
      <c r="Z217" s="451">
        <v>0</v>
      </c>
      <c r="AA217" s="451">
        <v>0</v>
      </c>
      <c r="AB217" s="451">
        <v>2223607</v>
      </c>
      <c r="AC217" s="451">
        <v>1334164</v>
      </c>
      <c r="AD217" s="451">
        <v>889443</v>
      </c>
      <c r="AE217" s="451">
        <v>0</v>
      </c>
      <c r="AF217" s="451">
        <v>4447214</v>
      </c>
      <c r="AG217" s="451">
        <v>-1342794.2</v>
      </c>
      <c r="AH217" s="451">
        <v>-805676</v>
      </c>
      <c r="AI217" s="451">
        <v>-537118</v>
      </c>
      <c r="AJ217" s="451">
        <v>0</v>
      </c>
      <c r="AK217" s="451">
        <v>-2685588.2</v>
      </c>
      <c r="AL217" s="451">
        <v>0</v>
      </c>
      <c r="AM217" s="451">
        <v>0</v>
      </c>
      <c r="AN217" s="451">
        <v>0</v>
      </c>
      <c r="AO217" s="451">
        <v>0</v>
      </c>
      <c r="AP217" s="451">
        <v>0</v>
      </c>
      <c r="AQ217" s="451">
        <v>128032</v>
      </c>
      <c r="AR217" s="451">
        <v>76819</v>
      </c>
      <c r="AS217" s="451">
        <v>51213</v>
      </c>
      <c r="AT217" s="451">
        <v>0</v>
      </c>
      <c r="AU217" s="451">
        <v>256064</v>
      </c>
      <c r="AV217" s="451">
        <v>128032</v>
      </c>
      <c r="AW217" s="451">
        <v>76819</v>
      </c>
      <c r="AX217" s="451">
        <v>51213</v>
      </c>
      <c r="AY217" s="451">
        <v>0</v>
      </c>
      <c r="AZ217" s="451">
        <v>256064</v>
      </c>
      <c r="BA217" s="451">
        <v>0</v>
      </c>
      <c r="BB217" s="451">
        <v>0</v>
      </c>
      <c r="BC217" s="451">
        <v>0</v>
      </c>
      <c r="BD217" s="451">
        <v>0</v>
      </c>
      <c r="BE217" s="451">
        <v>0</v>
      </c>
      <c r="BF217" s="451">
        <v>550967</v>
      </c>
      <c r="BG217" s="451">
        <v>330581</v>
      </c>
      <c r="BH217" s="451">
        <v>220387</v>
      </c>
      <c r="BI217" s="451">
        <v>0</v>
      </c>
      <c r="BJ217" s="451">
        <v>1101935</v>
      </c>
      <c r="BK217" s="451">
        <v>550967</v>
      </c>
      <c r="BL217" s="451">
        <v>330581</v>
      </c>
      <c r="BM217" s="451">
        <v>220387</v>
      </c>
      <c r="BN217" s="451">
        <v>0</v>
      </c>
      <c r="BO217" s="451">
        <v>1101935</v>
      </c>
      <c r="BP217" s="451">
        <v>0</v>
      </c>
      <c r="BQ217" s="451">
        <v>0</v>
      </c>
      <c r="BR217" s="451">
        <v>0</v>
      </c>
      <c r="BS217" s="451">
        <v>0</v>
      </c>
      <c r="BT217" s="451">
        <v>0</v>
      </c>
      <c r="BU217" s="451">
        <v>1511534</v>
      </c>
      <c r="BV217" s="451">
        <v>906920</v>
      </c>
      <c r="BW217" s="451">
        <v>604614</v>
      </c>
      <c r="BX217" s="451">
        <v>0</v>
      </c>
      <c r="BY217" s="451">
        <v>3023068</v>
      </c>
      <c r="BZ217" s="451">
        <v>1511534</v>
      </c>
      <c r="CA217" s="451">
        <v>906920</v>
      </c>
      <c r="CB217" s="451">
        <v>604614</v>
      </c>
      <c r="CC217" s="451">
        <v>0</v>
      </c>
      <c r="CD217" s="451">
        <v>3023068</v>
      </c>
      <c r="CE217" s="104"/>
      <c r="CF217" s="104"/>
      <c r="CG217" s="104"/>
    </row>
    <row r="218" spans="1:85" ht="12.75" x14ac:dyDescent="0.2">
      <c r="A218" s="446">
        <v>211</v>
      </c>
      <c r="B218" s="447" t="s">
        <v>305</v>
      </c>
      <c r="C218" s="448" t="s">
        <v>1093</v>
      </c>
      <c r="D218" s="449" t="s">
        <v>1101</v>
      </c>
      <c r="E218" s="450" t="s">
        <v>304</v>
      </c>
      <c r="F218" s="451">
        <v>5653269</v>
      </c>
      <c r="G218" s="451">
        <v>4522615</v>
      </c>
      <c r="H218" s="451">
        <v>1017588</v>
      </c>
      <c r="I218" s="451">
        <v>113065</v>
      </c>
      <c r="J218" s="451">
        <v>11306537</v>
      </c>
      <c r="K218" s="451">
        <v>0</v>
      </c>
      <c r="L218" s="451">
        <v>0</v>
      </c>
      <c r="M218" s="451">
        <v>5653269</v>
      </c>
      <c r="N218" s="451">
        <v>11306537</v>
      </c>
      <c r="O218" s="451">
        <v>96435</v>
      </c>
      <c r="P218" s="451">
        <v>96435</v>
      </c>
      <c r="Q218" s="451">
        <v>0</v>
      </c>
      <c r="R218" s="451">
        <v>0</v>
      </c>
      <c r="S218" s="451">
        <v>0</v>
      </c>
      <c r="T218" s="451">
        <v>0</v>
      </c>
      <c r="U218" s="451">
        <v>0</v>
      </c>
      <c r="V218" s="451">
        <v>0</v>
      </c>
      <c r="W218" s="451">
        <v>0</v>
      </c>
      <c r="X218" s="451">
        <v>0</v>
      </c>
      <c r="Y218" s="451">
        <v>0</v>
      </c>
      <c r="Z218" s="451">
        <v>0</v>
      </c>
      <c r="AA218" s="451">
        <v>0</v>
      </c>
      <c r="AB218" s="451">
        <v>284514</v>
      </c>
      <c r="AC218" s="451">
        <v>227612</v>
      </c>
      <c r="AD218" s="451">
        <v>51213</v>
      </c>
      <c r="AE218" s="451">
        <v>5690</v>
      </c>
      <c r="AF218" s="451">
        <v>569029</v>
      </c>
      <c r="AG218" s="451">
        <v>39662</v>
      </c>
      <c r="AH218" s="451">
        <v>31730</v>
      </c>
      <c r="AI218" s="451">
        <v>7139</v>
      </c>
      <c r="AJ218" s="451">
        <v>793</v>
      </c>
      <c r="AK218" s="451">
        <v>79324</v>
      </c>
      <c r="AL218" s="451">
        <v>55603</v>
      </c>
      <c r="AM218" s="451">
        <v>44482</v>
      </c>
      <c r="AN218" s="451">
        <v>10009</v>
      </c>
      <c r="AO218" s="451">
        <v>1112</v>
      </c>
      <c r="AP218" s="451">
        <v>111206</v>
      </c>
      <c r="AQ218" s="451">
        <v>48366</v>
      </c>
      <c r="AR218" s="451">
        <v>38693</v>
      </c>
      <c r="AS218" s="451">
        <v>8706</v>
      </c>
      <c r="AT218" s="451">
        <v>967</v>
      </c>
      <c r="AU218" s="451">
        <v>96732</v>
      </c>
      <c r="AV218" s="451">
        <v>103969</v>
      </c>
      <c r="AW218" s="451">
        <v>83175</v>
      </c>
      <c r="AX218" s="451">
        <v>18715</v>
      </c>
      <c r="AY218" s="451">
        <v>2079</v>
      </c>
      <c r="AZ218" s="451">
        <v>207938</v>
      </c>
      <c r="BA218" s="451">
        <v>0</v>
      </c>
      <c r="BB218" s="451">
        <v>0</v>
      </c>
      <c r="BC218" s="451">
        <v>0</v>
      </c>
      <c r="BD218" s="451">
        <v>0</v>
      </c>
      <c r="BE218" s="451">
        <v>0</v>
      </c>
      <c r="BF218" s="451">
        <v>50000</v>
      </c>
      <c r="BG218" s="451">
        <v>40000</v>
      </c>
      <c r="BH218" s="451">
        <v>9000</v>
      </c>
      <c r="BI218" s="451">
        <v>1000</v>
      </c>
      <c r="BJ218" s="451">
        <v>100000</v>
      </c>
      <c r="BK218" s="451">
        <v>50000</v>
      </c>
      <c r="BL218" s="451">
        <v>40000</v>
      </c>
      <c r="BM218" s="451">
        <v>9000</v>
      </c>
      <c r="BN218" s="451">
        <v>1000</v>
      </c>
      <c r="BO218" s="451">
        <v>100000</v>
      </c>
      <c r="BP218" s="451">
        <v>0</v>
      </c>
      <c r="BQ218" s="451">
        <v>0</v>
      </c>
      <c r="BR218" s="451">
        <v>0</v>
      </c>
      <c r="BS218" s="451">
        <v>0</v>
      </c>
      <c r="BT218" s="451">
        <v>0</v>
      </c>
      <c r="BU218" s="451">
        <v>637500</v>
      </c>
      <c r="BV218" s="451">
        <v>510000</v>
      </c>
      <c r="BW218" s="451">
        <v>114750</v>
      </c>
      <c r="BX218" s="451">
        <v>12750</v>
      </c>
      <c r="BY218" s="451">
        <v>1275000</v>
      </c>
      <c r="BZ218" s="451">
        <v>637500</v>
      </c>
      <c r="CA218" s="451">
        <v>510000</v>
      </c>
      <c r="CB218" s="451">
        <v>114750</v>
      </c>
      <c r="CC218" s="451">
        <v>12750</v>
      </c>
      <c r="CD218" s="451">
        <v>1275000</v>
      </c>
      <c r="CE218" s="104"/>
      <c r="CF218" s="104"/>
      <c r="CG218" s="104"/>
    </row>
    <row r="219" spans="1:85" ht="12.75" x14ac:dyDescent="0.2">
      <c r="A219" s="446">
        <v>212</v>
      </c>
      <c r="B219" s="447" t="s">
        <v>307</v>
      </c>
      <c r="C219" s="448" t="s">
        <v>1100</v>
      </c>
      <c r="D219" s="449" t="s">
        <v>1095</v>
      </c>
      <c r="E219" s="450" t="s">
        <v>306</v>
      </c>
      <c r="F219" s="451">
        <v>28748983</v>
      </c>
      <c r="G219" s="451">
        <v>28174003</v>
      </c>
      <c r="H219" s="451">
        <v>0</v>
      </c>
      <c r="I219" s="451">
        <v>574980</v>
      </c>
      <c r="J219" s="451">
        <v>57497966</v>
      </c>
      <c r="K219" s="451">
        <v>0</v>
      </c>
      <c r="L219" s="451">
        <v>0</v>
      </c>
      <c r="M219" s="451">
        <v>28748983</v>
      </c>
      <c r="N219" s="451">
        <v>57497966</v>
      </c>
      <c r="O219" s="451">
        <v>285612</v>
      </c>
      <c r="P219" s="451">
        <v>285612</v>
      </c>
      <c r="Q219" s="451">
        <v>0</v>
      </c>
      <c r="R219" s="451">
        <v>0</v>
      </c>
      <c r="S219" s="451">
        <v>0</v>
      </c>
      <c r="T219" s="451">
        <v>0</v>
      </c>
      <c r="U219" s="451">
        <v>0</v>
      </c>
      <c r="V219" s="451">
        <v>0</v>
      </c>
      <c r="W219" s="451">
        <v>0</v>
      </c>
      <c r="X219" s="451">
        <v>0</v>
      </c>
      <c r="Y219" s="451">
        <v>0</v>
      </c>
      <c r="Z219" s="451">
        <v>0</v>
      </c>
      <c r="AA219" s="451">
        <v>0</v>
      </c>
      <c r="AB219" s="451">
        <v>2018205</v>
      </c>
      <c r="AC219" s="451">
        <v>1977841</v>
      </c>
      <c r="AD219" s="451">
        <v>0</v>
      </c>
      <c r="AE219" s="451">
        <v>40364</v>
      </c>
      <c r="AF219" s="451">
        <v>4036410</v>
      </c>
      <c r="AG219" s="451">
        <v>359325</v>
      </c>
      <c r="AH219" s="451">
        <v>352139</v>
      </c>
      <c r="AI219" s="451">
        <v>0</v>
      </c>
      <c r="AJ219" s="451">
        <v>7187</v>
      </c>
      <c r="AK219" s="451">
        <v>718651</v>
      </c>
      <c r="AL219" s="451">
        <v>587500</v>
      </c>
      <c r="AM219" s="451">
        <v>575750</v>
      </c>
      <c r="AN219" s="451">
        <v>0</v>
      </c>
      <c r="AO219" s="451">
        <v>11750</v>
      </c>
      <c r="AP219" s="451">
        <v>1175000</v>
      </c>
      <c r="AQ219" s="451">
        <v>244000</v>
      </c>
      <c r="AR219" s="451">
        <v>239120</v>
      </c>
      <c r="AS219" s="451">
        <v>0</v>
      </c>
      <c r="AT219" s="451">
        <v>4880</v>
      </c>
      <c r="AU219" s="451">
        <v>488000</v>
      </c>
      <c r="AV219" s="451">
        <v>831500</v>
      </c>
      <c r="AW219" s="451">
        <v>814870</v>
      </c>
      <c r="AX219" s="451">
        <v>0</v>
      </c>
      <c r="AY219" s="451">
        <v>16630</v>
      </c>
      <c r="AZ219" s="451">
        <v>1663000</v>
      </c>
      <c r="BA219" s="451">
        <v>0</v>
      </c>
      <c r="BB219" s="451">
        <v>0</v>
      </c>
      <c r="BC219" s="451">
        <v>0</v>
      </c>
      <c r="BD219" s="451">
        <v>0</v>
      </c>
      <c r="BE219" s="451">
        <v>0</v>
      </c>
      <c r="BF219" s="451">
        <v>350909</v>
      </c>
      <c r="BG219" s="451">
        <v>343891</v>
      </c>
      <c r="BH219" s="451">
        <v>0</v>
      </c>
      <c r="BI219" s="451">
        <v>7018</v>
      </c>
      <c r="BJ219" s="451">
        <v>701818</v>
      </c>
      <c r="BK219" s="451">
        <v>350909</v>
      </c>
      <c r="BL219" s="451">
        <v>343891</v>
      </c>
      <c r="BM219" s="451">
        <v>0</v>
      </c>
      <c r="BN219" s="451">
        <v>7018</v>
      </c>
      <c r="BO219" s="451">
        <v>701818</v>
      </c>
      <c r="BP219" s="451">
        <v>0</v>
      </c>
      <c r="BQ219" s="451">
        <v>0</v>
      </c>
      <c r="BR219" s="451">
        <v>0</v>
      </c>
      <c r="BS219" s="451">
        <v>0</v>
      </c>
      <c r="BT219" s="451">
        <v>0</v>
      </c>
      <c r="BU219" s="451">
        <v>959224</v>
      </c>
      <c r="BV219" s="451">
        <v>940040</v>
      </c>
      <c r="BW219" s="451">
        <v>0</v>
      </c>
      <c r="BX219" s="451">
        <v>19184</v>
      </c>
      <c r="BY219" s="451">
        <v>1918448</v>
      </c>
      <c r="BZ219" s="451">
        <v>959224</v>
      </c>
      <c r="CA219" s="451">
        <v>940040</v>
      </c>
      <c r="CB219" s="451">
        <v>0</v>
      </c>
      <c r="CC219" s="451">
        <v>19184</v>
      </c>
      <c r="CD219" s="451">
        <v>1918448</v>
      </c>
      <c r="CE219" s="104"/>
      <c r="CF219" s="104"/>
      <c r="CG219" s="104"/>
    </row>
    <row r="220" spans="1:85" ht="12.75" x14ac:dyDescent="0.2">
      <c r="A220" s="446">
        <v>213</v>
      </c>
      <c r="B220" s="447" t="s">
        <v>309</v>
      </c>
      <c r="C220" s="448" t="s">
        <v>1093</v>
      </c>
      <c r="D220" s="449" t="s">
        <v>1097</v>
      </c>
      <c r="E220" s="450" t="s">
        <v>308</v>
      </c>
      <c r="F220" s="451">
        <v>7602147</v>
      </c>
      <c r="G220" s="451">
        <v>6081717</v>
      </c>
      <c r="H220" s="451">
        <v>1368386</v>
      </c>
      <c r="I220" s="451">
        <v>152043</v>
      </c>
      <c r="J220" s="451">
        <v>15204293</v>
      </c>
      <c r="K220" s="451">
        <v>0</v>
      </c>
      <c r="L220" s="451">
        <v>0</v>
      </c>
      <c r="M220" s="451">
        <v>7602147</v>
      </c>
      <c r="N220" s="451">
        <v>15204293</v>
      </c>
      <c r="O220" s="451">
        <v>85320</v>
      </c>
      <c r="P220" s="451">
        <v>85320</v>
      </c>
      <c r="Q220" s="451">
        <v>0</v>
      </c>
      <c r="R220" s="451">
        <v>0</v>
      </c>
      <c r="S220" s="451">
        <v>0</v>
      </c>
      <c r="T220" s="451">
        <v>0</v>
      </c>
      <c r="U220" s="451">
        <v>0</v>
      </c>
      <c r="V220" s="451">
        <v>0</v>
      </c>
      <c r="W220" s="451">
        <v>0</v>
      </c>
      <c r="X220" s="451">
        <v>0</v>
      </c>
      <c r="Y220" s="451">
        <v>0</v>
      </c>
      <c r="Z220" s="451">
        <v>0</v>
      </c>
      <c r="AA220" s="451">
        <v>0</v>
      </c>
      <c r="AB220" s="451">
        <v>265691</v>
      </c>
      <c r="AC220" s="451">
        <v>212552</v>
      </c>
      <c r="AD220" s="451">
        <v>47824</v>
      </c>
      <c r="AE220" s="451">
        <v>5314</v>
      </c>
      <c r="AF220" s="451">
        <v>531381</v>
      </c>
      <c r="AG220" s="451">
        <v>12709</v>
      </c>
      <c r="AH220" s="451">
        <v>10168</v>
      </c>
      <c r="AI220" s="451">
        <v>2288</v>
      </c>
      <c r="AJ220" s="451">
        <v>254</v>
      </c>
      <c r="AK220" s="451">
        <v>25419</v>
      </c>
      <c r="AL220" s="451">
        <v>55025</v>
      </c>
      <c r="AM220" s="451">
        <v>44021</v>
      </c>
      <c r="AN220" s="451">
        <v>9905</v>
      </c>
      <c r="AO220" s="451">
        <v>1101</v>
      </c>
      <c r="AP220" s="451">
        <v>110052</v>
      </c>
      <c r="AQ220" s="451">
        <v>80753</v>
      </c>
      <c r="AR220" s="451">
        <v>64602</v>
      </c>
      <c r="AS220" s="451">
        <v>14536</v>
      </c>
      <c r="AT220" s="451">
        <v>1615</v>
      </c>
      <c r="AU220" s="451">
        <v>161506</v>
      </c>
      <c r="AV220" s="451">
        <v>135778</v>
      </c>
      <c r="AW220" s="451">
        <v>108623</v>
      </c>
      <c r="AX220" s="451">
        <v>24441</v>
      </c>
      <c r="AY220" s="451">
        <v>2716</v>
      </c>
      <c r="AZ220" s="451">
        <v>271558</v>
      </c>
      <c r="BA220" s="451">
        <v>0</v>
      </c>
      <c r="BB220" s="451">
        <v>0</v>
      </c>
      <c r="BC220" s="451">
        <v>0</v>
      </c>
      <c r="BD220" s="451">
        <v>0</v>
      </c>
      <c r="BE220" s="451">
        <v>0</v>
      </c>
      <c r="BF220" s="451">
        <v>81139</v>
      </c>
      <c r="BG220" s="451">
        <v>64911</v>
      </c>
      <c r="BH220" s="451">
        <v>14605</v>
      </c>
      <c r="BI220" s="451">
        <v>1623</v>
      </c>
      <c r="BJ220" s="451">
        <v>162278</v>
      </c>
      <c r="BK220" s="451">
        <v>81139</v>
      </c>
      <c r="BL220" s="451">
        <v>64911</v>
      </c>
      <c r="BM220" s="451">
        <v>14605</v>
      </c>
      <c r="BN220" s="451">
        <v>1623</v>
      </c>
      <c r="BO220" s="451">
        <v>162278</v>
      </c>
      <c r="BP220" s="451">
        <v>0</v>
      </c>
      <c r="BQ220" s="451">
        <v>0</v>
      </c>
      <c r="BR220" s="451">
        <v>0</v>
      </c>
      <c r="BS220" s="451">
        <v>0</v>
      </c>
      <c r="BT220" s="451">
        <v>0</v>
      </c>
      <c r="BU220" s="451">
        <v>89028</v>
      </c>
      <c r="BV220" s="451">
        <v>71222</v>
      </c>
      <c r="BW220" s="451">
        <v>16025</v>
      </c>
      <c r="BX220" s="451">
        <v>1781</v>
      </c>
      <c r="BY220" s="451">
        <v>178056</v>
      </c>
      <c r="BZ220" s="451">
        <v>89028</v>
      </c>
      <c r="CA220" s="451">
        <v>71222</v>
      </c>
      <c r="CB220" s="451">
        <v>16025</v>
      </c>
      <c r="CC220" s="451">
        <v>1781</v>
      </c>
      <c r="CD220" s="451">
        <v>178056</v>
      </c>
      <c r="CE220" s="104"/>
      <c r="CF220" s="104"/>
      <c r="CG220" s="104"/>
    </row>
    <row r="221" spans="1:85" ht="12.75" x14ac:dyDescent="0.2">
      <c r="A221" s="446">
        <v>214</v>
      </c>
      <c r="B221" s="447" t="s">
        <v>311</v>
      </c>
      <c r="C221" s="448" t="s">
        <v>1093</v>
      </c>
      <c r="D221" s="449" t="s">
        <v>1095</v>
      </c>
      <c r="E221" s="450" t="s">
        <v>310</v>
      </c>
      <c r="F221" s="451">
        <v>6062213</v>
      </c>
      <c r="G221" s="451">
        <v>4849770</v>
      </c>
      <c r="H221" s="451">
        <v>1091198</v>
      </c>
      <c r="I221" s="451">
        <v>121244</v>
      </c>
      <c r="J221" s="451">
        <v>12124425</v>
      </c>
      <c r="K221" s="451">
        <v>0</v>
      </c>
      <c r="L221" s="451">
        <v>0</v>
      </c>
      <c r="M221" s="451">
        <v>6062213</v>
      </c>
      <c r="N221" s="451">
        <v>12124425</v>
      </c>
      <c r="O221" s="451">
        <v>101007</v>
      </c>
      <c r="P221" s="451">
        <v>101007</v>
      </c>
      <c r="Q221" s="451">
        <v>0</v>
      </c>
      <c r="R221" s="451">
        <v>0</v>
      </c>
      <c r="S221" s="451">
        <v>0</v>
      </c>
      <c r="T221" s="451">
        <v>0</v>
      </c>
      <c r="U221" s="451">
        <v>0</v>
      </c>
      <c r="V221" s="451">
        <v>0</v>
      </c>
      <c r="W221" s="451">
        <v>0</v>
      </c>
      <c r="X221" s="451">
        <v>0</v>
      </c>
      <c r="Y221" s="451">
        <v>0</v>
      </c>
      <c r="Z221" s="451">
        <v>0</v>
      </c>
      <c r="AA221" s="451">
        <v>0</v>
      </c>
      <c r="AB221" s="451">
        <v>532796.76</v>
      </c>
      <c r="AC221" s="451">
        <v>426238</v>
      </c>
      <c r="AD221" s="451">
        <v>95903</v>
      </c>
      <c r="AE221" s="451">
        <v>10656</v>
      </c>
      <c r="AF221" s="451">
        <v>1065593.76</v>
      </c>
      <c r="AG221" s="451">
        <v>11967.22</v>
      </c>
      <c r="AH221" s="451">
        <v>9574</v>
      </c>
      <c r="AI221" s="451">
        <v>2154</v>
      </c>
      <c r="AJ221" s="451">
        <v>239</v>
      </c>
      <c r="AK221" s="451">
        <v>23934.22</v>
      </c>
      <c r="AL221" s="451">
        <v>127094</v>
      </c>
      <c r="AM221" s="451">
        <v>101676</v>
      </c>
      <c r="AN221" s="451">
        <v>22877</v>
      </c>
      <c r="AO221" s="451">
        <v>2542</v>
      </c>
      <c r="AP221" s="451">
        <v>254189</v>
      </c>
      <c r="AQ221" s="451">
        <v>307470</v>
      </c>
      <c r="AR221" s="451">
        <v>245976</v>
      </c>
      <c r="AS221" s="451">
        <v>55345</v>
      </c>
      <c r="AT221" s="451">
        <v>6149</v>
      </c>
      <c r="AU221" s="451">
        <v>614940</v>
      </c>
      <c r="AV221" s="451">
        <v>434564</v>
      </c>
      <c r="AW221" s="451">
        <v>347652</v>
      </c>
      <c r="AX221" s="451">
        <v>78222</v>
      </c>
      <c r="AY221" s="451">
        <v>8691</v>
      </c>
      <c r="AZ221" s="451">
        <v>869129</v>
      </c>
      <c r="BA221" s="451">
        <v>0</v>
      </c>
      <c r="BB221" s="451">
        <v>0</v>
      </c>
      <c r="BC221" s="451">
        <v>0</v>
      </c>
      <c r="BD221" s="451">
        <v>0</v>
      </c>
      <c r="BE221" s="451">
        <v>0</v>
      </c>
      <c r="BF221" s="451">
        <v>99414</v>
      </c>
      <c r="BG221" s="451">
        <v>79531</v>
      </c>
      <c r="BH221" s="451">
        <v>17894</v>
      </c>
      <c r="BI221" s="451">
        <v>1988</v>
      </c>
      <c r="BJ221" s="451">
        <v>198827</v>
      </c>
      <c r="BK221" s="451">
        <v>99414</v>
      </c>
      <c r="BL221" s="451">
        <v>79531</v>
      </c>
      <c r="BM221" s="451">
        <v>17894</v>
      </c>
      <c r="BN221" s="451">
        <v>1988</v>
      </c>
      <c r="BO221" s="451">
        <v>198827</v>
      </c>
      <c r="BP221" s="451">
        <v>0</v>
      </c>
      <c r="BQ221" s="451">
        <v>0</v>
      </c>
      <c r="BR221" s="451">
        <v>0</v>
      </c>
      <c r="BS221" s="451">
        <v>0</v>
      </c>
      <c r="BT221" s="451">
        <v>0</v>
      </c>
      <c r="BU221" s="451">
        <v>130572</v>
      </c>
      <c r="BV221" s="451">
        <v>104458</v>
      </c>
      <c r="BW221" s="451">
        <v>23503</v>
      </c>
      <c r="BX221" s="451">
        <v>2611</v>
      </c>
      <c r="BY221" s="451">
        <v>261144</v>
      </c>
      <c r="BZ221" s="451">
        <v>130572</v>
      </c>
      <c r="CA221" s="451">
        <v>104458</v>
      </c>
      <c r="CB221" s="451">
        <v>23503</v>
      </c>
      <c r="CC221" s="451">
        <v>2611</v>
      </c>
      <c r="CD221" s="451">
        <v>261144</v>
      </c>
      <c r="CE221" s="104"/>
      <c r="CF221" s="104"/>
      <c r="CG221" s="104"/>
    </row>
    <row r="222" spans="1:85" ht="12.75" x14ac:dyDescent="0.2">
      <c r="A222" s="446">
        <v>215</v>
      </c>
      <c r="B222" s="447" t="s">
        <v>313</v>
      </c>
      <c r="C222" s="448" t="s">
        <v>1093</v>
      </c>
      <c r="D222" s="449" t="s">
        <v>1094</v>
      </c>
      <c r="E222" s="450" t="s">
        <v>312</v>
      </c>
      <c r="F222" s="451">
        <v>7603249</v>
      </c>
      <c r="G222" s="451">
        <v>6082599</v>
      </c>
      <c r="H222" s="451">
        <v>1368585</v>
      </c>
      <c r="I222" s="451">
        <v>152065</v>
      </c>
      <c r="J222" s="451">
        <v>15206498</v>
      </c>
      <c r="K222" s="451">
        <v>0</v>
      </c>
      <c r="L222" s="451">
        <v>0</v>
      </c>
      <c r="M222" s="451">
        <v>7603249</v>
      </c>
      <c r="N222" s="451">
        <v>15206498</v>
      </c>
      <c r="O222" s="451">
        <v>136326</v>
      </c>
      <c r="P222" s="451">
        <v>136326</v>
      </c>
      <c r="Q222" s="451">
        <v>0</v>
      </c>
      <c r="R222" s="451">
        <v>0</v>
      </c>
      <c r="S222" s="451">
        <v>0</v>
      </c>
      <c r="T222" s="451">
        <v>0</v>
      </c>
      <c r="U222" s="451">
        <v>0</v>
      </c>
      <c r="V222" s="451">
        <v>0</v>
      </c>
      <c r="W222" s="451">
        <v>0</v>
      </c>
      <c r="X222" s="451">
        <v>0</v>
      </c>
      <c r="Y222" s="451">
        <v>0</v>
      </c>
      <c r="Z222" s="451">
        <v>0</v>
      </c>
      <c r="AA222" s="451">
        <v>0</v>
      </c>
      <c r="AB222" s="451">
        <v>313202.24</v>
      </c>
      <c r="AC222" s="451">
        <v>250562</v>
      </c>
      <c r="AD222" s="451">
        <v>56376</v>
      </c>
      <c r="AE222" s="451">
        <v>6264</v>
      </c>
      <c r="AF222" s="451">
        <v>626404.24</v>
      </c>
      <c r="AG222" s="451">
        <v>31563.56</v>
      </c>
      <c r="AH222" s="451">
        <v>25251</v>
      </c>
      <c r="AI222" s="451">
        <v>5681</v>
      </c>
      <c r="AJ222" s="451">
        <v>631</v>
      </c>
      <c r="AK222" s="451">
        <v>63126.559999999998</v>
      </c>
      <c r="AL222" s="451">
        <v>187266.48</v>
      </c>
      <c r="AM222" s="451">
        <v>149813</v>
      </c>
      <c r="AN222" s="451">
        <v>33708</v>
      </c>
      <c r="AO222" s="451">
        <v>3745</v>
      </c>
      <c r="AP222" s="451">
        <v>374532.48</v>
      </c>
      <c r="AQ222" s="451">
        <v>19285.91</v>
      </c>
      <c r="AR222" s="451">
        <v>15429</v>
      </c>
      <c r="AS222" s="451">
        <v>3472</v>
      </c>
      <c r="AT222" s="451">
        <v>386</v>
      </c>
      <c r="AU222" s="451">
        <v>38572.910000000003</v>
      </c>
      <c r="AV222" s="451">
        <v>206552.39</v>
      </c>
      <c r="AW222" s="451">
        <v>165242</v>
      </c>
      <c r="AX222" s="451">
        <v>37180</v>
      </c>
      <c r="AY222" s="451">
        <v>4131</v>
      </c>
      <c r="AZ222" s="451">
        <v>413105.39</v>
      </c>
      <c r="BA222" s="451">
        <v>0</v>
      </c>
      <c r="BB222" s="451">
        <v>0</v>
      </c>
      <c r="BC222" s="451">
        <v>0</v>
      </c>
      <c r="BD222" s="451">
        <v>0</v>
      </c>
      <c r="BE222" s="451">
        <v>0</v>
      </c>
      <c r="BF222" s="451">
        <v>138000</v>
      </c>
      <c r="BG222" s="451">
        <v>110400</v>
      </c>
      <c r="BH222" s="451">
        <v>24840</v>
      </c>
      <c r="BI222" s="451">
        <v>2760</v>
      </c>
      <c r="BJ222" s="451">
        <v>276000</v>
      </c>
      <c r="BK222" s="451">
        <v>138000</v>
      </c>
      <c r="BL222" s="451">
        <v>110400</v>
      </c>
      <c r="BM222" s="451">
        <v>24840</v>
      </c>
      <c r="BN222" s="451">
        <v>2760</v>
      </c>
      <c r="BO222" s="451">
        <v>276000</v>
      </c>
      <c r="BP222" s="451">
        <v>0</v>
      </c>
      <c r="BQ222" s="451">
        <v>0</v>
      </c>
      <c r="BR222" s="451">
        <v>0</v>
      </c>
      <c r="BS222" s="451">
        <v>0</v>
      </c>
      <c r="BT222" s="451">
        <v>0</v>
      </c>
      <c r="BU222" s="451">
        <v>375500</v>
      </c>
      <c r="BV222" s="451">
        <v>300400</v>
      </c>
      <c r="BW222" s="451">
        <v>67590</v>
      </c>
      <c r="BX222" s="451">
        <v>7510</v>
      </c>
      <c r="BY222" s="451">
        <v>751000</v>
      </c>
      <c r="BZ222" s="451">
        <v>375500</v>
      </c>
      <c r="CA222" s="451">
        <v>300400</v>
      </c>
      <c r="CB222" s="451">
        <v>67590</v>
      </c>
      <c r="CC222" s="451">
        <v>7510</v>
      </c>
      <c r="CD222" s="451">
        <v>751000</v>
      </c>
      <c r="CE222" s="104"/>
      <c r="CF222" s="104"/>
      <c r="CG222" s="104"/>
    </row>
    <row r="223" spans="1:85" ht="12.75" x14ac:dyDescent="0.2">
      <c r="A223" s="446">
        <v>216</v>
      </c>
      <c r="B223" s="447" t="s">
        <v>315</v>
      </c>
      <c r="C223" s="448" t="s">
        <v>1100</v>
      </c>
      <c r="D223" s="449" t="s">
        <v>1101</v>
      </c>
      <c r="E223" s="450" t="s">
        <v>314</v>
      </c>
      <c r="F223" s="451">
        <v>32179680</v>
      </c>
      <c r="G223" s="451">
        <v>31536087</v>
      </c>
      <c r="H223" s="451">
        <v>0</v>
      </c>
      <c r="I223" s="451">
        <v>643594</v>
      </c>
      <c r="J223" s="451">
        <v>64359361</v>
      </c>
      <c r="K223" s="451">
        <v>420349</v>
      </c>
      <c r="L223" s="451">
        <v>420349</v>
      </c>
      <c r="M223" s="451">
        <v>31759331</v>
      </c>
      <c r="N223" s="451">
        <v>63939012</v>
      </c>
      <c r="O223" s="451">
        <v>310277</v>
      </c>
      <c r="P223" s="451">
        <v>310277</v>
      </c>
      <c r="Q223" s="451">
        <v>0</v>
      </c>
      <c r="R223" s="451">
        <v>0</v>
      </c>
      <c r="S223" s="451">
        <v>0</v>
      </c>
      <c r="T223" s="451">
        <v>0</v>
      </c>
      <c r="U223" s="451">
        <v>115440</v>
      </c>
      <c r="V223" s="451">
        <v>0</v>
      </c>
      <c r="W223" s="451">
        <v>115440</v>
      </c>
      <c r="X223" s="451">
        <v>420349</v>
      </c>
      <c r="Y223" s="451">
        <v>0</v>
      </c>
      <c r="Z223" s="451">
        <v>0</v>
      </c>
      <c r="AA223" s="451">
        <v>420349</v>
      </c>
      <c r="AB223" s="451">
        <v>1289239</v>
      </c>
      <c r="AC223" s="451">
        <v>1263454</v>
      </c>
      <c r="AD223" s="451">
        <v>0</v>
      </c>
      <c r="AE223" s="451">
        <v>25785</v>
      </c>
      <c r="AF223" s="451">
        <v>2578478</v>
      </c>
      <c r="AG223" s="451">
        <v>273933</v>
      </c>
      <c r="AH223" s="451">
        <v>268454</v>
      </c>
      <c r="AI223" s="451">
        <v>0</v>
      </c>
      <c r="AJ223" s="451">
        <v>5479</v>
      </c>
      <c r="AK223" s="451">
        <v>547866</v>
      </c>
      <c r="AL223" s="451">
        <v>350000</v>
      </c>
      <c r="AM223" s="451">
        <v>343000</v>
      </c>
      <c r="AN223" s="451">
        <v>0</v>
      </c>
      <c r="AO223" s="451">
        <v>7000</v>
      </c>
      <c r="AP223" s="451">
        <v>700000</v>
      </c>
      <c r="AQ223" s="451">
        <v>135264</v>
      </c>
      <c r="AR223" s="451">
        <v>132558</v>
      </c>
      <c r="AS223" s="451">
        <v>0</v>
      </c>
      <c r="AT223" s="451">
        <v>2705</v>
      </c>
      <c r="AU223" s="451">
        <v>270527</v>
      </c>
      <c r="AV223" s="451">
        <v>485264</v>
      </c>
      <c r="AW223" s="451">
        <v>475558</v>
      </c>
      <c r="AX223" s="451">
        <v>0</v>
      </c>
      <c r="AY223" s="451">
        <v>9705</v>
      </c>
      <c r="AZ223" s="451">
        <v>970527</v>
      </c>
      <c r="BA223" s="451">
        <v>0</v>
      </c>
      <c r="BB223" s="451">
        <v>0</v>
      </c>
      <c r="BC223" s="451">
        <v>0</v>
      </c>
      <c r="BD223" s="451">
        <v>0</v>
      </c>
      <c r="BE223" s="451">
        <v>0</v>
      </c>
      <c r="BF223" s="451">
        <v>1083595</v>
      </c>
      <c r="BG223" s="451">
        <v>1061923</v>
      </c>
      <c r="BH223" s="451">
        <v>0</v>
      </c>
      <c r="BI223" s="451">
        <v>21672</v>
      </c>
      <c r="BJ223" s="451">
        <v>2167190</v>
      </c>
      <c r="BK223" s="451">
        <v>1083595</v>
      </c>
      <c r="BL223" s="451">
        <v>1061923</v>
      </c>
      <c r="BM223" s="451">
        <v>0</v>
      </c>
      <c r="BN223" s="451">
        <v>21672</v>
      </c>
      <c r="BO223" s="451">
        <v>2167190</v>
      </c>
      <c r="BP223" s="451">
        <v>0</v>
      </c>
      <c r="BQ223" s="451">
        <v>0</v>
      </c>
      <c r="BR223" s="451">
        <v>0</v>
      </c>
      <c r="BS223" s="451">
        <v>0</v>
      </c>
      <c r="BT223" s="451">
        <v>0</v>
      </c>
      <c r="BU223" s="451">
        <v>2401636</v>
      </c>
      <c r="BV223" s="451">
        <v>2353603</v>
      </c>
      <c r="BW223" s="451">
        <v>0</v>
      </c>
      <c r="BX223" s="451">
        <v>48033</v>
      </c>
      <c r="BY223" s="451">
        <v>4803272</v>
      </c>
      <c r="BZ223" s="451">
        <v>2401636</v>
      </c>
      <c r="CA223" s="451">
        <v>2353603</v>
      </c>
      <c r="CB223" s="451">
        <v>0</v>
      </c>
      <c r="CC223" s="451">
        <v>48033</v>
      </c>
      <c r="CD223" s="451">
        <v>4803272</v>
      </c>
      <c r="CE223" s="104"/>
      <c r="CF223" s="104"/>
      <c r="CG223" s="104"/>
    </row>
    <row r="224" spans="1:85" ht="12.75" x14ac:dyDescent="0.2">
      <c r="A224" s="446">
        <v>217</v>
      </c>
      <c r="B224" s="447" t="s">
        <v>317</v>
      </c>
      <c r="C224" s="448" t="s">
        <v>1093</v>
      </c>
      <c r="D224" s="449" t="s">
        <v>1103</v>
      </c>
      <c r="E224" s="450" t="s">
        <v>316</v>
      </c>
      <c r="F224" s="451">
        <v>18840132</v>
      </c>
      <c r="G224" s="451">
        <v>15072105</v>
      </c>
      <c r="H224" s="451">
        <v>3768026</v>
      </c>
      <c r="I224" s="451">
        <v>0</v>
      </c>
      <c r="J224" s="451">
        <v>37680263</v>
      </c>
      <c r="K224" s="451">
        <v>0</v>
      </c>
      <c r="L224" s="451">
        <v>0</v>
      </c>
      <c r="M224" s="451">
        <v>18840132</v>
      </c>
      <c r="N224" s="451">
        <v>37680263</v>
      </c>
      <c r="O224" s="451">
        <v>135187</v>
      </c>
      <c r="P224" s="451">
        <v>135187</v>
      </c>
      <c r="Q224" s="451">
        <v>0</v>
      </c>
      <c r="R224" s="451">
        <v>0</v>
      </c>
      <c r="S224" s="451">
        <v>0</v>
      </c>
      <c r="T224" s="451">
        <v>0</v>
      </c>
      <c r="U224" s="451">
        <v>0</v>
      </c>
      <c r="V224" s="451">
        <v>0</v>
      </c>
      <c r="W224" s="451">
        <v>0</v>
      </c>
      <c r="X224" s="451">
        <v>0</v>
      </c>
      <c r="Y224" s="451">
        <v>0</v>
      </c>
      <c r="Z224" s="451">
        <v>0</v>
      </c>
      <c r="AA224" s="451">
        <v>0</v>
      </c>
      <c r="AB224" s="451">
        <v>502248</v>
      </c>
      <c r="AC224" s="451">
        <v>401799</v>
      </c>
      <c r="AD224" s="451">
        <v>100450</v>
      </c>
      <c r="AE224" s="451">
        <v>0</v>
      </c>
      <c r="AF224" s="451">
        <v>1004497</v>
      </c>
      <c r="AG224" s="451">
        <v>286627</v>
      </c>
      <c r="AH224" s="451">
        <v>229302</v>
      </c>
      <c r="AI224" s="451">
        <v>57326</v>
      </c>
      <c r="AJ224" s="451">
        <v>0</v>
      </c>
      <c r="AK224" s="451">
        <v>573255</v>
      </c>
      <c r="AL224" s="451">
        <v>75659</v>
      </c>
      <c r="AM224" s="451">
        <v>60528</v>
      </c>
      <c r="AN224" s="451">
        <v>15132</v>
      </c>
      <c r="AO224" s="451">
        <v>0</v>
      </c>
      <c r="AP224" s="451">
        <v>151319</v>
      </c>
      <c r="AQ224" s="451">
        <v>13537</v>
      </c>
      <c r="AR224" s="451">
        <v>10830</v>
      </c>
      <c r="AS224" s="451">
        <v>2707</v>
      </c>
      <c r="AT224" s="451">
        <v>0</v>
      </c>
      <c r="AU224" s="451">
        <v>27074</v>
      </c>
      <c r="AV224" s="451">
        <v>89196</v>
      </c>
      <c r="AW224" s="451">
        <v>71358</v>
      </c>
      <c r="AX224" s="451">
        <v>17839</v>
      </c>
      <c r="AY224" s="451">
        <v>0</v>
      </c>
      <c r="AZ224" s="451">
        <v>178393</v>
      </c>
      <c r="BA224" s="451">
        <v>0</v>
      </c>
      <c r="BB224" s="451">
        <v>0</v>
      </c>
      <c r="BC224" s="451">
        <v>0</v>
      </c>
      <c r="BD224" s="451">
        <v>0</v>
      </c>
      <c r="BE224" s="451">
        <v>0</v>
      </c>
      <c r="BF224" s="451">
        <v>212237</v>
      </c>
      <c r="BG224" s="451">
        <v>169789</v>
      </c>
      <c r="BH224" s="451">
        <v>42447</v>
      </c>
      <c r="BI224" s="451">
        <v>0</v>
      </c>
      <c r="BJ224" s="451">
        <v>424473</v>
      </c>
      <c r="BK224" s="451">
        <v>212237</v>
      </c>
      <c r="BL224" s="451">
        <v>169789</v>
      </c>
      <c r="BM224" s="451">
        <v>42447</v>
      </c>
      <c r="BN224" s="451">
        <v>0</v>
      </c>
      <c r="BO224" s="451">
        <v>424473</v>
      </c>
      <c r="BP224" s="451">
        <v>0</v>
      </c>
      <c r="BQ224" s="451">
        <v>0</v>
      </c>
      <c r="BR224" s="451">
        <v>0</v>
      </c>
      <c r="BS224" s="451">
        <v>0</v>
      </c>
      <c r="BT224" s="451">
        <v>0</v>
      </c>
      <c r="BU224" s="451">
        <v>888474</v>
      </c>
      <c r="BV224" s="451">
        <v>710780</v>
      </c>
      <c r="BW224" s="451">
        <v>177695</v>
      </c>
      <c r="BX224" s="451">
        <v>0</v>
      </c>
      <c r="BY224" s="451">
        <v>1776949</v>
      </c>
      <c r="BZ224" s="451">
        <v>888474</v>
      </c>
      <c r="CA224" s="451">
        <v>710780</v>
      </c>
      <c r="CB224" s="451">
        <v>177695</v>
      </c>
      <c r="CC224" s="451">
        <v>0</v>
      </c>
      <c r="CD224" s="451">
        <v>1776949</v>
      </c>
      <c r="CE224" s="104"/>
      <c r="CF224" s="104"/>
      <c r="CG224" s="104"/>
    </row>
    <row r="225" spans="1:85" ht="12.75" x14ac:dyDescent="0.2">
      <c r="A225" s="446">
        <v>218</v>
      </c>
      <c r="B225" s="447" t="s">
        <v>319</v>
      </c>
      <c r="C225" s="448" t="s">
        <v>1093</v>
      </c>
      <c r="D225" s="449" t="s">
        <v>1094</v>
      </c>
      <c r="E225" s="450" t="s">
        <v>318</v>
      </c>
      <c r="F225" s="451">
        <v>20178675</v>
      </c>
      <c r="G225" s="451">
        <v>16142940</v>
      </c>
      <c r="H225" s="451">
        <v>4035735</v>
      </c>
      <c r="I225" s="451">
        <v>0</v>
      </c>
      <c r="J225" s="451">
        <v>40357350</v>
      </c>
      <c r="K225" s="451">
        <v>0</v>
      </c>
      <c r="L225" s="451">
        <v>0</v>
      </c>
      <c r="M225" s="451">
        <v>20178675</v>
      </c>
      <c r="N225" s="451">
        <v>40357350</v>
      </c>
      <c r="O225" s="451">
        <v>128572</v>
      </c>
      <c r="P225" s="451">
        <v>128572</v>
      </c>
      <c r="Q225" s="451">
        <v>0</v>
      </c>
      <c r="R225" s="451">
        <v>0</v>
      </c>
      <c r="S225" s="451">
        <v>0</v>
      </c>
      <c r="T225" s="451">
        <v>0</v>
      </c>
      <c r="U225" s="451">
        <v>0</v>
      </c>
      <c r="V225" s="451">
        <v>0</v>
      </c>
      <c r="W225" s="451">
        <v>0</v>
      </c>
      <c r="X225" s="451">
        <v>0</v>
      </c>
      <c r="Y225" s="451">
        <v>0</v>
      </c>
      <c r="Z225" s="451">
        <v>0</v>
      </c>
      <c r="AA225" s="451">
        <v>0</v>
      </c>
      <c r="AB225" s="451">
        <v>678539</v>
      </c>
      <c r="AC225" s="451">
        <v>542832</v>
      </c>
      <c r="AD225" s="451">
        <v>135708</v>
      </c>
      <c r="AE225" s="451">
        <v>0</v>
      </c>
      <c r="AF225" s="451">
        <v>1357079</v>
      </c>
      <c r="AG225" s="451">
        <v>-413280</v>
      </c>
      <c r="AH225" s="451">
        <v>-330624</v>
      </c>
      <c r="AI225" s="451">
        <v>-82656</v>
      </c>
      <c r="AJ225" s="451">
        <v>0</v>
      </c>
      <c r="AK225" s="451">
        <v>-826560</v>
      </c>
      <c r="AL225" s="451">
        <v>188000</v>
      </c>
      <c r="AM225" s="451">
        <v>150400</v>
      </c>
      <c r="AN225" s="451">
        <v>37600</v>
      </c>
      <c r="AO225" s="451">
        <v>0</v>
      </c>
      <c r="AP225" s="451">
        <v>376000</v>
      </c>
      <c r="AQ225" s="451">
        <v>176600</v>
      </c>
      <c r="AR225" s="451">
        <v>141280</v>
      </c>
      <c r="AS225" s="451">
        <v>35320</v>
      </c>
      <c r="AT225" s="451">
        <v>0</v>
      </c>
      <c r="AU225" s="451">
        <v>353200</v>
      </c>
      <c r="AV225" s="451">
        <v>364600</v>
      </c>
      <c r="AW225" s="451">
        <v>291680</v>
      </c>
      <c r="AX225" s="451">
        <v>72920</v>
      </c>
      <c r="AY225" s="451">
        <v>0</v>
      </c>
      <c r="AZ225" s="451">
        <v>729200</v>
      </c>
      <c r="BA225" s="451">
        <v>0</v>
      </c>
      <c r="BB225" s="451">
        <v>0</v>
      </c>
      <c r="BC225" s="451">
        <v>0</v>
      </c>
      <c r="BD225" s="451">
        <v>0</v>
      </c>
      <c r="BE225" s="451">
        <v>0</v>
      </c>
      <c r="BF225" s="451">
        <v>286602</v>
      </c>
      <c r="BG225" s="451">
        <v>229282</v>
      </c>
      <c r="BH225" s="451">
        <v>57321</v>
      </c>
      <c r="BI225" s="451">
        <v>0</v>
      </c>
      <c r="BJ225" s="451">
        <v>573205</v>
      </c>
      <c r="BK225" s="451">
        <v>286602</v>
      </c>
      <c r="BL225" s="451">
        <v>229282</v>
      </c>
      <c r="BM225" s="451">
        <v>57321</v>
      </c>
      <c r="BN225" s="451">
        <v>0</v>
      </c>
      <c r="BO225" s="451">
        <v>573205</v>
      </c>
      <c r="BP225" s="451">
        <v>0</v>
      </c>
      <c r="BQ225" s="451">
        <v>0</v>
      </c>
      <c r="BR225" s="451">
        <v>0</v>
      </c>
      <c r="BS225" s="451">
        <v>0</v>
      </c>
      <c r="BT225" s="451">
        <v>0</v>
      </c>
      <c r="BU225" s="451">
        <v>828774</v>
      </c>
      <c r="BV225" s="451">
        <v>663020</v>
      </c>
      <c r="BW225" s="451">
        <v>165755</v>
      </c>
      <c r="BX225" s="451">
        <v>0</v>
      </c>
      <c r="BY225" s="451">
        <v>1657549</v>
      </c>
      <c r="BZ225" s="451">
        <v>828774</v>
      </c>
      <c r="CA225" s="451">
        <v>663020</v>
      </c>
      <c r="CB225" s="451">
        <v>165755</v>
      </c>
      <c r="CC225" s="451">
        <v>0</v>
      </c>
      <c r="CD225" s="451">
        <v>1657549</v>
      </c>
      <c r="CE225" s="104"/>
      <c r="CF225" s="104"/>
      <c r="CG225" s="104"/>
    </row>
    <row r="226" spans="1:85" ht="12.75" x14ac:dyDescent="0.2">
      <c r="A226" s="446">
        <v>219</v>
      </c>
      <c r="B226" s="447" t="s">
        <v>321</v>
      </c>
      <c r="C226" s="448" t="s">
        <v>1093</v>
      </c>
      <c r="D226" s="449" t="s">
        <v>1096</v>
      </c>
      <c r="E226" s="450" t="s">
        <v>320</v>
      </c>
      <c r="F226" s="451">
        <v>12410145</v>
      </c>
      <c r="G226" s="451">
        <v>9928116</v>
      </c>
      <c r="H226" s="451">
        <v>2233826</v>
      </c>
      <c r="I226" s="451">
        <v>248203</v>
      </c>
      <c r="J226" s="451">
        <v>24820290</v>
      </c>
      <c r="K226" s="451">
        <v>0</v>
      </c>
      <c r="L226" s="451">
        <v>0</v>
      </c>
      <c r="M226" s="451">
        <v>12410145</v>
      </c>
      <c r="N226" s="451">
        <v>24820290</v>
      </c>
      <c r="O226" s="451">
        <v>110790</v>
      </c>
      <c r="P226" s="451">
        <v>110790</v>
      </c>
      <c r="Q226" s="451">
        <v>0</v>
      </c>
      <c r="R226" s="451">
        <v>0</v>
      </c>
      <c r="S226" s="451">
        <v>0</v>
      </c>
      <c r="T226" s="451">
        <v>0</v>
      </c>
      <c r="U226" s="451">
        <v>0</v>
      </c>
      <c r="V226" s="451">
        <v>0</v>
      </c>
      <c r="W226" s="451">
        <v>0</v>
      </c>
      <c r="X226" s="451">
        <v>0</v>
      </c>
      <c r="Y226" s="451">
        <v>0</v>
      </c>
      <c r="Z226" s="451">
        <v>0</v>
      </c>
      <c r="AA226" s="451">
        <v>0</v>
      </c>
      <c r="AB226" s="451">
        <v>262143.29</v>
      </c>
      <c r="AC226" s="451">
        <v>209715</v>
      </c>
      <c r="AD226" s="451">
        <v>47186</v>
      </c>
      <c r="AE226" s="451">
        <v>5243</v>
      </c>
      <c r="AF226" s="451">
        <v>524287.29</v>
      </c>
      <c r="AG226" s="451">
        <v>187890.31</v>
      </c>
      <c r="AH226" s="451">
        <v>150312</v>
      </c>
      <c r="AI226" s="451">
        <v>33820</v>
      </c>
      <c r="AJ226" s="451">
        <v>3758</v>
      </c>
      <c r="AK226" s="451">
        <v>375780.31</v>
      </c>
      <c r="AL226" s="451">
        <v>0</v>
      </c>
      <c r="AM226" s="451">
        <v>0</v>
      </c>
      <c r="AN226" s="451">
        <v>0</v>
      </c>
      <c r="AO226" s="451">
        <v>0</v>
      </c>
      <c r="AP226" s="451">
        <v>0</v>
      </c>
      <c r="AQ226" s="451">
        <v>-65800</v>
      </c>
      <c r="AR226" s="451">
        <v>-52640</v>
      </c>
      <c r="AS226" s="451">
        <v>-11844</v>
      </c>
      <c r="AT226" s="451">
        <v>-1316</v>
      </c>
      <c r="AU226" s="451">
        <v>-131600</v>
      </c>
      <c r="AV226" s="451">
        <v>-65800</v>
      </c>
      <c r="AW226" s="451">
        <v>-52640</v>
      </c>
      <c r="AX226" s="451">
        <v>-11844</v>
      </c>
      <c r="AY226" s="451">
        <v>-1316</v>
      </c>
      <c r="AZ226" s="451">
        <v>-131600</v>
      </c>
      <c r="BA226" s="451">
        <v>0</v>
      </c>
      <c r="BB226" s="451">
        <v>0</v>
      </c>
      <c r="BC226" s="451">
        <v>0</v>
      </c>
      <c r="BD226" s="451">
        <v>0</v>
      </c>
      <c r="BE226" s="451">
        <v>0</v>
      </c>
      <c r="BF226" s="451">
        <v>171111</v>
      </c>
      <c r="BG226" s="451">
        <v>136889</v>
      </c>
      <c r="BH226" s="451">
        <v>30800</v>
      </c>
      <c r="BI226" s="451">
        <v>3422</v>
      </c>
      <c r="BJ226" s="451">
        <v>342222</v>
      </c>
      <c r="BK226" s="451">
        <v>171111</v>
      </c>
      <c r="BL226" s="451">
        <v>136889</v>
      </c>
      <c r="BM226" s="451">
        <v>30800</v>
      </c>
      <c r="BN226" s="451">
        <v>3422</v>
      </c>
      <c r="BO226" s="451">
        <v>342222</v>
      </c>
      <c r="BP226" s="451">
        <v>0</v>
      </c>
      <c r="BQ226" s="451">
        <v>0</v>
      </c>
      <c r="BR226" s="451">
        <v>0</v>
      </c>
      <c r="BS226" s="451">
        <v>0</v>
      </c>
      <c r="BT226" s="451">
        <v>0</v>
      </c>
      <c r="BU226" s="451">
        <v>474097</v>
      </c>
      <c r="BV226" s="451">
        <v>379278</v>
      </c>
      <c r="BW226" s="451">
        <v>85338</v>
      </c>
      <c r="BX226" s="451">
        <v>9482</v>
      </c>
      <c r="BY226" s="451">
        <v>948195</v>
      </c>
      <c r="BZ226" s="451">
        <v>474097</v>
      </c>
      <c r="CA226" s="451">
        <v>379278</v>
      </c>
      <c r="CB226" s="451">
        <v>85338</v>
      </c>
      <c r="CC226" s="451">
        <v>9482</v>
      </c>
      <c r="CD226" s="451">
        <v>948195</v>
      </c>
      <c r="CE226" s="104"/>
      <c r="CF226" s="104"/>
      <c r="CG226" s="104"/>
    </row>
    <row r="227" spans="1:85" ht="12.75" x14ac:dyDescent="0.2">
      <c r="A227" s="446">
        <v>220</v>
      </c>
      <c r="B227" s="447" t="s">
        <v>323</v>
      </c>
      <c r="C227" s="448" t="s">
        <v>1093</v>
      </c>
      <c r="D227" s="449" t="s">
        <v>1094</v>
      </c>
      <c r="E227" s="450" t="s">
        <v>322</v>
      </c>
      <c r="F227" s="451">
        <v>16158769</v>
      </c>
      <c r="G227" s="451">
        <v>12927016</v>
      </c>
      <c r="H227" s="451">
        <v>2908579</v>
      </c>
      <c r="I227" s="451">
        <v>323175</v>
      </c>
      <c r="J227" s="451">
        <v>32317539</v>
      </c>
      <c r="K227" s="451">
        <v>0</v>
      </c>
      <c r="L227" s="451">
        <v>0</v>
      </c>
      <c r="M227" s="451">
        <v>16158769</v>
      </c>
      <c r="N227" s="451">
        <v>32317539</v>
      </c>
      <c r="O227" s="451">
        <v>124561</v>
      </c>
      <c r="P227" s="451">
        <v>124561</v>
      </c>
      <c r="Q227" s="451">
        <v>0</v>
      </c>
      <c r="R227" s="451">
        <v>0</v>
      </c>
      <c r="S227" s="451">
        <v>0</v>
      </c>
      <c r="T227" s="451">
        <v>0</v>
      </c>
      <c r="U227" s="451">
        <v>0</v>
      </c>
      <c r="V227" s="451">
        <v>0</v>
      </c>
      <c r="W227" s="451">
        <v>0</v>
      </c>
      <c r="X227" s="451">
        <v>0</v>
      </c>
      <c r="Y227" s="451">
        <v>0</v>
      </c>
      <c r="Z227" s="451">
        <v>0</v>
      </c>
      <c r="AA227" s="451">
        <v>0</v>
      </c>
      <c r="AB227" s="451">
        <v>698607</v>
      </c>
      <c r="AC227" s="451">
        <v>558886</v>
      </c>
      <c r="AD227" s="451">
        <v>125749</v>
      </c>
      <c r="AE227" s="451">
        <v>13972</v>
      </c>
      <c r="AF227" s="451">
        <v>1397214</v>
      </c>
      <c r="AG227" s="451">
        <v>580230</v>
      </c>
      <c r="AH227" s="451">
        <v>464184</v>
      </c>
      <c r="AI227" s="451">
        <v>104441</v>
      </c>
      <c r="AJ227" s="451">
        <v>11605</v>
      </c>
      <c r="AK227" s="451">
        <v>1160460</v>
      </c>
      <c r="AL227" s="451">
        <v>119801</v>
      </c>
      <c r="AM227" s="451">
        <v>95840</v>
      </c>
      <c r="AN227" s="451">
        <v>21564</v>
      </c>
      <c r="AO227" s="451">
        <v>2396</v>
      </c>
      <c r="AP227" s="451">
        <v>239601</v>
      </c>
      <c r="AQ227" s="451">
        <v>42376.73</v>
      </c>
      <c r="AR227" s="451">
        <v>33902</v>
      </c>
      <c r="AS227" s="451">
        <v>7628</v>
      </c>
      <c r="AT227" s="451">
        <v>848</v>
      </c>
      <c r="AU227" s="451">
        <v>84754.73</v>
      </c>
      <c r="AV227" s="451">
        <v>162177.73000000001</v>
      </c>
      <c r="AW227" s="451">
        <v>129742</v>
      </c>
      <c r="AX227" s="451">
        <v>29192</v>
      </c>
      <c r="AY227" s="451">
        <v>3244</v>
      </c>
      <c r="AZ227" s="451">
        <v>324355.73</v>
      </c>
      <c r="BA227" s="451">
        <v>0</v>
      </c>
      <c r="BB227" s="451">
        <v>0</v>
      </c>
      <c r="BC227" s="451">
        <v>0</v>
      </c>
      <c r="BD227" s="451">
        <v>0</v>
      </c>
      <c r="BE227" s="451">
        <v>0</v>
      </c>
      <c r="BF227" s="451">
        <v>1516279</v>
      </c>
      <c r="BG227" s="451">
        <v>1213023</v>
      </c>
      <c r="BH227" s="451">
        <v>272930</v>
      </c>
      <c r="BI227" s="451">
        <v>30326</v>
      </c>
      <c r="BJ227" s="451">
        <v>3032558</v>
      </c>
      <c r="BK227" s="451">
        <v>1516279</v>
      </c>
      <c r="BL227" s="451">
        <v>1213023</v>
      </c>
      <c r="BM227" s="451">
        <v>272930</v>
      </c>
      <c r="BN227" s="451">
        <v>30326</v>
      </c>
      <c r="BO227" s="451">
        <v>3032558</v>
      </c>
      <c r="BP227" s="451">
        <v>0</v>
      </c>
      <c r="BQ227" s="451">
        <v>0</v>
      </c>
      <c r="BR227" s="451">
        <v>0</v>
      </c>
      <c r="BS227" s="451">
        <v>0</v>
      </c>
      <c r="BT227" s="451">
        <v>0</v>
      </c>
      <c r="BU227" s="451">
        <v>3831786</v>
      </c>
      <c r="BV227" s="451">
        <v>3065430</v>
      </c>
      <c r="BW227" s="451">
        <v>689722</v>
      </c>
      <c r="BX227" s="451">
        <v>76636</v>
      </c>
      <c r="BY227" s="451">
        <v>7663574</v>
      </c>
      <c r="BZ227" s="451">
        <v>3831786</v>
      </c>
      <c r="CA227" s="451">
        <v>3065430</v>
      </c>
      <c r="CB227" s="451">
        <v>689722</v>
      </c>
      <c r="CC227" s="451">
        <v>76636</v>
      </c>
      <c r="CD227" s="451">
        <v>7663574</v>
      </c>
      <c r="CE227" s="104"/>
      <c r="CF227" s="104"/>
      <c r="CG227" s="104"/>
    </row>
    <row r="228" spans="1:85" ht="12.75" x14ac:dyDescent="0.2">
      <c r="A228" s="446">
        <v>221</v>
      </c>
      <c r="B228" s="447" t="s">
        <v>325</v>
      </c>
      <c r="C228" s="448" t="s">
        <v>794</v>
      </c>
      <c r="D228" s="449" t="s">
        <v>1096</v>
      </c>
      <c r="E228" s="450" t="s">
        <v>742</v>
      </c>
      <c r="F228" s="451">
        <v>4602424</v>
      </c>
      <c r="G228" s="451">
        <v>4510376</v>
      </c>
      <c r="H228" s="451">
        <v>0</v>
      </c>
      <c r="I228" s="451">
        <v>92048</v>
      </c>
      <c r="J228" s="451">
        <v>9204848</v>
      </c>
      <c r="K228" s="451">
        <v>0</v>
      </c>
      <c r="L228" s="451">
        <v>0</v>
      </c>
      <c r="M228" s="451">
        <v>4602424</v>
      </c>
      <c r="N228" s="451">
        <v>9204848</v>
      </c>
      <c r="O228" s="451">
        <v>53206</v>
      </c>
      <c r="P228" s="451">
        <v>53206</v>
      </c>
      <c r="Q228" s="451">
        <v>0</v>
      </c>
      <c r="R228" s="451">
        <v>0</v>
      </c>
      <c r="S228" s="451">
        <v>0</v>
      </c>
      <c r="T228" s="451">
        <v>0</v>
      </c>
      <c r="U228" s="451">
        <v>0</v>
      </c>
      <c r="V228" s="451">
        <v>0</v>
      </c>
      <c r="W228" s="451">
        <v>0</v>
      </c>
      <c r="X228" s="451">
        <v>0</v>
      </c>
      <c r="Y228" s="451">
        <v>0</v>
      </c>
      <c r="Z228" s="451">
        <v>0</v>
      </c>
      <c r="AA228" s="451">
        <v>0</v>
      </c>
      <c r="AB228" s="451">
        <v>104210</v>
      </c>
      <c r="AC228" s="451">
        <v>102125</v>
      </c>
      <c r="AD228" s="451">
        <v>0</v>
      </c>
      <c r="AE228" s="451">
        <v>2084</v>
      </c>
      <c r="AF228" s="451">
        <v>208419</v>
      </c>
      <c r="AG228" s="451">
        <v>47908</v>
      </c>
      <c r="AH228" s="451">
        <v>46949</v>
      </c>
      <c r="AI228" s="451">
        <v>0</v>
      </c>
      <c r="AJ228" s="451">
        <v>958</v>
      </c>
      <c r="AK228" s="451">
        <v>95815</v>
      </c>
      <c r="AL228" s="451">
        <v>46770</v>
      </c>
      <c r="AM228" s="451">
        <v>45835</v>
      </c>
      <c r="AN228" s="451">
        <v>0</v>
      </c>
      <c r="AO228" s="451">
        <v>935</v>
      </c>
      <c r="AP228" s="451">
        <v>93540</v>
      </c>
      <c r="AQ228" s="451">
        <v>5335</v>
      </c>
      <c r="AR228" s="451">
        <v>5228</v>
      </c>
      <c r="AS228" s="451">
        <v>0</v>
      </c>
      <c r="AT228" s="451">
        <v>107</v>
      </c>
      <c r="AU228" s="451">
        <v>10670</v>
      </c>
      <c r="AV228" s="451">
        <v>52105</v>
      </c>
      <c r="AW228" s="451">
        <v>51063</v>
      </c>
      <c r="AX228" s="451">
        <v>0</v>
      </c>
      <c r="AY228" s="451">
        <v>1042</v>
      </c>
      <c r="AZ228" s="451">
        <v>104210</v>
      </c>
      <c r="BA228" s="451">
        <v>0</v>
      </c>
      <c r="BB228" s="451">
        <v>0</v>
      </c>
      <c r="BC228" s="451">
        <v>0</v>
      </c>
      <c r="BD228" s="451">
        <v>0</v>
      </c>
      <c r="BE228" s="451">
        <v>0</v>
      </c>
      <c r="BF228" s="451">
        <v>69215.19</v>
      </c>
      <c r="BG228" s="451">
        <v>67831</v>
      </c>
      <c r="BH228" s="451">
        <v>0</v>
      </c>
      <c r="BI228" s="451">
        <v>1384</v>
      </c>
      <c r="BJ228" s="451">
        <v>138430.19</v>
      </c>
      <c r="BK228" s="451">
        <v>69215.19</v>
      </c>
      <c r="BL228" s="451">
        <v>67831</v>
      </c>
      <c r="BM228" s="451">
        <v>0</v>
      </c>
      <c r="BN228" s="451">
        <v>1384</v>
      </c>
      <c r="BO228" s="451">
        <v>138430.19</v>
      </c>
      <c r="BP228" s="451">
        <v>0</v>
      </c>
      <c r="BQ228" s="451">
        <v>0</v>
      </c>
      <c r="BR228" s="451">
        <v>0</v>
      </c>
      <c r="BS228" s="451">
        <v>0</v>
      </c>
      <c r="BT228" s="451">
        <v>0</v>
      </c>
      <c r="BU228" s="451">
        <v>139872.21</v>
      </c>
      <c r="BV228" s="451">
        <v>137074</v>
      </c>
      <c r="BW228" s="451">
        <v>0</v>
      </c>
      <c r="BX228" s="451">
        <v>2797</v>
      </c>
      <c r="BY228" s="451">
        <v>279743.21000000002</v>
      </c>
      <c r="BZ228" s="451">
        <v>139872.21</v>
      </c>
      <c r="CA228" s="451">
        <v>137074</v>
      </c>
      <c r="CB228" s="451">
        <v>0</v>
      </c>
      <c r="CC228" s="451">
        <v>2797</v>
      </c>
      <c r="CD228" s="451">
        <v>279743.21000000002</v>
      </c>
      <c r="CE228" s="104"/>
      <c r="CF228" s="104"/>
      <c r="CG228" s="104"/>
    </row>
    <row r="229" spans="1:85" ht="12.75" x14ac:dyDescent="0.2">
      <c r="A229" s="446">
        <v>222</v>
      </c>
      <c r="B229" s="447" t="s">
        <v>327</v>
      </c>
      <c r="C229" s="448" t="s">
        <v>1093</v>
      </c>
      <c r="D229" s="449" t="s">
        <v>1101</v>
      </c>
      <c r="E229" s="450" t="s">
        <v>326</v>
      </c>
      <c r="F229" s="451">
        <v>6928673</v>
      </c>
      <c r="G229" s="451">
        <v>5542938</v>
      </c>
      <c r="H229" s="451">
        <v>1247161</v>
      </c>
      <c r="I229" s="451">
        <v>138573</v>
      </c>
      <c r="J229" s="451">
        <v>13857345</v>
      </c>
      <c r="K229" s="451">
        <v>0</v>
      </c>
      <c r="L229" s="451">
        <v>0</v>
      </c>
      <c r="M229" s="451">
        <v>6928673</v>
      </c>
      <c r="N229" s="451">
        <v>13857345</v>
      </c>
      <c r="O229" s="451">
        <v>111364</v>
      </c>
      <c r="P229" s="451">
        <v>111364</v>
      </c>
      <c r="Q229" s="451">
        <v>0</v>
      </c>
      <c r="R229" s="451">
        <v>0</v>
      </c>
      <c r="S229" s="451">
        <v>0</v>
      </c>
      <c r="T229" s="451">
        <v>0</v>
      </c>
      <c r="U229" s="451">
        <v>0</v>
      </c>
      <c r="V229" s="451">
        <v>0</v>
      </c>
      <c r="W229" s="451">
        <v>0</v>
      </c>
      <c r="X229" s="451">
        <v>0</v>
      </c>
      <c r="Y229" s="451">
        <v>0</v>
      </c>
      <c r="Z229" s="451">
        <v>0</v>
      </c>
      <c r="AA229" s="451">
        <v>0</v>
      </c>
      <c r="AB229" s="451">
        <v>105579.13</v>
      </c>
      <c r="AC229" s="451">
        <v>84464</v>
      </c>
      <c r="AD229" s="451">
        <v>19004</v>
      </c>
      <c r="AE229" s="451">
        <v>2112</v>
      </c>
      <c r="AF229" s="451">
        <v>211159.13</v>
      </c>
      <c r="AG229" s="451">
        <v>74691</v>
      </c>
      <c r="AH229" s="451">
        <v>59754</v>
      </c>
      <c r="AI229" s="451">
        <v>13445</v>
      </c>
      <c r="AJ229" s="451">
        <v>1494</v>
      </c>
      <c r="AK229" s="451">
        <v>149384</v>
      </c>
      <c r="AL229" s="451">
        <v>50000</v>
      </c>
      <c r="AM229" s="451">
        <v>40000</v>
      </c>
      <c r="AN229" s="451">
        <v>9000</v>
      </c>
      <c r="AO229" s="451">
        <v>1000</v>
      </c>
      <c r="AP229" s="451">
        <v>100000</v>
      </c>
      <c r="AQ229" s="451">
        <v>0</v>
      </c>
      <c r="AR229" s="451">
        <v>0</v>
      </c>
      <c r="AS229" s="451">
        <v>0</v>
      </c>
      <c r="AT229" s="451">
        <v>0</v>
      </c>
      <c r="AU229" s="451">
        <v>0</v>
      </c>
      <c r="AV229" s="451">
        <v>50000</v>
      </c>
      <c r="AW229" s="451">
        <v>40000</v>
      </c>
      <c r="AX229" s="451">
        <v>9000</v>
      </c>
      <c r="AY229" s="451">
        <v>1000</v>
      </c>
      <c r="AZ229" s="451">
        <v>100000</v>
      </c>
      <c r="BA229" s="451">
        <v>0</v>
      </c>
      <c r="BB229" s="451">
        <v>0</v>
      </c>
      <c r="BC229" s="451">
        <v>0</v>
      </c>
      <c r="BD229" s="451">
        <v>0</v>
      </c>
      <c r="BE229" s="451">
        <v>0</v>
      </c>
      <c r="BF229" s="451">
        <v>169000</v>
      </c>
      <c r="BG229" s="451">
        <v>135200</v>
      </c>
      <c r="BH229" s="451">
        <v>30420</v>
      </c>
      <c r="BI229" s="451">
        <v>3380</v>
      </c>
      <c r="BJ229" s="451">
        <v>338000</v>
      </c>
      <c r="BK229" s="451">
        <v>169000</v>
      </c>
      <c r="BL229" s="451">
        <v>135200</v>
      </c>
      <c r="BM229" s="451">
        <v>30420</v>
      </c>
      <c r="BN229" s="451">
        <v>3380</v>
      </c>
      <c r="BO229" s="451">
        <v>338000</v>
      </c>
      <c r="BP229" s="451">
        <v>0</v>
      </c>
      <c r="BQ229" s="451">
        <v>0</v>
      </c>
      <c r="BR229" s="451">
        <v>0</v>
      </c>
      <c r="BS229" s="451">
        <v>0</v>
      </c>
      <c r="BT229" s="451">
        <v>0</v>
      </c>
      <c r="BU229" s="451">
        <v>465500</v>
      </c>
      <c r="BV229" s="451">
        <v>372400</v>
      </c>
      <c r="BW229" s="451">
        <v>83790</v>
      </c>
      <c r="BX229" s="451">
        <v>9310</v>
      </c>
      <c r="BY229" s="451">
        <v>931000</v>
      </c>
      <c r="BZ229" s="451">
        <v>465500</v>
      </c>
      <c r="CA229" s="451">
        <v>372400</v>
      </c>
      <c r="CB229" s="451">
        <v>83790</v>
      </c>
      <c r="CC229" s="451">
        <v>9310</v>
      </c>
      <c r="CD229" s="451">
        <v>931000</v>
      </c>
      <c r="CE229" s="104"/>
      <c r="CF229" s="104"/>
      <c r="CG229" s="104"/>
    </row>
    <row r="230" spans="1:85" ht="12.75" x14ac:dyDescent="0.2">
      <c r="A230" s="446">
        <v>223</v>
      </c>
      <c r="B230" s="447" t="s">
        <v>329</v>
      </c>
      <c r="C230" s="448" t="s">
        <v>1100</v>
      </c>
      <c r="D230" s="449" t="s">
        <v>1095</v>
      </c>
      <c r="E230" s="450" t="s">
        <v>328</v>
      </c>
      <c r="F230" s="451">
        <v>44071807</v>
      </c>
      <c r="G230" s="451">
        <v>43190371</v>
      </c>
      <c r="H230" s="451">
        <v>0</v>
      </c>
      <c r="I230" s="451">
        <v>881436</v>
      </c>
      <c r="J230" s="451">
        <v>88143614</v>
      </c>
      <c r="K230" s="451">
        <v>0</v>
      </c>
      <c r="L230" s="451">
        <v>0</v>
      </c>
      <c r="M230" s="451">
        <v>44071807</v>
      </c>
      <c r="N230" s="451">
        <v>88143614</v>
      </c>
      <c r="O230" s="451">
        <v>439400</v>
      </c>
      <c r="P230" s="451">
        <v>439400</v>
      </c>
      <c r="Q230" s="451">
        <v>0</v>
      </c>
      <c r="R230" s="451">
        <v>0</v>
      </c>
      <c r="S230" s="451">
        <v>0</v>
      </c>
      <c r="T230" s="451">
        <v>0</v>
      </c>
      <c r="U230" s="451">
        <v>0</v>
      </c>
      <c r="V230" s="451">
        <v>0</v>
      </c>
      <c r="W230" s="451">
        <v>0</v>
      </c>
      <c r="X230" s="451">
        <v>0</v>
      </c>
      <c r="Y230" s="451">
        <v>0</v>
      </c>
      <c r="Z230" s="451">
        <v>0</v>
      </c>
      <c r="AA230" s="451">
        <v>0</v>
      </c>
      <c r="AB230" s="451">
        <v>9709935</v>
      </c>
      <c r="AC230" s="451">
        <v>9515737</v>
      </c>
      <c r="AD230" s="451">
        <v>0</v>
      </c>
      <c r="AE230" s="451">
        <v>194199</v>
      </c>
      <c r="AF230" s="451">
        <v>19419871</v>
      </c>
      <c r="AG230" s="451">
        <v>1674393</v>
      </c>
      <c r="AH230" s="451">
        <v>1640905</v>
      </c>
      <c r="AI230" s="451">
        <v>0</v>
      </c>
      <c r="AJ230" s="451">
        <v>33488</v>
      </c>
      <c r="AK230" s="451">
        <v>3348786</v>
      </c>
      <c r="AL230" s="451">
        <v>2803467</v>
      </c>
      <c r="AM230" s="451">
        <v>2747398</v>
      </c>
      <c r="AN230" s="451">
        <v>0</v>
      </c>
      <c r="AO230" s="451">
        <v>56069</v>
      </c>
      <c r="AP230" s="451">
        <v>5606934</v>
      </c>
      <c r="AQ230" s="451">
        <v>1640031</v>
      </c>
      <c r="AR230" s="451">
        <v>1607231</v>
      </c>
      <c r="AS230" s="451">
        <v>0</v>
      </c>
      <c r="AT230" s="451">
        <v>32801</v>
      </c>
      <c r="AU230" s="451">
        <v>3280063</v>
      </c>
      <c r="AV230" s="451">
        <v>4443498</v>
      </c>
      <c r="AW230" s="451">
        <v>4354629</v>
      </c>
      <c r="AX230" s="451">
        <v>0</v>
      </c>
      <c r="AY230" s="451">
        <v>88870</v>
      </c>
      <c r="AZ230" s="451">
        <v>8886997</v>
      </c>
      <c r="BA230" s="451">
        <v>0</v>
      </c>
      <c r="BB230" s="451">
        <v>0</v>
      </c>
      <c r="BC230" s="451">
        <v>0</v>
      </c>
      <c r="BD230" s="451">
        <v>0</v>
      </c>
      <c r="BE230" s="451">
        <v>0</v>
      </c>
      <c r="BF230" s="451">
        <v>1004986</v>
      </c>
      <c r="BG230" s="451">
        <v>984887</v>
      </c>
      <c r="BH230" s="451">
        <v>0</v>
      </c>
      <c r="BI230" s="451">
        <v>20100</v>
      </c>
      <c r="BJ230" s="451">
        <v>2009973</v>
      </c>
      <c r="BK230" s="451">
        <v>1004986</v>
      </c>
      <c r="BL230" s="451">
        <v>984887</v>
      </c>
      <c r="BM230" s="451">
        <v>0</v>
      </c>
      <c r="BN230" s="451">
        <v>20100</v>
      </c>
      <c r="BO230" s="451">
        <v>2009973</v>
      </c>
      <c r="BP230" s="451">
        <v>0</v>
      </c>
      <c r="BQ230" s="451">
        <v>0</v>
      </c>
      <c r="BR230" s="451">
        <v>0</v>
      </c>
      <c r="BS230" s="451">
        <v>0</v>
      </c>
      <c r="BT230" s="451">
        <v>0</v>
      </c>
      <c r="BU230" s="451">
        <v>2270045</v>
      </c>
      <c r="BV230" s="451">
        <v>2224645</v>
      </c>
      <c r="BW230" s="451">
        <v>0</v>
      </c>
      <c r="BX230" s="451">
        <v>45401</v>
      </c>
      <c r="BY230" s="451">
        <v>4540091</v>
      </c>
      <c r="BZ230" s="451">
        <v>2270045</v>
      </c>
      <c r="CA230" s="451">
        <v>2224645</v>
      </c>
      <c r="CB230" s="451">
        <v>0</v>
      </c>
      <c r="CC230" s="451">
        <v>45401</v>
      </c>
      <c r="CD230" s="451">
        <v>4540091</v>
      </c>
      <c r="CE230" s="104"/>
      <c r="CF230" s="104"/>
      <c r="CG230" s="104"/>
    </row>
    <row r="231" spans="1:85" ht="12.75" x14ac:dyDescent="0.2">
      <c r="A231" s="446">
        <v>224</v>
      </c>
      <c r="B231" s="447" t="s">
        <v>331</v>
      </c>
      <c r="C231" s="448" t="s">
        <v>1100</v>
      </c>
      <c r="D231" s="449" t="s">
        <v>1103</v>
      </c>
      <c r="E231" s="450" t="s">
        <v>330</v>
      </c>
      <c r="F231" s="451">
        <v>47452758</v>
      </c>
      <c r="G231" s="451">
        <v>46503702</v>
      </c>
      <c r="H231" s="451">
        <v>0</v>
      </c>
      <c r="I231" s="451">
        <v>949055</v>
      </c>
      <c r="J231" s="451">
        <v>94905515</v>
      </c>
      <c r="K231" s="451">
        <v>0</v>
      </c>
      <c r="L231" s="451">
        <v>0</v>
      </c>
      <c r="M231" s="451">
        <v>47452758</v>
      </c>
      <c r="N231" s="451">
        <v>94905515</v>
      </c>
      <c r="O231" s="451">
        <v>438871</v>
      </c>
      <c r="P231" s="451">
        <v>438871</v>
      </c>
      <c r="Q231" s="451">
        <v>0</v>
      </c>
      <c r="R231" s="451">
        <v>0</v>
      </c>
      <c r="S231" s="451">
        <v>0</v>
      </c>
      <c r="T231" s="451">
        <v>0</v>
      </c>
      <c r="U231" s="451">
        <v>0</v>
      </c>
      <c r="V231" s="451">
        <v>0</v>
      </c>
      <c r="W231" s="451">
        <v>0</v>
      </c>
      <c r="X231" s="451">
        <v>0</v>
      </c>
      <c r="Y231" s="451">
        <v>0</v>
      </c>
      <c r="Z231" s="451">
        <v>0</v>
      </c>
      <c r="AA231" s="451">
        <v>0</v>
      </c>
      <c r="AB231" s="451">
        <v>2462509</v>
      </c>
      <c r="AC231" s="451">
        <v>2413258</v>
      </c>
      <c r="AD231" s="451">
        <v>0</v>
      </c>
      <c r="AE231" s="451">
        <v>49250</v>
      </c>
      <c r="AF231" s="451">
        <v>4925017</v>
      </c>
      <c r="AG231" s="451">
        <v>-530830</v>
      </c>
      <c r="AH231" s="451">
        <v>-520213</v>
      </c>
      <c r="AI231" s="451">
        <v>0</v>
      </c>
      <c r="AJ231" s="451">
        <v>-10617</v>
      </c>
      <c r="AK231" s="451">
        <v>-1061660</v>
      </c>
      <c r="AL231" s="451">
        <v>746370</v>
      </c>
      <c r="AM231" s="451">
        <v>731443</v>
      </c>
      <c r="AN231" s="451">
        <v>0</v>
      </c>
      <c r="AO231" s="451">
        <v>14927</v>
      </c>
      <c r="AP231" s="451">
        <v>1492740</v>
      </c>
      <c r="AQ231" s="451">
        <v>-35513</v>
      </c>
      <c r="AR231" s="451">
        <v>-34803</v>
      </c>
      <c r="AS231" s="451">
        <v>0</v>
      </c>
      <c r="AT231" s="451">
        <v>-710</v>
      </c>
      <c r="AU231" s="451">
        <v>-71026</v>
      </c>
      <c r="AV231" s="451">
        <v>710857</v>
      </c>
      <c r="AW231" s="451">
        <v>696640</v>
      </c>
      <c r="AX231" s="451">
        <v>0</v>
      </c>
      <c r="AY231" s="451">
        <v>14217</v>
      </c>
      <c r="AZ231" s="451">
        <v>1421714</v>
      </c>
      <c r="BA231" s="451">
        <v>0</v>
      </c>
      <c r="BB231" s="451">
        <v>0</v>
      </c>
      <c r="BC231" s="451">
        <v>0</v>
      </c>
      <c r="BD231" s="451">
        <v>0</v>
      </c>
      <c r="BE231" s="451">
        <v>0</v>
      </c>
      <c r="BF231" s="451">
        <v>550000</v>
      </c>
      <c r="BG231" s="451">
        <v>539000</v>
      </c>
      <c r="BH231" s="451">
        <v>0</v>
      </c>
      <c r="BI231" s="451">
        <v>11000</v>
      </c>
      <c r="BJ231" s="451">
        <v>1100000</v>
      </c>
      <c r="BK231" s="451">
        <v>550000</v>
      </c>
      <c r="BL231" s="451">
        <v>539000</v>
      </c>
      <c r="BM231" s="451">
        <v>0</v>
      </c>
      <c r="BN231" s="451">
        <v>11000</v>
      </c>
      <c r="BO231" s="451">
        <v>1100000</v>
      </c>
      <c r="BP231" s="451">
        <v>0</v>
      </c>
      <c r="BQ231" s="451">
        <v>0</v>
      </c>
      <c r="BR231" s="451">
        <v>0</v>
      </c>
      <c r="BS231" s="451">
        <v>0</v>
      </c>
      <c r="BT231" s="451">
        <v>0</v>
      </c>
      <c r="BU231" s="451">
        <v>500000</v>
      </c>
      <c r="BV231" s="451">
        <v>490000</v>
      </c>
      <c r="BW231" s="451">
        <v>0</v>
      </c>
      <c r="BX231" s="451">
        <v>10000</v>
      </c>
      <c r="BY231" s="451">
        <v>1000000</v>
      </c>
      <c r="BZ231" s="451">
        <v>500000</v>
      </c>
      <c r="CA231" s="451">
        <v>490000</v>
      </c>
      <c r="CB231" s="451">
        <v>0</v>
      </c>
      <c r="CC231" s="451">
        <v>10000</v>
      </c>
      <c r="CD231" s="451">
        <v>1000000</v>
      </c>
      <c r="CE231" s="104"/>
      <c r="CF231" s="104"/>
      <c r="CG231" s="104"/>
    </row>
    <row r="232" spans="1:85" ht="12.75" x14ac:dyDescent="0.2">
      <c r="A232" s="446">
        <v>225</v>
      </c>
      <c r="B232" s="447" t="s">
        <v>333</v>
      </c>
      <c r="C232" s="448" t="s">
        <v>1093</v>
      </c>
      <c r="D232" s="449" t="s">
        <v>1101</v>
      </c>
      <c r="E232" s="450" t="s">
        <v>332</v>
      </c>
      <c r="F232" s="451">
        <v>14524603</v>
      </c>
      <c r="G232" s="451">
        <v>11619683</v>
      </c>
      <c r="H232" s="451">
        <v>2614429</v>
      </c>
      <c r="I232" s="451">
        <v>290492</v>
      </c>
      <c r="J232" s="451">
        <v>29049207</v>
      </c>
      <c r="K232" s="451">
        <v>0</v>
      </c>
      <c r="L232" s="451">
        <v>0</v>
      </c>
      <c r="M232" s="451">
        <v>14524603</v>
      </c>
      <c r="N232" s="451">
        <v>29049207</v>
      </c>
      <c r="O232" s="451">
        <v>247588</v>
      </c>
      <c r="P232" s="451">
        <v>247588</v>
      </c>
      <c r="Q232" s="451">
        <v>0</v>
      </c>
      <c r="R232" s="451">
        <v>0</v>
      </c>
      <c r="S232" s="451">
        <v>0</v>
      </c>
      <c r="T232" s="451">
        <v>0</v>
      </c>
      <c r="U232" s="451">
        <v>0</v>
      </c>
      <c r="V232" s="451">
        <v>0</v>
      </c>
      <c r="W232" s="451">
        <v>0</v>
      </c>
      <c r="X232" s="451">
        <v>0</v>
      </c>
      <c r="Y232" s="451">
        <v>0</v>
      </c>
      <c r="Z232" s="451">
        <v>0</v>
      </c>
      <c r="AA232" s="451">
        <v>0</v>
      </c>
      <c r="AB232" s="451">
        <v>650128</v>
      </c>
      <c r="AC232" s="451">
        <v>520102</v>
      </c>
      <c r="AD232" s="451">
        <v>117023</v>
      </c>
      <c r="AE232" s="451">
        <v>13003</v>
      </c>
      <c r="AF232" s="451">
        <v>1300256</v>
      </c>
      <c r="AG232" s="451">
        <v>378636</v>
      </c>
      <c r="AH232" s="451">
        <v>302908</v>
      </c>
      <c r="AI232" s="451">
        <v>68154</v>
      </c>
      <c r="AJ232" s="451">
        <v>7573</v>
      </c>
      <c r="AK232" s="451">
        <v>757271</v>
      </c>
      <c r="AL232" s="451">
        <v>235697</v>
      </c>
      <c r="AM232" s="451">
        <v>188558</v>
      </c>
      <c r="AN232" s="451">
        <v>42426</v>
      </c>
      <c r="AO232" s="451">
        <v>4714</v>
      </c>
      <c r="AP232" s="451">
        <v>471395</v>
      </c>
      <c r="AQ232" s="451">
        <v>68708</v>
      </c>
      <c r="AR232" s="451">
        <v>54966</v>
      </c>
      <c r="AS232" s="451">
        <v>12367</v>
      </c>
      <c r="AT232" s="451">
        <v>1374</v>
      </c>
      <c r="AU232" s="451">
        <v>137415</v>
      </c>
      <c r="AV232" s="451">
        <v>304405</v>
      </c>
      <c r="AW232" s="451">
        <v>243524</v>
      </c>
      <c r="AX232" s="451">
        <v>54793</v>
      </c>
      <c r="AY232" s="451">
        <v>6088</v>
      </c>
      <c r="AZ232" s="451">
        <v>608810</v>
      </c>
      <c r="BA232" s="451">
        <v>0</v>
      </c>
      <c r="BB232" s="451">
        <v>0</v>
      </c>
      <c r="BC232" s="451">
        <v>0</v>
      </c>
      <c r="BD232" s="451">
        <v>0</v>
      </c>
      <c r="BE232" s="451">
        <v>0</v>
      </c>
      <c r="BF232" s="451">
        <v>494591</v>
      </c>
      <c r="BG232" s="451">
        <v>395674</v>
      </c>
      <c r="BH232" s="451">
        <v>89027</v>
      </c>
      <c r="BI232" s="451">
        <v>9892</v>
      </c>
      <c r="BJ232" s="451">
        <v>989184</v>
      </c>
      <c r="BK232" s="451">
        <v>494591</v>
      </c>
      <c r="BL232" s="451">
        <v>395674</v>
      </c>
      <c r="BM232" s="451">
        <v>89027</v>
      </c>
      <c r="BN232" s="451">
        <v>9892</v>
      </c>
      <c r="BO232" s="451">
        <v>989184</v>
      </c>
      <c r="BP232" s="451">
        <v>0</v>
      </c>
      <c r="BQ232" s="451">
        <v>0</v>
      </c>
      <c r="BR232" s="451">
        <v>0</v>
      </c>
      <c r="BS232" s="451">
        <v>0</v>
      </c>
      <c r="BT232" s="451">
        <v>0</v>
      </c>
      <c r="BU232" s="451">
        <v>1311889</v>
      </c>
      <c r="BV232" s="451">
        <v>1049512</v>
      </c>
      <c r="BW232" s="451">
        <v>236140</v>
      </c>
      <c r="BX232" s="451">
        <v>26238</v>
      </c>
      <c r="BY232" s="451">
        <v>2623779</v>
      </c>
      <c r="BZ232" s="451">
        <v>1311889</v>
      </c>
      <c r="CA232" s="451">
        <v>1049512</v>
      </c>
      <c r="CB232" s="451">
        <v>236140</v>
      </c>
      <c r="CC232" s="451">
        <v>26238</v>
      </c>
      <c r="CD232" s="451">
        <v>2623779</v>
      </c>
      <c r="CE232" s="104"/>
      <c r="CF232" s="104"/>
      <c r="CG232" s="104"/>
    </row>
    <row r="233" spans="1:85" ht="12.75" x14ac:dyDescent="0.2">
      <c r="A233" s="446">
        <v>226</v>
      </c>
      <c r="B233" s="447" t="s">
        <v>335</v>
      </c>
      <c r="C233" s="448" t="s">
        <v>1093</v>
      </c>
      <c r="D233" s="449" t="s">
        <v>1102</v>
      </c>
      <c r="E233" s="450" t="s">
        <v>334</v>
      </c>
      <c r="F233" s="451">
        <v>15811141</v>
      </c>
      <c r="G233" s="451">
        <v>12648914</v>
      </c>
      <c r="H233" s="451">
        <v>2846006</v>
      </c>
      <c r="I233" s="451">
        <v>316223</v>
      </c>
      <c r="J233" s="451">
        <v>31622284</v>
      </c>
      <c r="K233" s="451">
        <v>0</v>
      </c>
      <c r="L233" s="451">
        <v>0</v>
      </c>
      <c r="M233" s="451">
        <v>15811141</v>
      </c>
      <c r="N233" s="451">
        <v>31622284</v>
      </c>
      <c r="O233" s="451">
        <v>162353</v>
      </c>
      <c r="P233" s="451">
        <v>162353</v>
      </c>
      <c r="Q233" s="451">
        <v>0</v>
      </c>
      <c r="R233" s="451">
        <v>0</v>
      </c>
      <c r="S233" s="451">
        <v>0</v>
      </c>
      <c r="T233" s="451">
        <v>0</v>
      </c>
      <c r="U233" s="451">
        <v>507</v>
      </c>
      <c r="V233" s="451">
        <v>0</v>
      </c>
      <c r="W233" s="451">
        <v>507</v>
      </c>
      <c r="X233" s="451">
        <v>0</v>
      </c>
      <c r="Y233" s="451">
        <v>0</v>
      </c>
      <c r="Z233" s="451">
        <v>0</v>
      </c>
      <c r="AA233" s="451">
        <v>0</v>
      </c>
      <c r="AB233" s="451">
        <v>583171</v>
      </c>
      <c r="AC233" s="451">
        <v>466537</v>
      </c>
      <c r="AD233" s="451">
        <v>104971</v>
      </c>
      <c r="AE233" s="451">
        <v>11663</v>
      </c>
      <c r="AF233" s="451">
        <v>1166342</v>
      </c>
      <c r="AG233" s="451">
        <v>146065</v>
      </c>
      <c r="AH233" s="451">
        <v>116852</v>
      </c>
      <c r="AI233" s="451">
        <v>26292</v>
      </c>
      <c r="AJ233" s="451">
        <v>2921</v>
      </c>
      <c r="AK233" s="451">
        <v>292130</v>
      </c>
      <c r="AL233" s="451">
        <v>111704</v>
      </c>
      <c r="AM233" s="451">
        <v>89364</v>
      </c>
      <c r="AN233" s="451">
        <v>20106</v>
      </c>
      <c r="AO233" s="451">
        <v>2234</v>
      </c>
      <c r="AP233" s="451">
        <v>223408</v>
      </c>
      <c r="AQ233" s="451">
        <v>139102</v>
      </c>
      <c r="AR233" s="451">
        <v>111281</v>
      </c>
      <c r="AS233" s="451">
        <v>25038</v>
      </c>
      <c r="AT233" s="451">
        <v>2782</v>
      </c>
      <c r="AU233" s="451">
        <v>278203</v>
      </c>
      <c r="AV233" s="451">
        <v>250806</v>
      </c>
      <c r="AW233" s="451">
        <v>200645</v>
      </c>
      <c r="AX233" s="451">
        <v>45144</v>
      </c>
      <c r="AY233" s="451">
        <v>5016</v>
      </c>
      <c r="AZ233" s="451">
        <v>501611</v>
      </c>
      <c r="BA233" s="451">
        <v>0</v>
      </c>
      <c r="BB233" s="451">
        <v>0</v>
      </c>
      <c r="BC233" s="451">
        <v>0</v>
      </c>
      <c r="BD233" s="451">
        <v>0</v>
      </c>
      <c r="BE233" s="451">
        <v>0</v>
      </c>
      <c r="BF233" s="451">
        <v>435699</v>
      </c>
      <c r="BG233" s="451">
        <v>348559</v>
      </c>
      <c r="BH233" s="451">
        <v>78426</v>
      </c>
      <c r="BI233" s="451">
        <v>8714</v>
      </c>
      <c r="BJ233" s="451">
        <v>871398</v>
      </c>
      <c r="BK233" s="451">
        <v>435699</v>
      </c>
      <c r="BL233" s="451">
        <v>348559</v>
      </c>
      <c r="BM233" s="451">
        <v>78426</v>
      </c>
      <c r="BN233" s="451">
        <v>8714</v>
      </c>
      <c r="BO233" s="451">
        <v>871398</v>
      </c>
      <c r="BP233" s="451">
        <v>0</v>
      </c>
      <c r="BQ233" s="451">
        <v>0</v>
      </c>
      <c r="BR233" s="451">
        <v>0</v>
      </c>
      <c r="BS233" s="451">
        <v>0</v>
      </c>
      <c r="BT233" s="451">
        <v>0</v>
      </c>
      <c r="BU233" s="451">
        <v>1099297</v>
      </c>
      <c r="BV233" s="451">
        <v>879438</v>
      </c>
      <c r="BW233" s="451">
        <v>197873</v>
      </c>
      <c r="BX233" s="451">
        <v>21986</v>
      </c>
      <c r="BY233" s="451">
        <v>2198594</v>
      </c>
      <c r="BZ233" s="451">
        <v>1099297</v>
      </c>
      <c r="CA233" s="451">
        <v>879438</v>
      </c>
      <c r="CB233" s="451">
        <v>197873</v>
      </c>
      <c r="CC233" s="451">
        <v>21986</v>
      </c>
      <c r="CD233" s="451">
        <v>2198594</v>
      </c>
      <c r="CE233" s="104"/>
      <c r="CF233" s="104"/>
      <c r="CG233" s="104"/>
    </row>
    <row r="234" spans="1:85" ht="12.75" x14ac:dyDescent="0.2">
      <c r="A234" s="446">
        <v>227</v>
      </c>
      <c r="B234" s="447" t="s">
        <v>337</v>
      </c>
      <c r="C234" s="448" t="s">
        <v>1100</v>
      </c>
      <c r="D234" s="449" t="s">
        <v>1095</v>
      </c>
      <c r="E234" s="450" t="s">
        <v>336</v>
      </c>
      <c r="F234" s="451">
        <v>31002186</v>
      </c>
      <c r="G234" s="451">
        <v>30382142</v>
      </c>
      <c r="H234" s="451">
        <v>0</v>
      </c>
      <c r="I234" s="451">
        <v>620044</v>
      </c>
      <c r="J234" s="451">
        <v>62004372</v>
      </c>
      <c r="K234" s="451">
        <v>0</v>
      </c>
      <c r="L234" s="451">
        <v>0</v>
      </c>
      <c r="M234" s="451">
        <v>31002186</v>
      </c>
      <c r="N234" s="451">
        <v>62004372</v>
      </c>
      <c r="O234" s="451">
        <v>322252</v>
      </c>
      <c r="P234" s="451">
        <v>322252</v>
      </c>
      <c r="Q234" s="451">
        <v>0</v>
      </c>
      <c r="R234" s="451">
        <v>0</v>
      </c>
      <c r="S234" s="451">
        <v>0</v>
      </c>
      <c r="T234" s="451">
        <v>0</v>
      </c>
      <c r="U234" s="451">
        <v>0</v>
      </c>
      <c r="V234" s="451">
        <v>0</v>
      </c>
      <c r="W234" s="451">
        <v>0</v>
      </c>
      <c r="X234" s="451">
        <v>0</v>
      </c>
      <c r="Y234" s="451">
        <v>0</v>
      </c>
      <c r="Z234" s="451">
        <v>0</v>
      </c>
      <c r="AA234" s="451">
        <v>0</v>
      </c>
      <c r="AB234" s="451">
        <v>1781818</v>
      </c>
      <c r="AC234" s="451">
        <v>1746182</v>
      </c>
      <c r="AD234" s="451">
        <v>0</v>
      </c>
      <c r="AE234" s="451">
        <v>35636</v>
      </c>
      <c r="AF234" s="451">
        <v>3563636</v>
      </c>
      <c r="AG234" s="451">
        <v>211683</v>
      </c>
      <c r="AH234" s="451">
        <v>207450</v>
      </c>
      <c r="AI234" s="451">
        <v>0</v>
      </c>
      <c r="AJ234" s="451">
        <v>4234</v>
      </c>
      <c r="AK234" s="451">
        <v>423367</v>
      </c>
      <c r="AL234" s="451">
        <v>1204635</v>
      </c>
      <c r="AM234" s="451">
        <v>1180542</v>
      </c>
      <c r="AN234" s="451">
        <v>0</v>
      </c>
      <c r="AO234" s="451">
        <v>24093</v>
      </c>
      <c r="AP234" s="451">
        <v>2409270</v>
      </c>
      <c r="AQ234" s="451">
        <v>-445085</v>
      </c>
      <c r="AR234" s="451">
        <v>-436183</v>
      </c>
      <c r="AS234" s="451">
        <v>0</v>
      </c>
      <c r="AT234" s="451">
        <v>-8902</v>
      </c>
      <c r="AU234" s="451">
        <v>-890170</v>
      </c>
      <c r="AV234" s="451">
        <v>759550</v>
      </c>
      <c r="AW234" s="451">
        <v>744359</v>
      </c>
      <c r="AX234" s="451">
        <v>0</v>
      </c>
      <c r="AY234" s="451">
        <v>15191</v>
      </c>
      <c r="AZ234" s="451">
        <v>1519100</v>
      </c>
      <c r="BA234" s="451">
        <v>0</v>
      </c>
      <c r="BB234" s="451">
        <v>0</v>
      </c>
      <c r="BC234" s="451">
        <v>0</v>
      </c>
      <c r="BD234" s="451">
        <v>0</v>
      </c>
      <c r="BE234" s="451">
        <v>0</v>
      </c>
      <c r="BF234" s="451">
        <v>663800</v>
      </c>
      <c r="BG234" s="451">
        <v>650524</v>
      </c>
      <c r="BH234" s="451">
        <v>0</v>
      </c>
      <c r="BI234" s="451">
        <v>13276</v>
      </c>
      <c r="BJ234" s="451">
        <v>1327600</v>
      </c>
      <c r="BK234" s="451">
        <v>663800</v>
      </c>
      <c r="BL234" s="451">
        <v>650524</v>
      </c>
      <c r="BM234" s="451">
        <v>0</v>
      </c>
      <c r="BN234" s="451">
        <v>13276</v>
      </c>
      <c r="BO234" s="451">
        <v>1327600</v>
      </c>
      <c r="BP234" s="451">
        <v>0</v>
      </c>
      <c r="BQ234" s="451">
        <v>0</v>
      </c>
      <c r="BR234" s="451">
        <v>0</v>
      </c>
      <c r="BS234" s="451">
        <v>0</v>
      </c>
      <c r="BT234" s="451">
        <v>0</v>
      </c>
      <c r="BU234" s="451">
        <v>1654000</v>
      </c>
      <c r="BV234" s="451">
        <v>1620920</v>
      </c>
      <c r="BW234" s="451">
        <v>0</v>
      </c>
      <c r="BX234" s="451">
        <v>33080</v>
      </c>
      <c r="BY234" s="451">
        <v>3308000</v>
      </c>
      <c r="BZ234" s="451">
        <v>1654000</v>
      </c>
      <c r="CA234" s="451">
        <v>1620920</v>
      </c>
      <c r="CB234" s="451">
        <v>0</v>
      </c>
      <c r="CC234" s="451">
        <v>33080</v>
      </c>
      <c r="CD234" s="451">
        <v>3308000</v>
      </c>
      <c r="CE234" s="104"/>
      <c r="CF234" s="104"/>
      <c r="CG234" s="104"/>
    </row>
    <row r="235" spans="1:85" ht="12.75" x14ac:dyDescent="0.2">
      <c r="A235" s="446">
        <v>228</v>
      </c>
      <c r="B235" s="447" t="s">
        <v>339</v>
      </c>
      <c r="C235" s="448" t="s">
        <v>1093</v>
      </c>
      <c r="D235" s="449" t="s">
        <v>1101</v>
      </c>
      <c r="E235" s="450" t="s">
        <v>338</v>
      </c>
      <c r="F235" s="451">
        <v>18044758</v>
      </c>
      <c r="G235" s="451">
        <v>14435807</v>
      </c>
      <c r="H235" s="451">
        <v>3248057</v>
      </c>
      <c r="I235" s="451">
        <v>360895</v>
      </c>
      <c r="J235" s="451">
        <v>36089517</v>
      </c>
      <c r="K235" s="451">
        <v>0</v>
      </c>
      <c r="L235" s="451">
        <v>0</v>
      </c>
      <c r="M235" s="451">
        <v>18044758</v>
      </c>
      <c r="N235" s="451">
        <v>36089517</v>
      </c>
      <c r="O235" s="451">
        <v>120601</v>
      </c>
      <c r="P235" s="451">
        <v>120601</v>
      </c>
      <c r="Q235" s="451">
        <v>0</v>
      </c>
      <c r="R235" s="451">
        <v>0</v>
      </c>
      <c r="S235" s="451">
        <v>0</v>
      </c>
      <c r="T235" s="451">
        <v>0</v>
      </c>
      <c r="U235" s="451">
        <v>9186</v>
      </c>
      <c r="V235" s="451">
        <v>0</v>
      </c>
      <c r="W235" s="451">
        <v>9186</v>
      </c>
      <c r="X235" s="451">
        <v>0</v>
      </c>
      <c r="Y235" s="451">
        <v>0</v>
      </c>
      <c r="Z235" s="451">
        <v>0</v>
      </c>
      <c r="AA235" s="451">
        <v>0</v>
      </c>
      <c r="AB235" s="451">
        <v>665209</v>
      </c>
      <c r="AC235" s="451">
        <v>532166</v>
      </c>
      <c r="AD235" s="451">
        <v>119737</v>
      </c>
      <c r="AE235" s="451">
        <v>13304</v>
      </c>
      <c r="AF235" s="451">
        <v>1330416</v>
      </c>
      <c r="AG235" s="451">
        <v>193014</v>
      </c>
      <c r="AH235" s="451">
        <v>154412</v>
      </c>
      <c r="AI235" s="451">
        <v>34743</v>
      </c>
      <c r="AJ235" s="451">
        <v>3860</v>
      </c>
      <c r="AK235" s="451">
        <v>386029</v>
      </c>
      <c r="AL235" s="451">
        <v>327783</v>
      </c>
      <c r="AM235" s="451">
        <v>262227</v>
      </c>
      <c r="AN235" s="451">
        <v>59001</v>
      </c>
      <c r="AO235" s="451">
        <v>6556</v>
      </c>
      <c r="AP235" s="451">
        <v>655567</v>
      </c>
      <c r="AQ235" s="451">
        <v>85215</v>
      </c>
      <c r="AR235" s="451">
        <v>68172</v>
      </c>
      <c r="AS235" s="451">
        <v>15339</v>
      </c>
      <c r="AT235" s="451">
        <v>1704</v>
      </c>
      <c r="AU235" s="451">
        <v>170430</v>
      </c>
      <c r="AV235" s="451">
        <v>412998</v>
      </c>
      <c r="AW235" s="451">
        <v>330399</v>
      </c>
      <c r="AX235" s="451">
        <v>74340</v>
      </c>
      <c r="AY235" s="451">
        <v>8260</v>
      </c>
      <c r="AZ235" s="451">
        <v>825997</v>
      </c>
      <c r="BA235" s="451">
        <v>0</v>
      </c>
      <c r="BB235" s="451">
        <v>0</v>
      </c>
      <c r="BC235" s="451">
        <v>0</v>
      </c>
      <c r="BD235" s="451">
        <v>0</v>
      </c>
      <c r="BE235" s="451">
        <v>0</v>
      </c>
      <c r="BF235" s="451">
        <v>184191</v>
      </c>
      <c r="BG235" s="451">
        <v>147353</v>
      </c>
      <c r="BH235" s="451">
        <v>33154</v>
      </c>
      <c r="BI235" s="451">
        <v>3684</v>
      </c>
      <c r="BJ235" s="451">
        <v>368382</v>
      </c>
      <c r="BK235" s="451">
        <v>184191</v>
      </c>
      <c r="BL235" s="451">
        <v>147353</v>
      </c>
      <c r="BM235" s="451">
        <v>33154</v>
      </c>
      <c r="BN235" s="451">
        <v>3684</v>
      </c>
      <c r="BO235" s="451">
        <v>368382</v>
      </c>
      <c r="BP235" s="451">
        <v>0</v>
      </c>
      <c r="BQ235" s="451">
        <v>0</v>
      </c>
      <c r="BR235" s="451">
        <v>0</v>
      </c>
      <c r="BS235" s="451">
        <v>0</v>
      </c>
      <c r="BT235" s="451">
        <v>0</v>
      </c>
      <c r="BU235" s="451">
        <v>458456</v>
      </c>
      <c r="BV235" s="451">
        <v>366765</v>
      </c>
      <c r="BW235" s="451">
        <v>82522</v>
      </c>
      <c r="BX235" s="451">
        <v>9169</v>
      </c>
      <c r="BY235" s="451">
        <v>916912</v>
      </c>
      <c r="BZ235" s="451">
        <v>458456</v>
      </c>
      <c r="CA235" s="451">
        <v>366765</v>
      </c>
      <c r="CB235" s="451">
        <v>82522</v>
      </c>
      <c r="CC235" s="451">
        <v>9169</v>
      </c>
      <c r="CD235" s="451">
        <v>916912</v>
      </c>
      <c r="CE235" s="104"/>
      <c r="CF235" s="104"/>
      <c r="CG235" s="104"/>
    </row>
    <row r="236" spans="1:85" ht="12.75" x14ac:dyDescent="0.2">
      <c r="A236" s="446">
        <v>229</v>
      </c>
      <c r="B236" s="447" t="s">
        <v>341</v>
      </c>
      <c r="C236" s="448" t="s">
        <v>1093</v>
      </c>
      <c r="D236" s="449" t="s">
        <v>1094</v>
      </c>
      <c r="E236" s="450" t="s">
        <v>340</v>
      </c>
      <c r="F236" s="451">
        <v>16095246</v>
      </c>
      <c r="G236" s="451">
        <v>12876196</v>
      </c>
      <c r="H236" s="451">
        <v>2897144</v>
      </c>
      <c r="I236" s="451">
        <v>321905</v>
      </c>
      <c r="J236" s="451">
        <v>32190491</v>
      </c>
      <c r="K236" s="451">
        <v>0</v>
      </c>
      <c r="L236" s="451">
        <v>0</v>
      </c>
      <c r="M236" s="451">
        <v>16095246</v>
      </c>
      <c r="N236" s="451">
        <v>32190491</v>
      </c>
      <c r="O236" s="451">
        <v>170087</v>
      </c>
      <c r="P236" s="451">
        <v>170087</v>
      </c>
      <c r="Q236" s="451">
        <v>0</v>
      </c>
      <c r="R236" s="451">
        <v>0</v>
      </c>
      <c r="S236" s="451">
        <v>0</v>
      </c>
      <c r="T236" s="451">
        <v>0</v>
      </c>
      <c r="U236" s="451">
        <v>0</v>
      </c>
      <c r="V236" s="451">
        <v>0</v>
      </c>
      <c r="W236" s="451">
        <v>0</v>
      </c>
      <c r="X236" s="451">
        <v>0</v>
      </c>
      <c r="Y236" s="451">
        <v>0</v>
      </c>
      <c r="Z236" s="451">
        <v>0</v>
      </c>
      <c r="AA236" s="451">
        <v>0</v>
      </c>
      <c r="AB236" s="451">
        <v>816541</v>
      </c>
      <c r="AC236" s="451">
        <v>653233</v>
      </c>
      <c r="AD236" s="451">
        <v>146977</v>
      </c>
      <c r="AE236" s="451">
        <v>16331</v>
      </c>
      <c r="AF236" s="451">
        <v>1633082</v>
      </c>
      <c r="AG236" s="451">
        <v>536139</v>
      </c>
      <c r="AH236" s="451">
        <v>428911</v>
      </c>
      <c r="AI236" s="451">
        <v>96505</v>
      </c>
      <c r="AJ236" s="451">
        <v>10723</v>
      </c>
      <c r="AK236" s="451">
        <v>1072278</v>
      </c>
      <c r="AL236" s="451">
        <v>411450</v>
      </c>
      <c r="AM236" s="451">
        <v>329160</v>
      </c>
      <c r="AN236" s="451">
        <v>74061</v>
      </c>
      <c r="AO236" s="451">
        <v>8229</v>
      </c>
      <c r="AP236" s="451">
        <v>822900</v>
      </c>
      <c r="AQ236" s="451">
        <v>27200</v>
      </c>
      <c r="AR236" s="451">
        <v>21760</v>
      </c>
      <c r="AS236" s="451">
        <v>4896</v>
      </c>
      <c r="AT236" s="451">
        <v>544</v>
      </c>
      <c r="AU236" s="451">
        <v>54400</v>
      </c>
      <c r="AV236" s="451">
        <v>438650</v>
      </c>
      <c r="AW236" s="451">
        <v>350920</v>
      </c>
      <c r="AX236" s="451">
        <v>78957</v>
      </c>
      <c r="AY236" s="451">
        <v>8773</v>
      </c>
      <c r="AZ236" s="451">
        <v>877300</v>
      </c>
      <c r="BA236" s="451">
        <v>0</v>
      </c>
      <c r="BB236" s="451">
        <v>0</v>
      </c>
      <c r="BC236" s="451">
        <v>0</v>
      </c>
      <c r="BD236" s="451">
        <v>0</v>
      </c>
      <c r="BE236" s="451">
        <v>0</v>
      </c>
      <c r="BF236" s="451">
        <v>383361</v>
      </c>
      <c r="BG236" s="451">
        <v>306689</v>
      </c>
      <c r="BH236" s="451">
        <v>69005</v>
      </c>
      <c r="BI236" s="451">
        <v>7667</v>
      </c>
      <c r="BJ236" s="451">
        <v>766722</v>
      </c>
      <c r="BK236" s="451">
        <v>383361</v>
      </c>
      <c r="BL236" s="451">
        <v>306689</v>
      </c>
      <c r="BM236" s="451">
        <v>69005</v>
      </c>
      <c r="BN236" s="451">
        <v>7667</v>
      </c>
      <c r="BO236" s="451">
        <v>766722</v>
      </c>
      <c r="BP236" s="451">
        <v>0</v>
      </c>
      <c r="BQ236" s="451">
        <v>0</v>
      </c>
      <c r="BR236" s="451">
        <v>0</v>
      </c>
      <c r="BS236" s="451">
        <v>0</v>
      </c>
      <c r="BT236" s="451">
        <v>0</v>
      </c>
      <c r="BU236" s="451">
        <v>750237</v>
      </c>
      <c r="BV236" s="451">
        <v>600190</v>
      </c>
      <c r="BW236" s="451">
        <v>135043</v>
      </c>
      <c r="BX236" s="451">
        <v>15005</v>
      </c>
      <c r="BY236" s="451">
        <v>1500475</v>
      </c>
      <c r="BZ236" s="451">
        <v>750237</v>
      </c>
      <c r="CA236" s="451">
        <v>600190</v>
      </c>
      <c r="CB236" s="451">
        <v>135043</v>
      </c>
      <c r="CC236" s="451">
        <v>15005</v>
      </c>
      <c r="CD236" s="451">
        <v>1500475</v>
      </c>
      <c r="CE236" s="104"/>
      <c r="CF236" s="104"/>
      <c r="CG236" s="104"/>
    </row>
    <row r="237" spans="1:85" ht="12.75" x14ac:dyDescent="0.2">
      <c r="A237" s="446">
        <v>230</v>
      </c>
      <c r="B237" s="447" t="s">
        <v>343</v>
      </c>
      <c r="C237" s="448" t="s">
        <v>1100</v>
      </c>
      <c r="D237" s="449" t="s">
        <v>1101</v>
      </c>
      <c r="E237" s="450" t="s">
        <v>342</v>
      </c>
      <c r="F237" s="451">
        <v>98556096</v>
      </c>
      <c r="G237" s="451">
        <v>96584975</v>
      </c>
      <c r="H237" s="451">
        <v>0</v>
      </c>
      <c r="I237" s="451">
        <v>1971122</v>
      </c>
      <c r="J237" s="451">
        <v>197112193</v>
      </c>
      <c r="K237" s="451">
        <v>55000</v>
      </c>
      <c r="L237" s="451">
        <v>55000</v>
      </c>
      <c r="M237" s="451">
        <v>98501096</v>
      </c>
      <c r="N237" s="451">
        <v>197057193</v>
      </c>
      <c r="O237" s="451">
        <v>774873</v>
      </c>
      <c r="P237" s="451">
        <v>774873</v>
      </c>
      <c r="Q237" s="451">
        <v>0</v>
      </c>
      <c r="R237" s="451">
        <v>0</v>
      </c>
      <c r="S237" s="451">
        <v>0</v>
      </c>
      <c r="T237" s="451">
        <v>0</v>
      </c>
      <c r="U237" s="451">
        <v>0</v>
      </c>
      <c r="V237" s="451">
        <v>0</v>
      </c>
      <c r="W237" s="451">
        <v>0</v>
      </c>
      <c r="X237" s="451">
        <v>55000</v>
      </c>
      <c r="Y237" s="451">
        <v>0</v>
      </c>
      <c r="Z237" s="451">
        <v>0</v>
      </c>
      <c r="AA237" s="451">
        <v>55000</v>
      </c>
      <c r="AB237" s="451">
        <v>7190334</v>
      </c>
      <c r="AC237" s="451">
        <v>7046528</v>
      </c>
      <c r="AD237" s="451">
        <v>0</v>
      </c>
      <c r="AE237" s="451">
        <v>143807</v>
      </c>
      <c r="AF237" s="451">
        <v>14380669</v>
      </c>
      <c r="AG237" s="451">
        <v>937583</v>
      </c>
      <c r="AH237" s="451">
        <v>918831</v>
      </c>
      <c r="AI237" s="451">
        <v>0</v>
      </c>
      <c r="AJ237" s="451">
        <v>18752</v>
      </c>
      <c r="AK237" s="451">
        <v>1875166</v>
      </c>
      <c r="AL237" s="451">
        <v>0</v>
      </c>
      <c r="AM237" s="451">
        <v>0</v>
      </c>
      <c r="AN237" s="451">
        <v>0</v>
      </c>
      <c r="AO237" s="451">
        <v>0</v>
      </c>
      <c r="AP237" s="451">
        <v>0</v>
      </c>
      <c r="AQ237" s="451">
        <v>46000</v>
      </c>
      <c r="AR237" s="451">
        <v>45080</v>
      </c>
      <c r="AS237" s="451">
        <v>0</v>
      </c>
      <c r="AT237" s="451">
        <v>920</v>
      </c>
      <c r="AU237" s="451">
        <v>92000</v>
      </c>
      <c r="AV237" s="451">
        <v>46000</v>
      </c>
      <c r="AW237" s="451">
        <v>45080</v>
      </c>
      <c r="AX237" s="451">
        <v>0</v>
      </c>
      <c r="AY237" s="451">
        <v>920</v>
      </c>
      <c r="AZ237" s="451">
        <v>92000</v>
      </c>
      <c r="BA237" s="451">
        <v>0</v>
      </c>
      <c r="BB237" s="451">
        <v>0</v>
      </c>
      <c r="BC237" s="451">
        <v>0</v>
      </c>
      <c r="BD237" s="451">
        <v>0</v>
      </c>
      <c r="BE237" s="451">
        <v>0</v>
      </c>
      <c r="BF237" s="451">
        <v>2250000</v>
      </c>
      <c r="BG237" s="451">
        <v>2205000</v>
      </c>
      <c r="BH237" s="451">
        <v>0</v>
      </c>
      <c r="BI237" s="451">
        <v>45000</v>
      </c>
      <c r="BJ237" s="451">
        <v>4500000</v>
      </c>
      <c r="BK237" s="451">
        <v>2250000</v>
      </c>
      <c r="BL237" s="451">
        <v>2205000</v>
      </c>
      <c r="BM237" s="451">
        <v>0</v>
      </c>
      <c r="BN237" s="451">
        <v>45000</v>
      </c>
      <c r="BO237" s="451">
        <v>4500000</v>
      </c>
      <c r="BP237" s="451">
        <v>0</v>
      </c>
      <c r="BQ237" s="451">
        <v>0</v>
      </c>
      <c r="BR237" s="451">
        <v>0</v>
      </c>
      <c r="BS237" s="451">
        <v>0</v>
      </c>
      <c r="BT237" s="451">
        <v>0</v>
      </c>
      <c r="BU237" s="451">
        <v>4550000</v>
      </c>
      <c r="BV237" s="451">
        <v>4459000</v>
      </c>
      <c r="BW237" s="451">
        <v>0</v>
      </c>
      <c r="BX237" s="451">
        <v>91000</v>
      </c>
      <c r="BY237" s="451">
        <v>9100000</v>
      </c>
      <c r="BZ237" s="451">
        <v>4550000</v>
      </c>
      <c r="CA237" s="451">
        <v>4459000</v>
      </c>
      <c r="CB237" s="451">
        <v>0</v>
      </c>
      <c r="CC237" s="451">
        <v>91000</v>
      </c>
      <c r="CD237" s="451">
        <v>9100000</v>
      </c>
      <c r="CE237" s="104"/>
      <c r="CF237" s="104"/>
      <c r="CG237" s="104"/>
    </row>
    <row r="238" spans="1:85" ht="12.75" x14ac:dyDescent="0.2">
      <c r="A238" s="446">
        <v>231</v>
      </c>
      <c r="B238" s="447" t="s">
        <v>345</v>
      </c>
      <c r="C238" s="448" t="s">
        <v>1093</v>
      </c>
      <c r="D238" s="449" t="s">
        <v>1094</v>
      </c>
      <c r="E238" s="450" t="s">
        <v>344</v>
      </c>
      <c r="F238" s="451">
        <v>12717592</v>
      </c>
      <c r="G238" s="451">
        <v>10174074</v>
      </c>
      <c r="H238" s="451">
        <v>2289167</v>
      </c>
      <c r="I238" s="451">
        <v>254352</v>
      </c>
      <c r="J238" s="451">
        <v>25435185</v>
      </c>
      <c r="K238" s="451">
        <v>0</v>
      </c>
      <c r="L238" s="451">
        <v>0</v>
      </c>
      <c r="M238" s="451">
        <v>12717592</v>
      </c>
      <c r="N238" s="451">
        <v>25435185</v>
      </c>
      <c r="O238" s="451">
        <v>152929</v>
      </c>
      <c r="P238" s="451">
        <v>152929</v>
      </c>
      <c r="Q238" s="451">
        <v>0</v>
      </c>
      <c r="R238" s="451">
        <v>0</v>
      </c>
      <c r="S238" s="451">
        <v>0</v>
      </c>
      <c r="T238" s="451">
        <v>0</v>
      </c>
      <c r="U238" s="451">
        <v>0</v>
      </c>
      <c r="V238" s="451">
        <v>0</v>
      </c>
      <c r="W238" s="451">
        <v>0</v>
      </c>
      <c r="X238" s="451">
        <v>0</v>
      </c>
      <c r="Y238" s="451">
        <v>0</v>
      </c>
      <c r="Z238" s="451">
        <v>0</v>
      </c>
      <c r="AA238" s="451">
        <v>0</v>
      </c>
      <c r="AB238" s="451">
        <v>605804</v>
      </c>
      <c r="AC238" s="451">
        <v>484643</v>
      </c>
      <c r="AD238" s="451">
        <v>109045</v>
      </c>
      <c r="AE238" s="451">
        <v>12116</v>
      </c>
      <c r="AF238" s="451">
        <v>1211608</v>
      </c>
      <c r="AG238" s="451">
        <v>246341.61</v>
      </c>
      <c r="AH238" s="451">
        <v>197074</v>
      </c>
      <c r="AI238" s="451">
        <v>44342</v>
      </c>
      <c r="AJ238" s="451">
        <v>4927</v>
      </c>
      <c r="AK238" s="451">
        <v>492684.61</v>
      </c>
      <c r="AL238" s="451">
        <v>99474</v>
      </c>
      <c r="AM238" s="451">
        <v>79579</v>
      </c>
      <c r="AN238" s="451">
        <v>17905</v>
      </c>
      <c r="AO238" s="451">
        <v>1989</v>
      </c>
      <c r="AP238" s="451">
        <v>198947</v>
      </c>
      <c r="AQ238" s="451">
        <v>76709</v>
      </c>
      <c r="AR238" s="451">
        <v>61367</v>
      </c>
      <c r="AS238" s="451">
        <v>13808</v>
      </c>
      <c r="AT238" s="451">
        <v>1534</v>
      </c>
      <c r="AU238" s="451">
        <v>153418</v>
      </c>
      <c r="AV238" s="451">
        <v>176183</v>
      </c>
      <c r="AW238" s="451">
        <v>140946</v>
      </c>
      <c r="AX238" s="451">
        <v>31713</v>
      </c>
      <c r="AY238" s="451">
        <v>3523</v>
      </c>
      <c r="AZ238" s="451">
        <v>352365</v>
      </c>
      <c r="BA238" s="451">
        <v>0</v>
      </c>
      <c r="BB238" s="451">
        <v>0</v>
      </c>
      <c r="BC238" s="451">
        <v>0</v>
      </c>
      <c r="BD238" s="451">
        <v>0</v>
      </c>
      <c r="BE238" s="451">
        <v>0</v>
      </c>
      <c r="BF238" s="451">
        <v>213593</v>
      </c>
      <c r="BG238" s="451">
        <v>170875</v>
      </c>
      <c r="BH238" s="451">
        <v>38447</v>
      </c>
      <c r="BI238" s="451">
        <v>4272</v>
      </c>
      <c r="BJ238" s="451">
        <v>427187</v>
      </c>
      <c r="BK238" s="451">
        <v>213593</v>
      </c>
      <c r="BL238" s="451">
        <v>170875</v>
      </c>
      <c r="BM238" s="451">
        <v>38447</v>
      </c>
      <c r="BN238" s="451">
        <v>4272</v>
      </c>
      <c r="BO238" s="451">
        <v>427187</v>
      </c>
      <c r="BP238" s="451">
        <v>0</v>
      </c>
      <c r="BQ238" s="451">
        <v>0</v>
      </c>
      <c r="BR238" s="451">
        <v>0</v>
      </c>
      <c r="BS238" s="451">
        <v>0</v>
      </c>
      <c r="BT238" s="451">
        <v>0</v>
      </c>
      <c r="BU238" s="451">
        <v>529969</v>
      </c>
      <c r="BV238" s="451">
        <v>423975</v>
      </c>
      <c r="BW238" s="451">
        <v>95394</v>
      </c>
      <c r="BX238" s="451">
        <v>10599</v>
      </c>
      <c r="BY238" s="451">
        <v>1059937</v>
      </c>
      <c r="BZ238" s="451">
        <v>529969</v>
      </c>
      <c r="CA238" s="451">
        <v>423975</v>
      </c>
      <c r="CB238" s="451">
        <v>95394</v>
      </c>
      <c r="CC238" s="451">
        <v>10599</v>
      </c>
      <c r="CD238" s="451">
        <v>1059937</v>
      </c>
      <c r="CE238" s="104"/>
      <c r="CF238" s="104"/>
      <c r="CG238" s="104"/>
    </row>
    <row r="239" spans="1:85" ht="12.75" x14ac:dyDescent="0.2">
      <c r="A239" s="446">
        <v>232</v>
      </c>
      <c r="B239" s="447" t="s">
        <v>347</v>
      </c>
      <c r="C239" s="448" t="s">
        <v>794</v>
      </c>
      <c r="D239" s="449" t="s">
        <v>1103</v>
      </c>
      <c r="E239" s="450" t="s">
        <v>346</v>
      </c>
      <c r="F239" s="451">
        <v>36696807</v>
      </c>
      <c r="G239" s="451">
        <v>35962871</v>
      </c>
      <c r="H239" s="451">
        <v>0</v>
      </c>
      <c r="I239" s="451">
        <v>733936</v>
      </c>
      <c r="J239" s="451">
        <v>73393614</v>
      </c>
      <c r="K239" s="451">
        <v>0</v>
      </c>
      <c r="L239" s="451">
        <v>0</v>
      </c>
      <c r="M239" s="451">
        <v>36696807</v>
      </c>
      <c r="N239" s="451">
        <v>73393614</v>
      </c>
      <c r="O239" s="451">
        <v>463653</v>
      </c>
      <c r="P239" s="451">
        <v>463653</v>
      </c>
      <c r="Q239" s="451">
        <v>0</v>
      </c>
      <c r="R239" s="451">
        <v>0</v>
      </c>
      <c r="S239" s="451">
        <v>0</v>
      </c>
      <c r="T239" s="451">
        <v>0</v>
      </c>
      <c r="U239" s="451">
        <v>0</v>
      </c>
      <c r="V239" s="451">
        <v>0</v>
      </c>
      <c r="W239" s="451">
        <v>0</v>
      </c>
      <c r="X239" s="451">
        <v>0</v>
      </c>
      <c r="Y239" s="451">
        <v>0</v>
      </c>
      <c r="Z239" s="451">
        <v>0</v>
      </c>
      <c r="AA239" s="451">
        <v>0</v>
      </c>
      <c r="AB239" s="451">
        <v>1658260</v>
      </c>
      <c r="AC239" s="451">
        <v>1625095</v>
      </c>
      <c r="AD239" s="451">
        <v>0</v>
      </c>
      <c r="AE239" s="451">
        <v>33165</v>
      </c>
      <c r="AF239" s="451">
        <v>3316520</v>
      </c>
      <c r="AG239" s="451">
        <v>969006</v>
      </c>
      <c r="AH239" s="451">
        <v>949625</v>
      </c>
      <c r="AI239" s="451">
        <v>0</v>
      </c>
      <c r="AJ239" s="451">
        <v>19380</v>
      </c>
      <c r="AK239" s="451">
        <v>1938011</v>
      </c>
      <c r="AL239" s="451">
        <v>537865</v>
      </c>
      <c r="AM239" s="451">
        <v>527108</v>
      </c>
      <c r="AN239" s="451">
        <v>0</v>
      </c>
      <c r="AO239" s="451">
        <v>10757</v>
      </c>
      <c r="AP239" s="451">
        <v>1075730</v>
      </c>
      <c r="AQ239" s="451">
        <v>235317</v>
      </c>
      <c r="AR239" s="451">
        <v>230611</v>
      </c>
      <c r="AS239" s="451">
        <v>0</v>
      </c>
      <c r="AT239" s="451">
        <v>4706</v>
      </c>
      <c r="AU239" s="451">
        <v>470634</v>
      </c>
      <c r="AV239" s="451">
        <v>773182</v>
      </c>
      <c r="AW239" s="451">
        <v>757719</v>
      </c>
      <c r="AX239" s="451">
        <v>0</v>
      </c>
      <c r="AY239" s="451">
        <v>15463</v>
      </c>
      <c r="AZ239" s="451">
        <v>1546364</v>
      </c>
      <c r="BA239" s="451">
        <v>0</v>
      </c>
      <c r="BB239" s="451">
        <v>0</v>
      </c>
      <c r="BC239" s="451">
        <v>0</v>
      </c>
      <c r="BD239" s="451">
        <v>0</v>
      </c>
      <c r="BE239" s="451">
        <v>0</v>
      </c>
      <c r="BF239" s="451">
        <v>192725</v>
      </c>
      <c r="BG239" s="451">
        <v>188870</v>
      </c>
      <c r="BH239" s="451">
        <v>0</v>
      </c>
      <c r="BI239" s="451">
        <v>3854</v>
      </c>
      <c r="BJ239" s="451">
        <v>385449</v>
      </c>
      <c r="BK239" s="451">
        <v>192725</v>
      </c>
      <c r="BL239" s="451">
        <v>188870</v>
      </c>
      <c r="BM239" s="451">
        <v>0</v>
      </c>
      <c r="BN239" s="451">
        <v>3854</v>
      </c>
      <c r="BO239" s="451">
        <v>385449</v>
      </c>
      <c r="BP239" s="451">
        <v>0</v>
      </c>
      <c r="BQ239" s="451">
        <v>0</v>
      </c>
      <c r="BR239" s="451">
        <v>0</v>
      </c>
      <c r="BS239" s="451">
        <v>0</v>
      </c>
      <c r="BT239" s="451">
        <v>0</v>
      </c>
      <c r="BU239" s="451">
        <v>610082</v>
      </c>
      <c r="BV239" s="451">
        <v>597881</v>
      </c>
      <c r="BW239" s="451">
        <v>0</v>
      </c>
      <c r="BX239" s="451">
        <v>12202</v>
      </c>
      <c r="BY239" s="451">
        <v>1220165</v>
      </c>
      <c r="BZ239" s="451">
        <v>610082</v>
      </c>
      <c r="CA239" s="451">
        <v>597881</v>
      </c>
      <c r="CB239" s="451">
        <v>0</v>
      </c>
      <c r="CC239" s="451">
        <v>12202</v>
      </c>
      <c r="CD239" s="451">
        <v>1220165</v>
      </c>
      <c r="CE239" s="104"/>
      <c r="CF239" s="104"/>
      <c r="CG239" s="104"/>
    </row>
    <row r="240" spans="1:85" ht="12.75" x14ac:dyDescent="0.2">
      <c r="A240" s="446">
        <v>233</v>
      </c>
      <c r="B240" s="447" t="s">
        <v>349</v>
      </c>
      <c r="C240" s="448" t="s">
        <v>794</v>
      </c>
      <c r="D240" s="449" t="s">
        <v>1094</v>
      </c>
      <c r="E240" s="450" t="s">
        <v>743</v>
      </c>
      <c r="F240" s="451">
        <v>44528962</v>
      </c>
      <c r="G240" s="451">
        <v>43638382</v>
      </c>
      <c r="H240" s="451">
        <v>0</v>
      </c>
      <c r="I240" s="451">
        <v>890579</v>
      </c>
      <c r="J240" s="451">
        <v>89057923</v>
      </c>
      <c r="K240" s="451">
        <v>0</v>
      </c>
      <c r="L240" s="451">
        <v>0</v>
      </c>
      <c r="M240" s="451">
        <v>44528962</v>
      </c>
      <c r="N240" s="451">
        <v>89057923</v>
      </c>
      <c r="O240" s="451">
        <v>210291</v>
      </c>
      <c r="P240" s="451">
        <v>210291</v>
      </c>
      <c r="Q240" s="451">
        <v>0</v>
      </c>
      <c r="R240" s="451">
        <v>0</v>
      </c>
      <c r="S240" s="451">
        <v>0</v>
      </c>
      <c r="T240" s="451">
        <v>0</v>
      </c>
      <c r="U240" s="451">
        <v>0</v>
      </c>
      <c r="V240" s="451">
        <v>0</v>
      </c>
      <c r="W240" s="451">
        <v>0</v>
      </c>
      <c r="X240" s="451">
        <v>0</v>
      </c>
      <c r="Y240" s="451">
        <v>0</v>
      </c>
      <c r="Z240" s="451">
        <v>0</v>
      </c>
      <c r="AA240" s="451">
        <v>0</v>
      </c>
      <c r="AB240" s="451">
        <v>3575462</v>
      </c>
      <c r="AC240" s="451">
        <v>3503952</v>
      </c>
      <c r="AD240" s="451">
        <v>0</v>
      </c>
      <c r="AE240" s="451">
        <v>71509</v>
      </c>
      <c r="AF240" s="451">
        <v>7150923</v>
      </c>
      <c r="AG240" s="451">
        <v>225695</v>
      </c>
      <c r="AH240" s="451">
        <v>221182</v>
      </c>
      <c r="AI240" s="451">
        <v>0</v>
      </c>
      <c r="AJ240" s="451">
        <v>4514</v>
      </c>
      <c r="AK240" s="451">
        <v>451391</v>
      </c>
      <c r="AL240" s="451">
        <v>2638954.5</v>
      </c>
      <c r="AM240" s="451">
        <v>2586176</v>
      </c>
      <c r="AN240" s="451">
        <v>0</v>
      </c>
      <c r="AO240" s="451">
        <v>52779</v>
      </c>
      <c r="AP240" s="451">
        <v>5277909.5</v>
      </c>
      <c r="AQ240" s="451">
        <v>-614484.56999999995</v>
      </c>
      <c r="AR240" s="451">
        <v>-602195</v>
      </c>
      <c r="AS240" s="451">
        <v>0</v>
      </c>
      <c r="AT240" s="451">
        <v>-12290</v>
      </c>
      <c r="AU240" s="451">
        <v>-1228969.5</v>
      </c>
      <c r="AV240" s="451">
        <v>2024469.93</v>
      </c>
      <c r="AW240" s="451">
        <v>1983981</v>
      </c>
      <c r="AX240" s="451">
        <v>0</v>
      </c>
      <c r="AY240" s="451">
        <v>40489</v>
      </c>
      <c r="AZ240" s="451">
        <v>4048939.93</v>
      </c>
      <c r="BA240" s="451">
        <v>0</v>
      </c>
      <c r="BB240" s="451">
        <v>0</v>
      </c>
      <c r="BC240" s="451">
        <v>0</v>
      </c>
      <c r="BD240" s="451">
        <v>0</v>
      </c>
      <c r="BE240" s="451">
        <v>0</v>
      </c>
      <c r="BF240" s="451">
        <v>227734</v>
      </c>
      <c r="BG240" s="451">
        <v>223179</v>
      </c>
      <c r="BH240" s="451">
        <v>0</v>
      </c>
      <c r="BI240" s="451">
        <v>4555</v>
      </c>
      <c r="BJ240" s="451">
        <v>455468</v>
      </c>
      <c r="BK240" s="451">
        <v>227734</v>
      </c>
      <c r="BL240" s="451">
        <v>223179</v>
      </c>
      <c r="BM240" s="451">
        <v>0</v>
      </c>
      <c r="BN240" s="451">
        <v>4555</v>
      </c>
      <c r="BO240" s="451">
        <v>455468</v>
      </c>
      <c r="BP240" s="451">
        <v>0</v>
      </c>
      <c r="BQ240" s="451">
        <v>0</v>
      </c>
      <c r="BR240" s="451">
        <v>0</v>
      </c>
      <c r="BS240" s="451">
        <v>0</v>
      </c>
      <c r="BT240" s="451">
        <v>0</v>
      </c>
      <c r="BU240" s="451">
        <v>656062</v>
      </c>
      <c r="BV240" s="451">
        <v>642940</v>
      </c>
      <c r="BW240" s="451">
        <v>0</v>
      </c>
      <c r="BX240" s="451">
        <v>13121</v>
      </c>
      <c r="BY240" s="451">
        <v>1312123</v>
      </c>
      <c r="BZ240" s="451">
        <v>656062</v>
      </c>
      <c r="CA240" s="451">
        <v>642940</v>
      </c>
      <c r="CB240" s="451">
        <v>0</v>
      </c>
      <c r="CC240" s="451">
        <v>13121</v>
      </c>
      <c r="CD240" s="451">
        <v>1312123</v>
      </c>
      <c r="CE240" s="104"/>
      <c r="CF240" s="104"/>
      <c r="CG240" s="104"/>
    </row>
    <row r="241" spans="1:85" ht="12.75" x14ac:dyDescent="0.2">
      <c r="A241" s="446">
        <v>234</v>
      </c>
      <c r="B241" s="447" t="s">
        <v>351</v>
      </c>
      <c r="C241" s="448" t="s">
        <v>1100</v>
      </c>
      <c r="D241" s="449" t="s">
        <v>1103</v>
      </c>
      <c r="E241" s="450" t="s">
        <v>350</v>
      </c>
      <c r="F241" s="451">
        <v>50427518</v>
      </c>
      <c r="G241" s="451">
        <v>49418967</v>
      </c>
      <c r="H241" s="451">
        <v>0</v>
      </c>
      <c r="I241" s="451">
        <v>1008550</v>
      </c>
      <c r="J241" s="451">
        <v>100855035</v>
      </c>
      <c r="K241" s="451">
        <v>0</v>
      </c>
      <c r="L241" s="451">
        <v>0</v>
      </c>
      <c r="M241" s="451">
        <v>50427518</v>
      </c>
      <c r="N241" s="451">
        <v>100855035</v>
      </c>
      <c r="O241" s="451">
        <v>242567</v>
      </c>
      <c r="P241" s="451">
        <v>242567</v>
      </c>
      <c r="Q241" s="451">
        <v>0</v>
      </c>
      <c r="R241" s="451">
        <v>0</v>
      </c>
      <c r="S241" s="451">
        <v>0</v>
      </c>
      <c r="T241" s="451">
        <v>0</v>
      </c>
      <c r="U241" s="451">
        <v>0</v>
      </c>
      <c r="V241" s="451">
        <v>0</v>
      </c>
      <c r="W241" s="451">
        <v>0</v>
      </c>
      <c r="X241" s="451">
        <v>0</v>
      </c>
      <c r="Y241" s="451">
        <v>0</v>
      </c>
      <c r="Z241" s="451">
        <v>0</v>
      </c>
      <c r="AA241" s="451">
        <v>0</v>
      </c>
      <c r="AB241" s="451">
        <v>1156419</v>
      </c>
      <c r="AC241" s="451">
        <v>1133291</v>
      </c>
      <c r="AD241" s="451">
        <v>0</v>
      </c>
      <c r="AE241" s="451">
        <v>23128</v>
      </c>
      <c r="AF241" s="451">
        <v>2312838</v>
      </c>
      <c r="AG241" s="451">
        <v>2211390</v>
      </c>
      <c r="AH241" s="451">
        <v>2167162</v>
      </c>
      <c r="AI241" s="451">
        <v>0</v>
      </c>
      <c r="AJ241" s="451">
        <v>44228</v>
      </c>
      <c r="AK241" s="451">
        <v>4422780</v>
      </c>
      <c r="AL241" s="451">
        <v>594676</v>
      </c>
      <c r="AM241" s="451">
        <v>582783</v>
      </c>
      <c r="AN241" s="451">
        <v>0</v>
      </c>
      <c r="AO241" s="451">
        <v>11894</v>
      </c>
      <c r="AP241" s="451">
        <v>1189353</v>
      </c>
      <c r="AQ241" s="451">
        <v>238909</v>
      </c>
      <c r="AR241" s="451">
        <v>234130</v>
      </c>
      <c r="AS241" s="451">
        <v>0</v>
      </c>
      <c r="AT241" s="451">
        <v>4778</v>
      </c>
      <c r="AU241" s="451">
        <v>477817</v>
      </c>
      <c r="AV241" s="451">
        <v>833585</v>
      </c>
      <c r="AW241" s="451">
        <v>816913</v>
      </c>
      <c r="AX241" s="451">
        <v>0</v>
      </c>
      <c r="AY241" s="451">
        <v>16672</v>
      </c>
      <c r="AZ241" s="451">
        <v>1667170</v>
      </c>
      <c r="BA241" s="451">
        <v>0</v>
      </c>
      <c r="BB241" s="451">
        <v>0</v>
      </c>
      <c r="BC241" s="451">
        <v>0</v>
      </c>
      <c r="BD241" s="451">
        <v>0</v>
      </c>
      <c r="BE241" s="451">
        <v>0</v>
      </c>
      <c r="BF241" s="451">
        <v>462398</v>
      </c>
      <c r="BG241" s="451">
        <v>453150</v>
      </c>
      <c r="BH241" s="451">
        <v>0</v>
      </c>
      <c r="BI241" s="451">
        <v>9248</v>
      </c>
      <c r="BJ241" s="451">
        <v>924796</v>
      </c>
      <c r="BK241" s="451">
        <v>462398</v>
      </c>
      <c r="BL241" s="451">
        <v>453150</v>
      </c>
      <c r="BM241" s="451">
        <v>0</v>
      </c>
      <c r="BN241" s="451">
        <v>9248</v>
      </c>
      <c r="BO241" s="451">
        <v>924796</v>
      </c>
      <c r="BP241" s="451">
        <v>0</v>
      </c>
      <c r="BQ241" s="451">
        <v>0</v>
      </c>
      <c r="BR241" s="451">
        <v>0</v>
      </c>
      <c r="BS241" s="451">
        <v>0</v>
      </c>
      <c r="BT241" s="451">
        <v>0</v>
      </c>
      <c r="BU241" s="451">
        <v>1117542</v>
      </c>
      <c r="BV241" s="451">
        <v>1095191</v>
      </c>
      <c r="BW241" s="451">
        <v>0</v>
      </c>
      <c r="BX241" s="451">
        <v>22351</v>
      </c>
      <c r="BY241" s="451">
        <v>2235084</v>
      </c>
      <c r="BZ241" s="451">
        <v>1117542</v>
      </c>
      <c r="CA241" s="451">
        <v>1095191</v>
      </c>
      <c r="CB241" s="451">
        <v>0</v>
      </c>
      <c r="CC241" s="451">
        <v>22351</v>
      </c>
      <c r="CD241" s="451">
        <v>2235084</v>
      </c>
      <c r="CE241" s="104"/>
      <c r="CF241" s="104"/>
      <c r="CG241" s="104"/>
    </row>
    <row r="242" spans="1:85" ht="12.75" x14ac:dyDescent="0.2">
      <c r="A242" s="446">
        <v>235</v>
      </c>
      <c r="B242" s="447" t="s">
        <v>353</v>
      </c>
      <c r="C242" s="448" t="s">
        <v>1093</v>
      </c>
      <c r="D242" s="449" t="s">
        <v>1094</v>
      </c>
      <c r="E242" s="450" t="s">
        <v>352</v>
      </c>
      <c r="F242" s="451">
        <v>13566985</v>
      </c>
      <c r="G242" s="451">
        <v>10853588</v>
      </c>
      <c r="H242" s="451">
        <v>2442057</v>
      </c>
      <c r="I242" s="451">
        <v>271340</v>
      </c>
      <c r="J242" s="451">
        <v>27133970</v>
      </c>
      <c r="K242" s="451">
        <v>0</v>
      </c>
      <c r="L242" s="451">
        <v>0</v>
      </c>
      <c r="M242" s="451">
        <v>13566985</v>
      </c>
      <c r="N242" s="451">
        <v>27133970</v>
      </c>
      <c r="O242" s="451">
        <v>99868</v>
      </c>
      <c r="P242" s="451">
        <v>99868</v>
      </c>
      <c r="Q242" s="451">
        <v>0</v>
      </c>
      <c r="R242" s="451">
        <v>0</v>
      </c>
      <c r="S242" s="451">
        <v>0</v>
      </c>
      <c r="T242" s="451">
        <v>0</v>
      </c>
      <c r="U242" s="451">
        <v>0</v>
      </c>
      <c r="V242" s="451">
        <v>0</v>
      </c>
      <c r="W242" s="451">
        <v>0</v>
      </c>
      <c r="X242" s="451">
        <v>0</v>
      </c>
      <c r="Y242" s="451">
        <v>0</v>
      </c>
      <c r="Z242" s="451">
        <v>0</v>
      </c>
      <c r="AA242" s="451">
        <v>0</v>
      </c>
      <c r="AB242" s="451">
        <v>665601</v>
      </c>
      <c r="AC242" s="451">
        <v>532481</v>
      </c>
      <c r="AD242" s="451">
        <v>119808</v>
      </c>
      <c r="AE242" s="451">
        <v>13312</v>
      </c>
      <c r="AF242" s="451">
        <v>1331202</v>
      </c>
      <c r="AG242" s="451">
        <v>431047</v>
      </c>
      <c r="AH242" s="451">
        <v>344837</v>
      </c>
      <c r="AI242" s="451">
        <v>77588</v>
      </c>
      <c r="AJ242" s="451">
        <v>8621</v>
      </c>
      <c r="AK242" s="451">
        <v>862093</v>
      </c>
      <c r="AL242" s="451">
        <v>118500</v>
      </c>
      <c r="AM242" s="451">
        <v>94800</v>
      </c>
      <c r="AN242" s="451">
        <v>21330</v>
      </c>
      <c r="AO242" s="451">
        <v>2370</v>
      </c>
      <c r="AP242" s="451">
        <v>237000</v>
      </c>
      <c r="AQ242" s="451">
        <v>108500</v>
      </c>
      <c r="AR242" s="451">
        <v>86800</v>
      </c>
      <c r="AS242" s="451">
        <v>19530</v>
      </c>
      <c r="AT242" s="451">
        <v>2170</v>
      </c>
      <c r="AU242" s="451">
        <v>217000</v>
      </c>
      <c r="AV242" s="451">
        <v>227000</v>
      </c>
      <c r="AW242" s="451">
        <v>181600</v>
      </c>
      <c r="AX242" s="451">
        <v>40860</v>
      </c>
      <c r="AY242" s="451">
        <v>4540</v>
      </c>
      <c r="AZ242" s="451">
        <v>454000</v>
      </c>
      <c r="BA242" s="451">
        <v>0</v>
      </c>
      <c r="BB242" s="451">
        <v>0</v>
      </c>
      <c r="BC242" s="451">
        <v>0</v>
      </c>
      <c r="BD242" s="451">
        <v>0</v>
      </c>
      <c r="BE242" s="451">
        <v>0</v>
      </c>
      <c r="BF242" s="451">
        <v>208325</v>
      </c>
      <c r="BG242" s="451">
        <v>166659</v>
      </c>
      <c r="BH242" s="451">
        <v>37498</v>
      </c>
      <c r="BI242" s="451">
        <v>4166</v>
      </c>
      <c r="BJ242" s="451">
        <v>416648</v>
      </c>
      <c r="BK242" s="451">
        <v>208325</v>
      </c>
      <c r="BL242" s="451">
        <v>166659</v>
      </c>
      <c r="BM242" s="451">
        <v>37498</v>
      </c>
      <c r="BN242" s="451">
        <v>4166</v>
      </c>
      <c r="BO242" s="451">
        <v>416648</v>
      </c>
      <c r="BP242" s="451">
        <v>0</v>
      </c>
      <c r="BQ242" s="451">
        <v>0</v>
      </c>
      <c r="BR242" s="451">
        <v>0</v>
      </c>
      <c r="BS242" s="451">
        <v>0</v>
      </c>
      <c r="BT242" s="451">
        <v>0</v>
      </c>
      <c r="BU242" s="451">
        <v>637459</v>
      </c>
      <c r="BV242" s="451">
        <v>509968</v>
      </c>
      <c r="BW242" s="451">
        <v>114743</v>
      </c>
      <c r="BX242" s="451">
        <v>12749</v>
      </c>
      <c r="BY242" s="451">
        <v>1274919</v>
      </c>
      <c r="BZ242" s="451">
        <v>637459</v>
      </c>
      <c r="CA242" s="451">
        <v>509968</v>
      </c>
      <c r="CB242" s="451">
        <v>114743</v>
      </c>
      <c r="CC242" s="451">
        <v>12749</v>
      </c>
      <c r="CD242" s="451">
        <v>1274919</v>
      </c>
      <c r="CE242" s="104"/>
      <c r="CF242" s="104"/>
      <c r="CG242" s="104"/>
    </row>
    <row r="243" spans="1:85" ht="12.75" x14ac:dyDescent="0.2">
      <c r="A243" s="446">
        <v>236</v>
      </c>
      <c r="B243" s="447" t="s">
        <v>355</v>
      </c>
      <c r="C243" s="448" t="s">
        <v>1093</v>
      </c>
      <c r="D243" s="449" t="s">
        <v>1097</v>
      </c>
      <c r="E243" s="450" t="s">
        <v>354</v>
      </c>
      <c r="F243" s="451">
        <v>31286348</v>
      </c>
      <c r="G243" s="451">
        <v>25029078</v>
      </c>
      <c r="H243" s="451">
        <v>5631543</v>
      </c>
      <c r="I243" s="451">
        <v>625727</v>
      </c>
      <c r="J243" s="451">
        <v>62572696</v>
      </c>
      <c r="K243" s="451">
        <v>0</v>
      </c>
      <c r="L243" s="451">
        <v>0</v>
      </c>
      <c r="M243" s="451">
        <v>31286348</v>
      </c>
      <c r="N243" s="451">
        <v>62572696</v>
      </c>
      <c r="O243" s="451">
        <v>218656</v>
      </c>
      <c r="P243" s="451">
        <v>218656</v>
      </c>
      <c r="Q243" s="451">
        <v>0</v>
      </c>
      <c r="R243" s="451">
        <v>0</v>
      </c>
      <c r="S243" s="451">
        <v>0</v>
      </c>
      <c r="T243" s="451">
        <v>0</v>
      </c>
      <c r="U243" s="451">
        <v>0</v>
      </c>
      <c r="V243" s="451">
        <v>0</v>
      </c>
      <c r="W243" s="451">
        <v>0</v>
      </c>
      <c r="X243" s="451">
        <v>0</v>
      </c>
      <c r="Y243" s="451">
        <v>0</v>
      </c>
      <c r="Z243" s="451">
        <v>0</v>
      </c>
      <c r="AA243" s="451">
        <v>0</v>
      </c>
      <c r="AB243" s="451">
        <v>625253</v>
      </c>
      <c r="AC243" s="451">
        <v>500202</v>
      </c>
      <c r="AD243" s="451">
        <v>112546</v>
      </c>
      <c r="AE243" s="451">
        <v>12505</v>
      </c>
      <c r="AF243" s="451">
        <v>1250506</v>
      </c>
      <c r="AG243" s="451">
        <v>589720</v>
      </c>
      <c r="AH243" s="451">
        <v>471775</v>
      </c>
      <c r="AI243" s="451">
        <v>106149</v>
      </c>
      <c r="AJ243" s="451">
        <v>11794</v>
      </c>
      <c r="AK243" s="451">
        <v>1179438</v>
      </c>
      <c r="AL243" s="451">
        <v>49378</v>
      </c>
      <c r="AM243" s="451">
        <v>39502</v>
      </c>
      <c r="AN243" s="451">
        <v>8888</v>
      </c>
      <c r="AO243" s="451">
        <v>988</v>
      </c>
      <c r="AP243" s="451">
        <v>98756</v>
      </c>
      <c r="AQ243" s="451">
        <v>28756</v>
      </c>
      <c r="AR243" s="451">
        <v>23004</v>
      </c>
      <c r="AS243" s="451">
        <v>5176</v>
      </c>
      <c r="AT243" s="451">
        <v>575</v>
      </c>
      <c r="AU243" s="451">
        <v>57511</v>
      </c>
      <c r="AV243" s="451">
        <v>78134</v>
      </c>
      <c r="AW243" s="451">
        <v>62506</v>
      </c>
      <c r="AX243" s="451">
        <v>14064</v>
      </c>
      <c r="AY243" s="451">
        <v>1563</v>
      </c>
      <c r="AZ243" s="451">
        <v>156267</v>
      </c>
      <c r="BA243" s="451">
        <v>0</v>
      </c>
      <c r="BB243" s="451">
        <v>0</v>
      </c>
      <c r="BC243" s="451">
        <v>0</v>
      </c>
      <c r="BD243" s="451">
        <v>0</v>
      </c>
      <c r="BE243" s="451">
        <v>0</v>
      </c>
      <c r="BF243" s="451">
        <v>502849</v>
      </c>
      <c r="BG243" s="451">
        <v>402280</v>
      </c>
      <c r="BH243" s="451">
        <v>90513</v>
      </c>
      <c r="BI243" s="451">
        <v>10057</v>
      </c>
      <c r="BJ243" s="451">
        <v>1005699</v>
      </c>
      <c r="BK243" s="451">
        <v>502849</v>
      </c>
      <c r="BL243" s="451">
        <v>402280</v>
      </c>
      <c r="BM243" s="451">
        <v>90513</v>
      </c>
      <c r="BN243" s="451">
        <v>10057</v>
      </c>
      <c r="BO243" s="451">
        <v>1005699</v>
      </c>
      <c r="BP243" s="451">
        <v>0</v>
      </c>
      <c r="BQ243" s="451">
        <v>0</v>
      </c>
      <c r="BR243" s="451">
        <v>0</v>
      </c>
      <c r="BS243" s="451">
        <v>0</v>
      </c>
      <c r="BT243" s="451">
        <v>0</v>
      </c>
      <c r="BU243" s="451">
        <v>1497580</v>
      </c>
      <c r="BV243" s="451">
        <v>1198065</v>
      </c>
      <c r="BW243" s="451">
        <v>269565</v>
      </c>
      <c r="BX243" s="451">
        <v>29952</v>
      </c>
      <c r="BY243" s="451">
        <v>2995162</v>
      </c>
      <c r="BZ243" s="451">
        <v>1497580</v>
      </c>
      <c r="CA243" s="451">
        <v>1198065</v>
      </c>
      <c r="CB243" s="451">
        <v>269565</v>
      </c>
      <c r="CC243" s="451">
        <v>29952</v>
      </c>
      <c r="CD243" s="451">
        <v>2995162</v>
      </c>
      <c r="CE243" s="104"/>
      <c r="CF243" s="104"/>
      <c r="CG243" s="104"/>
    </row>
    <row r="244" spans="1:85" ht="12.75" x14ac:dyDescent="0.2">
      <c r="A244" s="446">
        <v>237</v>
      </c>
      <c r="B244" s="447" t="s">
        <v>357</v>
      </c>
      <c r="C244" s="448" t="s">
        <v>1093</v>
      </c>
      <c r="D244" s="449" t="s">
        <v>1096</v>
      </c>
      <c r="E244" s="450" t="s">
        <v>356</v>
      </c>
      <c r="F244" s="451">
        <v>9921834</v>
      </c>
      <c r="G244" s="451">
        <v>7937468</v>
      </c>
      <c r="H244" s="451">
        <v>1785930</v>
      </c>
      <c r="I244" s="451">
        <v>198437</v>
      </c>
      <c r="J244" s="451">
        <v>19843669</v>
      </c>
      <c r="K244" s="451">
        <v>0</v>
      </c>
      <c r="L244" s="451">
        <v>0</v>
      </c>
      <c r="M244" s="451">
        <v>9921834</v>
      </c>
      <c r="N244" s="451">
        <v>19843669</v>
      </c>
      <c r="O244" s="451">
        <v>90901</v>
      </c>
      <c r="P244" s="451">
        <v>90901</v>
      </c>
      <c r="Q244" s="451">
        <v>0</v>
      </c>
      <c r="R244" s="451">
        <v>0</v>
      </c>
      <c r="S244" s="451">
        <v>0</v>
      </c>
      <c r="T244" s="451">
        <v>0</v>
      </c>
      <c r="U244" s="451">
        <v>0</v>
      </c>
      <c r="V244" s="451">
        <v>0</v>
      </c>
      <c r="W244" s="451">
        <v>0</v>
      </c>
      <c r="X244" s="451">
        <v>0</v>
      </c>
      <c r="Y244" s="451">
        <v>0</v>
      </c>
      <c r="Z244" s="451">
        <v>0</v>
      </c>
      <c r="AA244" s="451">
        <v>0</v>
      </c>
      <c r="AB244" s="451">
        <v>999674</v>
      </c>
      <c r="AC244" s="451">
        <v>799739</v>
      </c>
      <c r="AD244" s="451">
        <v>179941</v>
      </c>
      <c r="AE244" s="451">
        <v>19993</v>
      </c>
      <c r="AF244" s="451">
        <v>1999347</v>
      </c>
      <c r="AG244" s="451">
        <v>190725</v>
      </c>
      <c r="AH244" s="451">
        <v>152580</v>
      </c>
      <c r="AI244" s="451">
        <v>34330</v>
      </c>
      <c r="AJ244" s="451">
        <v>3814</v>
      </c>
      <c r="AK244" s="451">
        <v>381449</v>
      </c>
      <c r="AL244" s="451">
        <v>0</v>
      </c>
      <c r="AM244" s="451">
        <v>0</v>
      </c>
      <c r="AN244" s="451">
        <v>0</v>
      </c>
      <c r="AO244" s="451">
        <v>0</v>
      </c>
      <c r="AP244" s="451">
        <v>0</v>
      </c>
      <c r="AQ244" s="451">
        <v>680409</v>
      </c>
      <c r="AR244" s="451">
        <v>544327</v>
      </c>
      <c r="AS244" s="451">
        <v>122474</v>
      </c>
      <c r="AT244" s="451">
        <v>13608</v>
      </c>
      <c r="AU244" s="451">
        <v>1360818</v>
      </c>
      <c r="AV244" s="451">
        <v>680409</v>
      </c>
      <c r="AW244" s="451">
        <v>544327</v>
      </c>
      <c r="AX244" s="451">
        <v>122474</v>
      </c>
      <c r="AY244" s="451">
        <v>13608</v>
      </c>
      <c r="AZ244" s="451">
        <v>1360818</v>
      </c>
      <c r="BA244" s="451">
        <v>0</v>
      </c>
      <c r="BB244" s="451">
        <v>0</v>
      </c>
      <c r="BC244" s="451">
        <v>0</v>
      </c>
      <c r="BD244" s="451">
        <v>0</v>
      </c>
      <c r="BE244" s="451">
        <v>0</v>
      </c>
      <c r="BF244" s="451">
        <v>267351</v>
      </c>
      <c r="BG244" s="451">
        <v>213880</v>
      </c>
      <c r="BH244" s="451">
        <v>48123</v>
      </c>
      <c r="BI244" s="451">
        <v>5347</v>
      </c>
      <c r="BJ244" s="451">
        <v>534701</v>
      </c>
      <c r="BK244" s="451">
        <v>267351</v>
      </c>
      <c r="BL244" s="451">
        <v>213880</v>
      </c>
      <c r="BM244" s="451">
        <v>48123</v>
      </c>
      <c r="BN244" s="451">
        <v>5347</v>
      </c>
      <c r="BO244" s="451">
        <v>534701</v>
      </c>
      <c r="BP244" s="451">
        <v>0</v>
      </c>
      <c r="BQ244" s="451">
        <v>0</v>
      </c>
      <c r="BR244" s="451">
        <v>0</v>
      </c>
      <c r="BS244" s="451">
        <v>0</v>
      </c>
      <c r="BT244" s="451">
        <v>0</v>
      </c>
      <c r="BU244" s="451">
        <v>46183</v>
      </c>
      <c r="BV244" s="451">
        <v>36947</v>
      </c>
      <c r="BW244" s="451">
        <v>8313</v>
      </c>
      <c r="BX244" s="451">
        <v>924</v>
      </c>
      <c r="BY244" s="451">
        <v>92367</v>
      </c>
      <c r="BZ244" s="451">
        <v>46183</v>
      </c>
      <c r="CA244" s="451">
        <v>36947</v>
      </c>
      <c r="CB244" s="451">
        <v>8313</v>
      </c>
      <c r="CC244" s="451">
        <v>924</v>
      </c>
      <c r="CD244" s="451">
        <v>92367</v>
      </c>
      <c r="CE244" s="104"/>
      <c r="CF244" s="104"/>
      <c r="CG244" s="104"/>
    </row>
    <row r="245" spans="1:85" ht="12.75" x14ac:dyDescent="0.2">
      <c r="A245" s="446">
        <v>238</v>
      </c>
      <c r="B245" s="447" t="s">
        <v>359</v>
      </c>
      <c r="C245" s="448" t="s">
        <v>794</v>
      </c>
      <c r="D245" s="449" t="s">
        <v>1102</v>
      </c>
      <c r="E245" s="450" t="s">
        <v>744</v>
      </c>
      <c r="F245" s="451">
        <v>63003665</v>
      </c>
      <c r="G245" s="451">
        <v>61743591</v>
      </c>
      <c r="H245" s="451">
        <v>0</v>
      </c>
      <c r="I245" s="451">
        <v>1260073</v>
      </c>
      <c r="J245" s="451">
        <v>126007329</v>
      </c>
      <c r="K245" s="451">
        <v>0</v>
      </c>
      <c r="L245" s="451">
        <v>0</v>
      </c>
      <c r="M245" s="451">
        <v>63003665</v>
      </c>
      <c r="N245" s="451">
        <v>126007329</v>
      </c>
      <c r="O245" s="451">
        <v>330468</v>
      </c>
      <c r="P245" s="451">
        <v>330468</v>
      </c>
      <c r="Q245" s="451">
        <v>0</v>
      </c>
      <c r="R245" s="451">
        <v>0</v>
      </c>
      <c r="S245" s="451">
        <v>0</v>
      </c>
      <c r="T245" s="451">
        <v>0</v>
      </c>
      <c r="U245" s="451">
        <v>0</v>
      </c>
      <c r="V245" s="451">
        <v>0</v>
      </c>
      <c r="W245" s="451">
        <v>0</v>
      </c>
      <c r="X245" s="451">
        <v>0</v>
      </c>
      <c r="Y245" s="451">
        <v>0</v>
      </c>
      <c r="Z245" s="451">
        <v>0</v>
      </c>
      <c r="AA245" s="451">
        <v>0</v>
      </c>
      <c r="AB245" s="451">
        <v>1940730.19</v>
      </c>
      <c r="AC245" s="451">
        <v>1901916</v>
      </c>
      <c r="AD245" s="451">
        <v>0</v>
      </c>
      <c r="AE245" s="451">
        <v>38815</v>
      </c>
      <c r="AF245" s="451">
        <v>3881461.19</v>
      </c>
      <c r="AG245" s="451">
        <v>1235771.68</v>
      </c>
      <c r="AH245" s="451">
        <v>1211055</v>
      </c>
      <c r="AI245" s="451">
        <v>0</v>
      </c>
      <c r="AJ245" s="451">
        <v>24715</v>
      </c>
      <c r="AK245" s="451">
        <v>2471541.6800000002</v>
      </c>
      <c r="AL245" s="451">
        <v>129000</v>
      </c>
      <c r="AM245" s="451">
        <v>126420</v>
      </c>
      <c r="AN245" s="451">
        <v>0</v>
      </c>
      <c r="AO245" s="451">
        <v>2580</v>
      </c>
      <c r="AP245" s="451">
        <v>258000</v>
      </c>
      <c r="AQ245" s="451">
        <v>-35205</v>
      </c>
      <c r="AR245" s="451">
        <v>-34500</v>
      </c>
      <c r="AS245" s="451">
        <v>0</v>
      </c>
      <c r="AT245" s="451">
        <v>-704</v>
      </c>
      <c r="AU245" s="451">
        <v>-70409</v>
      </c>
      <c r="AV245" s="451">
        <v>93795</v>
      </c>
      <c r="AW245" s="451">
        <v>91920</v>
      </c>
      <c r="AX245" s="451">
        <v>0</v>
      </c>
      <c r="AY245" s="451">
        <v>1876</v>
      </c>
      <c r="AZ245" s="451">
        <v>187591</v>
      </c>
      <c r="BA245" s="451">
        <v>0</v>
      </c>
      <c r="BB245" s="451">
        <v>0</v>
      </c>
      <c r="BC245" s="451">
        <v>0</v>
      </c>
      <c r="BD245" s="451">
        <v>0</v>
      </c>
      <c r="BE245" s="451">
        <v>0</v>
      </c>
      <c r="BF245" s="451">
        <v>712235</v>
      </c>
      <c r="BG245" s="451">
        <v>697990</v>
      </c>
      <c r="BH245" s="451">
        <v>0</v>
      </c>
      <c r="BI245" s="451">
        <v>14245</v>
      </c>
      <c r="BJ245" s="451">
        <v>1424470</v>
      </c>
      <c r="BK245" s="451">
        <v>712235</v>
      </c>
      <c r="BL245" s="451">
        <v>697990</v>
      </c>
      <c r="BM245" s="451">
        <v>0</v>
      </c>
      <c r="BN245" s="451">
        <v>14245</v>
      </c>
      <c r="BO245" s="451">
        <v>1424470</v>
      </c>
      <c r="BP245" s="451">
        <v>0</v>
      </c>
      <c r="BQ245" s="451">
        <v>0</v>
      </c>
      <c r="BR245" s="451">
        <v>0</v>
      </c>
      <c r="BS245" s="451">
        <v>0</v>
      </c>
      <c r="BT245" s="451">
        <v>0</v>
      </c>
      <c r="BU245" s="451">
        <v>2938765</v>
      </c>
      <c r="BV245" s="451">
        <v>2879990</v>
      </c>
      <c r="BW245" s="451">
        <v>0</v>
      </c>
      <c r="BX245" s="451">
        <v>58775</v>
      </c>
      <c r="BY245" s="451">
        <v>5877530</v>
      </c>
      <c r="BZ245" s="451">
        <v>2938765</v>
      </c>
      <c r="CA245" s="451">
        <v>2879990</v>
      </c>
      <c r="CB245" s="451">
        <v>0</v>
      </c>
      <c r="CC245" s="451">
        <v>58775</v>
      </c>
      <c r="CD245" s="451">
        <v>5877530</v>
      </c>
      <c r="CE245" s="104"/>
      <c r="CF245" s="104"/>
      <c r="CG245" s="104"/>
    </row>
    <row r="246" spans="1:85" ht="12.75" x14ac:dyDescent="0.2">
      <c r="A246" s="446">
        <v>239</v>
      </c>
      <c r="B246" s="447" t="s">
        <v>361</v>
      </c>
      <c r="C246" s="448" t="s">
        <v>1093</v>
      </c>
      <c r="D246" s="449" t="s">
        <v>1102</v>
      </c>
      <c r="E246" s="450" t="s">
        <v>360</v>
      </c>
      <c r="F246" s="451">
        <v>14422830</v>
      </c>
      <c r="G246" s="451">
        <v>11538265</v>
      </c>
      <c r="H246" s="451">
        <v>2596110</v>
      </c>
      <c r="I246" s="451">
        <v>288457</v>
      </c>
      <c r="J246" s="451">
        <v>28845662</v>
      </c>
      <c r="K246" s="451">
        <v>0</v>
      </c>
      <c r="L246" s="451">
        <v>0</v>
      </c>
      <c r="M246" s="451">
        <v>14422830</v>
      </c>
      <c r="N246" s="451">
        <v>28845662</v>
      </c>
      <c r="O246" s="451">
        <v>206226</v>
      </c>
      <c r="P246" s="451">
        <v>206226</v>
      </c>
      <c r="Q246" s="451">
        <v>0</v>
      </c>
      <c r="R246" s="451">
        <v>0</v>
      </c>
      <c r="S246" s="451">
        <v>0</v>
      </c>
      <c r="T246" s="451">
        <v>0</v>
      </c>
      <c r="U246" s="451">
        <v>0</v>
      </c>
      <c r="V246" s="451">
        <v>0</v>
      </c>
      <c r="W246" s="451">
        <v>0</v>
      </c>
      <c r="X246" s="451">
        <v>0</v>
      </c>
      <c r="Y246" s="451">
        <v>0</v>
      </c>
      <c r="Z246" s="451">
        <v>0</v>
      </c>
      <c r="AA246" s="451">
        <v>0</v>
      </c>
      <c r="AB246" s="451">
        <v>675729</v>
      </c>
      <c r="AC246" s="451">
        <v>540583</v>
      </c>
      <c r="AD246" s="451">
        <v>121631</v>
      </c>
      <c r="AE246" s="451">
        <v>13515</v>
      </c>
      <c r="AF246" s="451">
        <v>1351458</v>
      </c>
      <c r="AG246" s="451">
        <v>134458</v>
      </c>
      <c r="AH246" s="451">
        <v>107566</v>
      </c>
      <c r="AI246" s="451">
        <v>24202</v>
      </c>
      <c r="AJ246" s="451">
        <v>2689</v>
      </c>
      <c r="AK246" s="451">
        <v>268915</v>
      </c>
      <c r="AL246" s="451">
        <v>117930</v>
      </c>
      <c r="AM246" s="451">
        <v>94345</v>
      </c>
      <c r="AN246" s="451">
        <v>21228</v>
      </c>
      <c r="AO246" s="451">
        <v>2359</v>
      </c>
      <c r="AP246" s="451">
        <v>235862</v>
      </c>
      <c r="AQ246" s="451">
        <v>49453</v>
      </c>
      <c r="AR246" s="451">
        <v>39562</v>
      </c>
      <c r="AS246" s="451">
        <v>8902</v>
      </c>
      <c r="AT246" s="451">
        <v>989</v>
      </c>
      <c r="AU246" s="451">
        <v>98906</v>
      </c>
      <c r="AV246" s="451">
        <v>167383</v>
      </c>
      <c r="AW246" s="451">
        <v>133907</v>
      </c>
      <c r="AX246" s="451">
        <v>30130</v>
      </c>
      <c r="AY246" s="451">
        <v>3348</v>
      </c>
      <c r="AZ246" s="451">
        <v>334768</v>
      </c>
      <c r="BA246" s="451">
        <v>0</v>
      </c>
      <c r="BB246" s="451">
        <v>0</v>
      </c>
      <c r="BC246" s="451">
        <v>0</v>
      </c>
      <c r="BD246" s="451">
        <v>0</v>
      </c>
      <c r="BE246" s="451">
        <v>0</v>
      </c>
      <c r="BF246" s="451">
        <v>248238</v>
      </c>
      <c r="BG246" s="451">
        <v>198590</v>
      </c>
      <c r="BH246" s="451">
        <v>44683</v>
      </c>
      <c r="BI246" s="451">
        <v>4965</v>
      </c>
      <c r="BJ246" s="451">
        <v>496476</v>
      </c>
      <c r="BK246" s="451">
        <v>248238</v>
      </c>
      <c r="BL246" s="451">
        <v>198590</v>
      </c>
      <c r="BM246" s="451">
        <v>44683</v>
      </c>
      <c r="BN246" s="451">
        <v>4965</v>
      </c>
      <c r="BO246" s="451">
        <v>496476</v>
      </c>
      <c r="BP246" s="451">
        <v>0</v>
      </c>
      <c r="BQ246" s="451">
        <v>0</v>
      </c>
      <c r="BR246" s="451">
        <v>0</v>
      </c>
      <c r="BS246" s="451">
        <v>0</v>
      </c>
      <c r="BT246" s="451">
        <v>0</v>
      </c>
      <c r="BU246" s="451">
        <v>679647</v>
      </c>
      <c r="BV246" s="451">
        <v>543718</v>
      </c>
      <c r="BW246" s="451">
        <v>122336</v>
      </c>
      <c r="BX246" s="451">
        <v>13593</v>
      </c>
      <c r="BY246" s="451">
        <v>1359294</v>
      </c>
      <c r="BZ246" s="451">
        <v>679647</v>
      </c>
      <c r="CA246" s="451">
        <v>543718</v>
      </c>
      <c r="CB246" s="451">
        <v>122336</v>
      </c>
      <c r="CC246" s="451">
        <v>13593</v>
      </c>
      <c r="CD246" s="451">
        <v>1359294</v>
      </c>
      <c r="CE246" s="104"/>
      <c r="CF246" s="104"/>
      <c r="CG246" s="104"/>
    </row>
    <row r="247" spans="1:85" ht="12.75" x14ac:dyDescent="0.2">
      <c r="A247" s="446">
        <v>240</v>
      </c>
      <c r="B247" s="447" t="s">
        <v>363</v>
      </c>
      <c r="C247" s="448" t="s">
        <v>1093</v>
      </c>
      <c r="D247" s="449" t="s">
        <v>1096</v>
      </c>
      <c r="E247" s="450" t="s">
        <v>362</v>
      </c>
      <c r="F247" s="451">
        <v>11455681</v>
      </c>
      <c r="G247" s="451">
        <v>9164544</v>
      </c>
      <c r="H247" s="451">
        <v>2291136</v>
      </c>
      <c r="I247" s="451">
        <v>0</v>
      </c>
      <c r="J247" s="451">
        <v>22911361</v>
      </c>
      <c r="K247" s="451">
        <v>0</v>
      </c>
      <c r="L247" s="451">
        <v>0</v>
      </c>
      <c r="M247" s="451">
        <v>11455681</v>
      </c>
      <c r="N247" s="451">
        <v>22911361</v>
      </c>
      <c r="O247" s="451">
        <v>113511</v>
      </c>
      <c r="P247" s="451">
        <v>113511</v>
      </c>
      <c r="Q247" s="451">
        <v>0</v>
      </c>
      <c r="R247" s="451">
        <v>0</v>
      </c>
      <c r="S247" s="451">
        <v>0</v>
      </c>
      <c r="T247" s="451">
        <v>0</v>
      </c>
      <c r="U247" s="451">
        <v>193097</v>
      </c>
      <c r="V247" s="451">
        <v>0</v>
      </c>
      <c r="W247" s="451">
        <v>193097</v>
      </c>
      <c r="X247" s="451">
        <v>0</v>
      </c>
      <c r="Y247" s="451">
        <v>0</v>
      </c>
      <c r="Z247" s="451">
        <v>0</v>
      </c>
      <c r="AA247" s="451">
        <v>0</v>
      </c>
      <c r="AB247" s="451">
        <v>304234</v>
      </c>
      <c r="AC247" s="451">
        <v>243387</v>
      </c>
      <c r="AD247" s="451">
        <v>60847</v>
      </c>
      <c r="AE247" s="451">
        <v>0</v>
      </c>
      <c r="AF247" s="451">
        <v>608468</v>
      </c>
      <c r="AG247" s="451">
        <v>147072</v>
      </c>
      <c r="AH247" s="451">
        <v>117658</v>
      </c>
      <c r="AI247" s="451">
        <v>29415</v>
      </c>
      <c r="AJ247" s="451">
        <v>0</v>
      </c>
      <c r="AK247" s="451">
        <v>294145</v>
      </c>
      <c r="AL247" s="451">
        <v>118000</v>
      </c>
      <c r="AM247" s="451">
        <v>94400</v>
      </c>
      <c r="AN247" s="451">
        <v>23600</v>
      </c>
      <c r="AO247" s="451">
        <v>0</v>
      </c>
      <c r="AP247" s="451">
        <v>236000</v>
      </c>
      <c r="AQ247" s="451">
        <v>3500</v>
      </c>
      <c r="AR247" s="451">
        <v>2800</v>
      </c>
      <c r="AS247" s="451">
        <v>700</v>
      </c>
      <c r="AT247" s="451">
        <v>0</v>
      </c>
      <c r="AU247" s="451">
        <v>7000</v>
      </c>
      <c r="AV247" s="451">
        <v>121500</v>
      </c>
      <c r="AW247" s="451">
        <v>97200</v>
      </c>
      <c r="AX247" s="451">
        <v>24300</v>
      </c>
      <c r="AY247" s="451">
        <v>0</v>
      </c>
      <c r="AZ247" s="451">
        <v>243000</v>
      </c>
      <c r="BA247" s="451">
        <v>0</v>
      </c>
      <c r="BB247" s="451">
        <v>0</v>
      </c>
      <c r="BC247" s="451">
        <v>0</v>
      </c>
      <c r="BD247" s="451">
        <v>0</v>
      </c>
      <c r="BE247" s="451">
        <v>0</v>
      </c>
      <c r="BF247" s="451">
        <v>237878</v>
      </c>
      <c r="BG247" s="451">
        <v>190303</v>
      </c>
      <c r="BH247" s="451">
        <v>47576</v>
      </c>
      <c r="BI247" s="451">
        <v>0</v>
      </c>
      <c r="BJ247" s="451">
        <v>475757</v>
      </c>
      <c r="BK247" s="451">
        <v>237878</v>
      </c>
      <c r="BL247" s="451">
        <v>190303</v>
      </c>
      <c r="BM247" s="451">
        <v>47576</v>
      </c>
      <c r="BN247" s="451">
        <v>0</v>
      </c>
      <c r="BO247" s="451">
        <v>475757</v>
      </c>
      <c r="BP247" s="451">
        <v>0</v>
      </c>
      <c r="BQ247" s="451">
        <v>0</v>
      </c>
      <c r="BR247" s="451">
        <v>0</v>
      </c>
      <c r="BS247" s="451">
        <v>0</v>
      </c>
      <c r="BT247" s="451">
        <v>0</v>
      </c>
      <c r="BU247" s="451">
        <v>1035927</v>
      </c>
      <c r="BV247" s="451">
        <v>828742</v>
      </c>
      <c r="BW247" s="451">
        <v>207185</v>
      </c>
      <c r="BX247" s="451">
        <v>0</v>
      </c>
      <c r="BY247" s="451">
        <v>2071854</v>
      </c>
      <c r="BZ247" s="451">
        <v>1035927</v>
      </c>
      <c r="CA247" s="451">
        <v>828742</v>
      </c>
      <c r="CB247" s="451">
        <v>207185</v>
      </c>
      <c r="CC247" s="451">
        <v>0</v>
      </c>
      <c r="CD247" s="451">
        <v>2071854</v>
      </c>
      <c r="CE247" s="104"/>
      <c r="CF247" s="104"/>
      <c r="CG247" s="104"/>
    </row>
    <row r="248" spans="1:85" ht="12.75" x14ac:dyDescent="0.2">
      <c r="A248" s="446">
        <v>241</v>
      </c>
      <c r="B248" s="447" t="s">
        <v>365</v>
      </c>
      <c r="C248" s="448" t="s">
        <v>1093</v>
      </c>
      <c r="D248" s="449" t="s">
        <v>1096</v>
      </c>
      <c r="E248" s="450" t="s">
        <v>364</v>
      </c>
      <c r="F248" s="451">
        <v>18713864</v>
      </c>
      <c r="G248" s="451">
        <v>14971091</v>
      </c>
      <c r="H248" s="451">
        <v>3742773</v>
      </c>
      <c r="I248" s="451">
        <v>0</v>
      </c>
      <c r="J248" s="451">
        <v>37427728</v>
      </c>
      <c r="K248" s="451">
        <v>0</v>
      </c>
      <c r="L248" s="451">
        <v>0</v>
      </c>
      <c r="M248" s="451">
        <v>18713864</v>
      </c>
      <c r="N248" s="451">
        <v>37427728</v>
      </c>
      <c r="O248" s="451">
        <v>179287</v>
      </c>
      <c r="P248" s="451">
        <v>179287</v>
      </c>
      <c r="Q248" s="451">
        <v>0</v>
      </c>
      <c r="R248" s="451">
        <v>0</v>
      </c>
      <c r="S248" s="451">
        <v>0</v>
      </c>
      <c r="T248" s="451">
        <v>0</v>
      </c>
      <c r="U248" s="451">
        <v>0</v>
      </c>
      <c r="V248" s="451">
        <v>0</v>
      </c>
      <c r="W248" s="451">
        <v>0</v>
      </c>
      <c r="X248" s="451">
        <v>0</v>
      </c>
      <c r="Y248" s="451">
        <v>0</v>
      </c>
      <c r="Z248" s="451">
        <v>0</v>
      </c>
      <c r="AA248" s="451">
        <v>0</v>
      </c>
      <c r="AB248" s="451">
        <v>870344</v>
      </c>
      <c r="AC248" s="451">
        <v>696276</v>
      </c>
      <c r="AD248" s="451">
        <v>174069</v>
      </c>
      <c r="AE248" s="451">
        <v>0</v>
      </c>
      <c r="AF248" s="451">
        <v>1740689</v>
      </c>
      <c r="AG248" s="451">
        <v>-368849</v>
      </c>
      <c r="AH248" s="451">
        <v>-295079</v>
      </c>
      <c r="AI248" s="451">
        <v>-73770</v>
      </c>
      <c r="AJ248" s="451">
        <v>0</v>
      </c>
      <c r="AK248" s="451">
        <v>-737698</v>
      </c>
      <c r="AL248" s="451">
        <v>237000</v>
      </c>
      <c r="AM248" s="451">
        <v>189600</v>
      </c>
      <c r="AN248" s="451">
        <v>47400</v>
      </c>
      <c r="AO248" s="451">
        <v>0</v>
      </c>
      <c r="AP248" s="451">
        <v>474000</v>
      </c>
      <c r="AQ248" s="451">
        <v>50500</v>
      </c>
      <c r="AR248" s="451">
        <v>40400</v>
      </c>
      <c r="AS248" s="451">
        <v>10100</v>
      </c>
      <c r="AT248" s="451">
        <v>0</v>
      </c>
      <c r="AU248" s="451">
        <v>101000</v>
      </c>
      <c r="AV248" s="451">
        <v>287500</v>
      </c>
      <c r="AW248" s="451">
        <v>230000</v>
      </c>
      <c r="AX248" s="451">
        <v>57500</v>
      </c>
      <c r="AY248" s="451">
        <v>0</v>
      </c>
      <c r="AZ248" s="451">
        <v>575000</v>
      </c>
      <c r="BA248" s="451">
        <v>0</v>
      </c>
      <c r="BB248" s="451">
        <v>0</v>
      </c>
      <c r="BC248" s="451">
        <v>0</v>
      </c>
      <c r="BD248" s="451">
        <v>0</v>
      </c>
      <c r="BE248" s="451">
        <v>0</v>
      </c>
      <c r="BF248" s="451">
        <v>173850</v>
      </c>
      <c r="BG248" s="451">
        <v>139080</v>
      </c>
      <c r="BH248" s="451">
        <v>34770</v>
      </c>
      <c r="BI248" s="451">
        <v>0</v>
      </c>
      <c r="BJ248" s="451">
        <v>347700</v>
      </c>
      <c r="BK248" s="451">
        <v>173850</v>
      </c>
      <c r="BL248" s="451">
        <v>139080</v>
      </c>
      <c r="BM248" s="451">
        <v>34770</v>
      </c>
      <c r="BN248" s="451">
        <v>0</v>
      </c>
      <c r="BO248" s="451">
        <v>347700</v>
      </c>
      <c r="BP248" s="451">
        <v>0</v>
      </c>
      <c r="BQ248" s="451">
        <v>0</v>
      </c>
      <c r="BR248" s="451">
        <v>0</v>
      </c>
      <c r="BS248" s="451">
        <v>0</v>
      </c>
      <c r="BT248" s="451">
        <v>0</v>
      </c>
      <c r="BU248" s="451">
        <v>461790</v>
      </c>
      <c r="BV248" s="451">
        <v>369432</v>
      </c>
      <c r="BW248" s="451">
        <v>92358</v>
      </c>
      <c r="BX248" s="451">
        <v>0</v>
      </c>
      <c r="BY248" s="451">
        <v>923580</v>
      </c>
      <c r="BZ248" s="451">
        <v>461790</v>
      </c>
      <c r="CA248" s="451">
        <v>369432</v>
      </c>
      <c r="CB248" s="451">
        <v>92358</v>
      </c>
      <c r="CC248" s="451">
        <v>0</v>
      </c>
      <c r="CD248" s="451">
        <v>923580</v>
      </c>
      <c r="CE248" s="104"/>
      <c r="CF248" s="104"/>
      <c r="CG248" s="104"/>
    </row>
    <row r="249" spans="1:85" ht="12.75" x14ac:dyDescent="0.2">
      <c r="A249" s="446">
        <v>242</v>
      </c>
      <c r="B249" s="447" t="s">
        <v>367</v>
      </c>
      <c r="C249" s="448" t="s">
        <v>1093</v>
      </c>
      <c r="D249" s="449" t="s">
        <v>1095</v>
      </c>
      <c r="E249" s="450" t="s">
        <v>366</v>
      </c>
      <c r="F249" s="451">
        <v>18663581</v>
      </c>
      <c r="G249" s="451">
        <v>14930864</v>
      </c>
      <c r="H249" s="451">
        <v>3732716</v>
      </c>
      <c r="I249" s="451">
        <v>0</v>
      </c>
      <c r="J249" s="451">
        <v>37327161</v>
      </c>
      <c r="K249" s="451">
        <v>0</v>
      </c>
      <c r="L249" s="451">
        <v>0</v>
      </c>
      <c r="M249" s="451">
        <v>18663581</v>
      </c>
      <c r="N249" s="451">
        <v>37327161</v>
      </c>
      <c r="O249" s="451">
        <v>296593</v>
      </c>
      <c r="P249" s="451">
        <v>296593</v>
      </c>
      <c r="Q249" s="451">
        <v>0</v>
      </c>
      <c r="R249" s="451">
        <v>0</v>
      </c>
      <c r="S249" s="451">
        <v>0</v>
      </c>
      <c r="T249" s="451">
        <v>0</v>
      </c>
      <c r="U249" s="451">
        <v>0</v>
      </c>
      <c r="V249" s="451">
        <v>0</v>
      </c>
      <c r="W249" s="451">
        <v>0</v>
      </c>
      <c r="X249" s="451">
        <v>0</v>
      </c>
      <c r="Y249" s="451">
        <v>0</v>
      </c>
      <c r="Z249" s="451">
        <v>0</v>
      </c>
      <c r="AA249" s="451">
        <v>0</v>
      </c>
      <c r="AB249" s="451">
        <v>725019.02</v>
      </c>
      <c r="AC249" s="451">
        <v>580015</v>
      </c>
      <c r="AD249" s="451">
        <v>145004</v>
      </c>
      <c r="AE249" s="451">
        <v>0</v>
      </c>
      <c r="AF249" s="451">
        <v>1450038.02</v>
      </c>
      <c r="AG249" s="451">
        <v>294592.59999999998</v>
      </c>
      <c r="AH249" s="451">
        <v>235674</v>
      </c>
      <c r="AI249" s="451">
        <v>58918</v>
      </c>
      <c r="AJ249" s="451">
        <v>0</v>
      </c>
      <c r="AK249" s="451">
        <v>589184.6</v>
      </c>
      <c r="AL249" s="451">
        <v>328677</v>
      </c>
      <c r="AM249" s="451">
        <v>262941</v>
      </c>
      <c r="AN249" s="451">
        <v>65735</v>
      </c>
      <c r="AO249" s="451">
        <v>0</v>
      </c>
      <c r="AP249" s="451">
        <v>657353</v>
      </c>
      <c r="AQ249" s="451">
        <v>72688.86</v>
      </c>
      <c r="AR249" s="451">
        <v>58152</v>
      </c>
      <c r="AS249" s="451">
        <v>14538</v>
      </c>
      <c r="AT249" s="451">
        <v>0</v>
      </c>
      <c r="AU249" s="451">
        <v>145378.85999999999</v>
      </c>
      <c r="AV249" s="451">
        <v>401365.86</v>
      </c>
      <c r="AW249" s="451">
        <v>321093</v>
      </c>
      <c r="AX249" s="451">
        <v>80273</v>
      </c>
      <c r="AY249" s="451">
        <v>0</v>
      </c>
      <c r="AZ249" s="451">
        <v>802731.86</v>
      </c>
      <c r="BA249" s="451">
        <v>0</v>
      </c>
      <c r="BB249" s="451">
        <v>0</v>
      </c>
      <c r="BC249" s="451">
        <v>0</v>
      </c>
      <c r="BD249" s="451">
        <v>0</v>
      </c>
      <c r="BE249" s="451">
        <v>0</v>
      </c>
      <c r="BF249" s="451">
        <v>266000</v>
      </c>
      <c r="BG249" s="451">
        <v>212800</v>
      </c>
      <c r="BH249" s="451">
        <v>53200</v>
      </c>
      <c r="BI249" s="451">
        <v>0</v>
      </c>
      <c r="BJ249" s="451">
        <v>532000</v>
      </c>
      <c r="BK249" s="451">
        <v>266000</v>
      </c>
      <c r="BL249" s="451">
        <v>212800</v>
      </c>
      <c r="BM249" s="451">
        <v>53200</v>
      </c>
      <c r="BN249" s="451">
        <v>0</v>
      </c>
      <c r="BO249" s="451">
        <v>532000</v>
      </c>
      <c r="BP249" s="451">
        <v>0</v>
      </c>
      <c r="BQ249" s="451">
        <v>0</v>
      </c>
      <c r="BR249" s="451">
        <v>0</v>
      </c>
      <c r="BS249" s="451">
        <v>0</v>
      </c>
      <c r="BT249" s="451">
        <v>0</v>
      </c>
      <c r="BU249" s="451">
        <v>629000</v>
      </c>
      <c r="BV249" s="451">
        <v>503200</v>
      </c>
      <c r="BW249" s="451">
        <v>125800</v>
      </c>
      <c r="BX249" s="451">
        <v>0</v>
      </c>
      <c r="BY249" s="451">
        <v>1258000</v>
      </c>
      <c r="BZ249" s="451">
        <v>629000</v>
      </c>
      <c r="CA249" s="451">
        <v>503200</v>
      </c>
      <c r="CB249" s="451">
        <v>125800</v>
      </c>
      <c r="CC249" s="451">
        <v>0</v>
      </c>
      <c r="CD249" s="451">
        <v>1258000</v>
      </c>
      <c r="CE249" s="104"/>
      <c r="CF249" s="104"/>
      <c r="CG249" s="104"/>
    </row>
    <row r="250" spans="1:85" ht="12.75" x14ac:dyDescent="0.2">
      <c r="A250" s="446">
        <v>243</v>
      </c>
      <c r="B250" s="447" t="s">
        <v>369</v>
      </c>
      <c r="C250" s="448" t="s">
        <v>1093</v>
      </c>
      <c r="D250" s="449" t="s">
        <v>1097</v>
      </c>
      <c r="E250" s="450" t="s">
        <v>368</v>
      </c>
      <c r="F250" s="451">
        <v>13457597</v>
      </c>
      <c r="G250" s="451">
        <v>10766078</v>
      </c>
      <c r="H250" s="451">
        <v>2691520</v>
      </c>
      <c r="I250" s="451">
        <v>0</v>
      </c>
      <c r="J250" s="451">
        <v>26915195</v>
      </c>
      <c r="K250" s="451">
        <v>0</v>
      </c>
      <c r="L250" s="451">
        <v>0</v>
      </c>
      <c r="M250" s="451">
        <v>13457597</v>
      </c>
      <c r="N250" s="451">
        <v>26915195</v>
      </c>
      <c r="O250" s="451">
        <v>148821</v>
      </c>
      <c r="P250" s="451">
        <v>148821</v>
      </c>
      <c r="Q250" s="451">
        <v>0</v>
      </c>
      <c r="R250" s="451">
        <v>0</v>
      </c>
      <c r="S250" s="451">
        <v>0</v>
      </c>
      <c r="T250" s="451">
        <v>0</v>
      </c>
      <c r="U250" s="451">
        <v>0</v>
      </c>
      <c r="V250" s="451">
        <v>0</v>
      </c>
      <c r="W250" s="451">
        <v>0</v>
      </c>
      <c r="X250" s="451">
        <v>0</v>
      </c>
      <c r="Y250" s="451">
        <v>0</v>
      </c>
      <c r="Z250" s="451">
        <v>0</v>
      </c>
      <c r="AA250" s="451">
        <v>0</v>
      </c>
      <c r="AB250" s="451">
        <v>537468</v>
      </c>
      <c r="AC250" s="451">
        <v>429975</v>
      </c>
      <c r="AD250" s="451">
        <v>107494</v>
      </c>
      <c r="AE250" s="451">
        <v>0</v>
      </c>
      <c r="AF250" s="451">
        <v>1074937</v>
      </c>
      <c r="AG250" s="451">
        <v>94884</v>
      </c>
      <c r="AH250" s="451">
        <v>75908</v>
      </c>
      <c r="AI250" s="451">
        <v>18977</v>
      </c>
      <c r="AJ250" s="451">
        <v>0</v>
      </c>
      <c r="AK250" s="451">
        <v>189769</v>
      </c>
      <c r="AL250" s="451">
        <v>109892</v>
      </c>
      <c r="AM250" s="451">
        <v>87914</v>
      </c>
      <c r="AN250" s="451">
        <v>21979</v>
      </c>
      <c r="AO250" s="451">
        <v>0</v>
      </c>
      <c r="AP250" s="451">
        <v>219785</v>
      </c>
      <c r="AQ250" s="451">
        <v>61217</v>
      </c>
      <c r="AR250" s="451">
        <v>48974</v>
      </c>
      <c r="AS250" s="451">
        <v>12244</v>
      </c>
      <c r="AT250" s="451">
        <v>0</v>
      </c>
      <c r="AU250" s="451">
        <v>122435</v>
      </c>
      <c r="AV250" s="451">
        <v>171109</v>
      </c>
      <c r="AW250" s="451">
        <v>136888</v>
      </c>
      <c r="AX250" s="451">
        <v>34223</v>
      </c>
      <c r="AY250" s="451">
        <v>0</v>
      </c>
      <c r="AZ250" s="451">
        <v>342220</v>
      </c>
      <c r="BA250" s="451">
        <v>0</v>
      </c>
      <c r="BB250" s="451">
        <v>0</v>
      </c>
      <c r="BC250" s="451">
        <v>0</v>
      </c>
      <c r="BD250" s="451">
        <v>0</v>
      </c>
      <c r="BE250" s="451">
        <v>0</v>
      </c>
      <c r="BF250" s="451">
        <v>120262</v>
      </c>
      <c r="BG250" s="451">
        <v>96209</v>
      </c>
      <c r="BH250" s="451">
        <v>24052</v>
      </c>
      <c r="BI250" s="451">
        <v>0</v>
      </c>
      <c r="BJ250" s="451">
        <v>240523</v>
      </c>
      <c r="BK250" s="451">
        <v>120262</v>
      </c>
      <c r="BL250" s="451">
        <v>96209</v>
      </c>
      <c r="BM250" s="451">
        <v>24052</v>
      </c>
      <c r="BN250" s="451">
        <v>0</v>
      </c>
      <c r="BO250" s="451">
        <v>240523</v>
      </c>
      <c r="BP250" s="451">
        <v>0</v>
      </c>
      <c r="BQ250" s="451">
        <v>0</v>
      </c>
      <c r="BR250" s="451">
        <v>0</v>
      </c>
      <c r="BS250" s="451">
        <v>0</v>
      </c>
      <c r="BT250" s="451">
        <v>0</v>
      </c>
      <c r="BU250" s="451">
        <v>356642</v>
      </c>
      <c r="BV250" s="451">
        <v>285314</v>
      </c>
      <c r="BW250" s="451">
        <v>71329</v>
      </c>
      <c r="BX250" s="451">
        <v>0</v>
      </c>
      <c r="BY250" s="451">
        <v>713285</v>
      </c>
      <c r="BZ250" s="451">
        <v>356642</v>
      </c>
      <c r="CA250" s="451">
        <v>285314</v>
      </c>
      <c r="CB250" s="451">
        <v>71329</v>
      </c>
      <c r="CC250" s="451">
        <v>0</v>
      </c>
      <c r="CD250" s="451">
        <v>713285</v>
      </c>
      <c r="CE250" s="104"/>
      <c r="CF250" s="104"/>
      <c r="CG250" s="104"/>
    </row>
    <row r="251" spans="1:85" ht="12.75" x14ac:dyDescent="0.2">
      <c r="A251" s="446">
        <v>244</v>
      </c>
      <c r="B251" s="447" t="s">
        <v>371</v>
      </c>
      <c r="C251" s="448" t="s">
        <v>1093</v>
      </c>
      <c r="D251" s="449" t="s">
        <v>1096</v>
      </c>
      <c r="E251" s="450" t="s">
        <v>370</v>
      </c>
      <c r="F251" s="451">
        <v>9546307</v>
      </c>
      <c r="G251" s="451">
        <v>7637046</v>
      </c>
      <c r="H251" s="451">
        <v>1909261</v>
      </c>
      <c r="I251" s="451">
        <v>0</v>
      </c>
      <c r="J251" s="451">
        <v>19092614</v>
      </c>
      <c r="K251" s="451">
        <v>0</v>
      </c>
      <c r="L251" s="451">
        <v>0</v>
      </c>
      <c r="M251" s="451">
        <v>9546307</v>
      </c>
      <c r="N251" s="451">
        <v>19092614</v>
      </c>
      <c r="O251" s="451">
        <v>106988</v>
      </c>
      <c r="P251" s="451">
        <v>106988</v>
      </c>
      <c r="Q251" s="451">
        <v>0</v>
      </c>
      <c r="R251" s="451">
        <v>0</v>
      </c>
      <c r="S251" s="451">
        <v>0</v>
      </c>
      <c r="T251" s="451">
        <v>0</v>
      </c>
      <c r="U251" s="451">
        <v>0</v>
      </c>
      <c r="V251" s="451">
        <v>0</v>
      </c>
      <c r="W251" s="451">
        <v>0</v>
      </c>
      <c r="X251" s="451">
        <v>0</v>
      </c>
      <c r="Y251" s="451">
        <v>0</v>
      </c>
      <c r="Z251" s="451">
        <v>0</v>
      </c>
      <c r="AA251" s="451">
        <v>0</v>
      </c>
      <c r="AB251" s="451">
        <v>219235</v>
      </c>
      <c r="AC251" s="451">
        <v>175388</v>
      </c>
      <c r="AD251" s="451">
        <v>43847</v>
      </c>
      <c r="AE251" s="451">
        <v>0</v>
      </c>
      <c r="AF251" s="451">
        <v>438470</v>
      </c>
      <c r="AG251" s="451">
        <v>198530</v>
      </c>
      <c r="AH251" s="451">
        <v>158824</v>
      </c>
      <c r="AI251" s="451">
        <v>39706</v>
      </c>
      <c r="AJ251" s="451">
        <v>0</v>
      </c>
      <c r="AK251" s="451">
        <v>397060</v>
      </c>
      <c r="AL251" s="451">
        <v>80512.67</v>
      </c>
      <c r="AM251" s="451">
        <v>64409</v>
      </c>
      <c r="AN251" s="451">
        <v>16102</v>
      </c>
      <c r="AO251" s="451">
        <v>0</v>
      </c>
      <c r="AP251" s="451">
        <v>161023.67000000001</v>
      </c>
      <c r="AQ251" s="451">
        <v>44011</v>
      </c>
      <c r="AR251" s="451">
        <v>35208</v>
      </c>
      <c r="AS251" s="451">
        <v>8802</v>
      </c>
      <c r="AT251" s="451">
        <v>0</v>
      </c>
      <c r="AU251" s="451">
        <v>88021</v>
      </c>
      <c r="AV251" s="451">
        <v>124523.67</v>
      </c>
      <c r="AW251" s="451">
        <v>99617</v>
      </c>
      <c r="AX251" s="451">
        <v>24904</v>
      </c>
      <c r="AY251" s="451">
        <v>0</v>
      </c>
      <c r="AZ251" s="451">
        <v>249044.67</v>
      </c>
      <c r="BA251" s="451">
        <v>0</v>
      </c>
      <c r="BB251" s="451">
        <v>0</v>
      </c>
      <c r="BC251" s="451">
        <v>0</v>
      </c>
      <c r="BD251" s="451">
        <v>0</v>
      </c>
      <c r="BE251" s="451">
        <v>0</v>
      </c>
      <c r="BF251" s="451">
        <v>23250</v>
      </c>
      <c r="BG251" s="451">
        <v>18600</v>
      </c>
      <c r="BH251" s="451">
        <v>4650</v>
      </c>
      <c r="BI251" s="451">
        <v>0</v>
      </c>
      <c r="BJ251" s="451">
        <v>46500</v>
      </c>
      <c r="BK251" s="451">
        <v>23250</v>
      </c>
      <c r="BL251" s="451">
        <v>18600</v>
      </c>
      <c r="BM251" s="451">
        <v>4650</v>
      </c>
      <c r="BN251" s="451">
        <v>0</v>
      </c>
      <c r="BO251" s="451">
        <v>46500</v>
      </c>
      <c r="BP251" s="451">
        <v>0</v>
      </c>
      <c r="BQ251" s="451">
        <v>0</v>
      </c>
      <c r="BR251" s="451">
        <v>0</v>
      </c>
      <c r="BS251" s="451">
        <v>0</v>
      </c>
      <c r="BT251" s="451">
        <v>0</v>
      </c>
      <c r="BU251" s="451">
        <v>313328</v>
      </c>
      <c r="BV251" s="451">
        <v>250662</v>
      </c>
      <c r="BW251" s="451">
        <v>62666</v>
      </c>
      <c r="BX251" s="451">
        <v>0</v>
      </c>
      <c r="BY251" s="451">
        <v>626656</v>
      </c>
      <c r="BZ251" s="451">
        <v>313328</v>
      </c>
      <c r="CA251" s="451">
        <v>250662</v>
      </c>
      <c r="CB251" s="451">
        <v>62666</v>
      </c>
      <c r="CC251" s="451">
        <v>0</v>
      </c>
      <c r="CD251" s="451">
        <v>626656</v>
      </c>
      <c r="CE251" s="104"/>
      <c r="CF251" s="104"/>
      <c r="CG251" s="104"/>
    </row>
    <row r="252" spans="1:85" ht="12.75" x14ac:dyDescent="0.2">
      <c r="A252" s="446">
        <v>245</v>
      </c>
      <c r="B252" s="447" t="s">
        <v>373</v>
      </c>
      <c r="C252" s="448" t="s">
        <v>1093</v>
      </c>
      <c r="D252" s="449" t="s">
        <v>1094</v>
      </c>
      <c r="E252" s="450" t="s">
        <v>372</v>
      </c>
      <c r="F252" s="451">
        <v>19900308</v>
      </c>
      <c r="G252" s="451">
        <v>15920247</v>
      </c>
      <c r="H252" s="451">
        <v>3980062</v>
      </c>
      <c r="I252" s="451">
        <v>0</v>
      </c>
      <c r="J252" s="451">
        <v>39800617</v>
      </c>
      <c r="K252" s="451">
        <v>0</v>
      </c>
      <c r="L252" s="451">
        <v>0</v>
      </c>
      <c r="M252" s="451">
        <v>19900308</v>
      </c>
      <c r="N252" s="451">
        <v>39800617</v>
      </c>
      <c r="O252" s="451">
        <v>186629</v>
      </c>
      <c r="P252" s="451">
        <v>186629</v>
      </c>
      <c r="Q252" s="451">
        <v>0</v>
      </c>
      <c r="R252" s="451">
        <v>0</v>
      </c>
      <c r="S252" s="451">
        <v>0</v>
      </c>
      <c r="T252" s="451">
        <v>0</v>
      </c>
      <c r="U252" s="451">
        <v>0</v>
      </c>
      <c r="V252" s="451">
        <v>0</v>
      </c>
      <c r="W252" s="451">
        <v>0</v>
      </c>
      <c r="X252" s="451">
        <v>0</v>
      </c>
      <c r="Y252" s="451">
        <v>0</v>
      </c>
      <c r="Z252" s="451">
        <v>0</v>
      </c>
      <c r="AA252" s="451">
        <v>0</v>
      </c>
      <c r="AB252" s="451">
        <v>932667</v>
      </c>
      <c r="AC252" s="451">
        <v>746134</v>
      </c>
      <c r="AD252" s="451">
        <v>186534</v>
      </c>
      <c r="AE252" s="451">
        <v>0</v>
      </c>
      <c r="AF252" s="451">
        <v>1865335</v>
      </c>
      <c r="AG252" s="451">
        <v>397117</v>
      </c>
      <c r="AH252" s="451">
        <v>317694</v>
      </c>
      <c r="AI252" s="451">
        <v>79424</v>
      </c>
      <c r="AJ252" s="451">
        <v>0</v>
      </c>
      <c r="AK252" s="451">
        <v>794235</v>
      </c>
      <c r="AL252" s="451">
        <v>527795</v>
      </c>
      <c r="AM252" s="451">
        <v>422236</v>
      </c>
      <c r="AN252" s="451">
        <v>105559</v>
      </c>
      <c r="AO252" s="451">
        <v>0</v>
      </c>
      <c r="AP252" s="451">
        <v>1055590</v>
      </c>
      <c r="AQ252" s="451">
        <v>-108800</v>
      </c>
      <c r="AR252" s="451">
        <v>-87040</v>
      </c>
      <c r="AS252" s="451">
        <v>-21760</v>
      </c>
      <c r="AT252" s="451">
        <v>0</v>
      </c>
      <c r="AU252" s="451">
        <v>-217600</v>
      </c>
      <c r="AV252" s="451">
        <v>418995</v>
      </c>
      <c r="AW252" s="451">
        <v>335196</v>
      </c>
      <c r="AX252" s="451">
        <v>83799</v>
      </c>
      <c r="AY252" s="451">
        <v>0</v>
      </c>
      <c r="AZ252" s="451">
        <v>837990</v>
      </c>
      <c r="BA252" s="451">
        <v>0</v>
      </c>
      <c r="BB252" s="451">
        <v>0</v>
      </c>
      <c r="BC252" s="451">
        <v>0</v>
      </c>
      <c r="BD252" s="451">
        <v>0</v>
      </c>
      <c r="BE252" s="451">
        <v>0</v>
      </c>
      <c r="BF252" s="451">
        <v>128497</v>
      </c>
      <c r="BG252" s="451">
        <v>102798</v>
      </c>
      <c r="BH252" s="451">
        <v>25700</v>
      </c>
      <c r="BI252" s="451">
        <v>0</v>
      </c>
      <c r="BJ252" s="451">
        <v>256995</v>
      </c>
      <c r="BK252" s="451">
        <v>128497</v>
      </c>
      <c r="BL252" s="451">
        <v>102798</v>
      </c>
      <c r="BM252" s="451">
        <v>25700</v>
      </c>
      <c r="BN252" s="451">
        <v>0</v>
      </c>
      <c r="BO252" s="451">
        <v>256995</v>
      </c>
      <c r="BP252" s="451">
        <v>0</v>
      </c>
      <c r="BQ252" s="451">
        <v>0</v>
      </c>
      <c r="BR252" s="451">
        <v>0</v>
      </c>
      <c r="BS252" s="451">
        <v>0</v>
      </c>
      <c r="BT252" s="451">
        <v>0</v>
      </c>
      <c r="BU252" s="451">
        <v>675762</v>
      </c>
      <c r="BV252" s="451">
        <v>540610</v>
      </c>
      <c r="BW252" s="451">
        <v>135153</v>
      </c>
      <c r="BX252" s="451">
        <v>0</v>
      </c>
      <c r="BY252" s="451">
        <v>1351525</v>
      </c>
      <c r="BZ252" s="451">
        <v>675762</v>
      </c>
      <c r="CA252" s="451">
        <v>540610</v>
      </c>
      <c r="CB252" s="451">
        <v>135153</v>
      </c>
      <c r="CC252" s="451">
        <v>0</v>
      </c>
      <c r="CD252" s="451">
        <v>1351525</v>
      </c>
      <c r="CE252" s="104"/>
      <c r="CF252" s="104"/>
      <c r="CG252" s="104"/>
    </row>
    <row r="253" spans="1:85" ht="12.75" x14ac:dyDescent="0.2">
      <c r="A253" s="446">
        <v>246</v>
      </c>
      <c r="B253" s="447" t="s">
        <v>375</v>
      </c>
      <c r="C253" s="448" t="s">
        <v>1093</v>
      </c>
      <c r="D253" s="449" t="s">
        <v>1095</v>
      </c>
      <c r="E253" s="450" t="s">
        <v>374</v>
      </c>
      <c r="F253" s="451">
        <v>16125532</v>
      </c>
      <c r="G253" s="451">
        <v>12900426</v>
      </c>
      <c r="H253" s="451">
        <v>2902596</v>
      </c>
      <c r="I253" s="451">
        <v>322511</v>
      </c>
      <c r="J253" s="451">
        <v>32251065</v>
      </c>
      <c r="K253" s="451">
        <v>0</v>
      </c>
      <c r="L253" s="451">
        <v>0</v>
      </c>
      <c r="M253" s="451">
        <v>16125532</v>
      </c>
      <c r="N253" s="451">
        <v>32251065</v>
      </c>
      <c r="O253" s="451">
        <v>124367</v>
      </c>
      <c r="P253" s="451">
        <v>124367</v>
      </c>
      <c r="Q253" s="451">
        <v>0</v>
      </c>
      <c r="R253" s="451">
        <v>0</v>
      </c>
      <c r="S253" s="451">
        <v>0</v>
      </c>
      <c r="T253" s="451">
        <v>0</v>
      </c>
      <c r="U253" s="451">
        <v>0</v>
      </c>
      <c r="V253" s="451">
        <v>0</v>
      </c>
      <c r="W253" s="451">
        <v>0</v>
      </c>
      <c r="X253" s="451">
        <v>0</v>
      </c>
      <c r="Y253" s="451">
        <v>0</v>
      </c>
      <c r="Z253" s="451">
        <v>0</v>
      </c>
      <c r="AA253" s="451">
        <v>0</v>
      </c>
      <c r="AB253" s="451">
        <v>603623.93999999994</v>
      </c>
      <c r="AC253" s="451">
        <v>482898</v>
      </c>
      <c r="AD253" s="451">
        <v>108652</v>
      </c>
      <c r="AE253" s="451">
        <v>12072</v>
      </c>
      <c r="AF253" s="451">
        <v>1207245.94</v>
      </c>
      <c r="AG253" s="451">
        <v>161645</v>
      </c>
      <c r="AH253" s="451">
        <v>129316</v>
      </c>
      <c r="AI253" s="451">
        <v>29096</v>
      </c>
      <c r="AJ253" s="451">
        <v>3233</v>
      </c>
      <c r="AK253" s="451">
        <v>323290</v>
      </c>
      <c r="AL253" s="451">
        <v>300906</v>
      </c>
      <c r="AM253" s="451">
        <v>240724</v>
      </c>
      <c r="AN253" s="451">
        <v>54163</v>
      </c>
      <c r="AO253" s="451">
        <v>6018</v>
      </c>
      <c r="AP253" s="451">
        <v>601811</v>
      </c>
      <c r="AQ253" s="451">
        <v>-67241</v>
      </c>
      <c r="AR253" s="451">
        <v>-53794</v>
      </c>
      <c r="AS253" s="451">
        <v>-12104</v>
      </c>
      <c r="AT253" s="451">
        <v>-1345</v>
      </c>
      <c r="AU253" s="451">
        <v>-134484</v>
      </c>
      <c r="AV253" s="451">
        <v>233665</v>
      </c>
      <c r="AW253" s="451">
        <v>186930</v>
      </c>
      <c r="AX253" s="451">
        <v>42059</v>
      </c>
      <c r="AY253" s="451">
        <v>4673</v>
      </c>
      <c r="AZ253" s="451">
        <v>467327</v>
      </c>
      <c r="BA253" s="451">
        <v>0</v>
      </c>
      <c r="BB253" s="451">
        <v>0</v>
      </c>
      <c r="BC253" s="451">
        <v>0</v>
      </c>
      <c r="BD253" s="451">
        <v>0</v>
      </c>
      <c r="BE253" s="451">
        <v>0</v>
      </c>
      <c r="BF253" s="451">
        <v>300000</v>
      </c>
      <c r="BG253" s="451">
        <v>240000</v>
      </c>
      <c r="BH253" s="451">
        <v>54000</v>
      </c>
      <c r="BI253" s="451">
        <v>6000</v>
      </c>
      <c r="BJ253" s="451">
        <v>600000</v>
      </c>
      <c r="BK253" s="451">
        <v>300000</v>
      </c>
      <c r="BL253" s="451">
        <v>240000</v>
      </c>
      <c r="BM253" s="451">
        <v>54000</v>
      </c>
      <c r="BN253" s="451">
        <v>6000</v>
      </c>
      <c r="BO253" s="451">
        <v>600000</v>
      </c>
      <c r="BP253" s="451">
        <v>0</v>
      </c>
      <c r="BQ253" s="451">
        <v>0</v>
      </c>
      <c r="BR253" s="451">
        <v>0</v>
      </c>
      <c r="BS253" s="451">
        <v>0</v>
      </c>
      <c r="BT253" s="451">
        <v>0</v>
      </c>
      <c r="BU253" s="451">
        <v>950000</v>
      </c>
      <c r="BV253" s="451">
        <v>760000</v>
      </c>
      <c r="BW253" s="451">
        <v>171000</v>
      </c>
      <c r="BX253" s="451">
        <v>19000</v>
      </c>
      <c r="BY253" s="451">
        <v>1900000</v>
      </c>
      <c r="BZ253" s="451">
        <v>950000</v>
      </c>
      <c r="CA253" s="451">
        <v>760000</v>
      </c>
      <c r="CB253" s="451">
        <v>171000</v>
      </c>
      <c r="CC253" s="451">
        <v>19000</v>
      </c>
      <c r="CD253" s="451">
        <v>1900000</v>
      </c>
      <c r="CE253" s="104"/>
      <c r="CF253" s="104"/>
      <c r="CG253" s="104"/>
    </row>
    <row r="254" spans="1:85" ht="12.75" x14ac:dyDescent="0.2">
      <c r="A254" s="446">
        <v>247</v>
      </c>
      <c r="B254" s="447" t="s">
        <v>377</v>
      </c>
      <c r="C254" s="448" t="s">
        <v>1093</v>
      </c>
      <c r="D254" s="449" t="s">
        <v>1102</v>
      </c>
      <c r="E254" s="450" t="s">
        <v>376</v>
      </c>
      <c r="F254" s="451">
        <v>19818964</v>
      </c>
      <c r="G254" s="451">
        <v>15855171</v>
      </c>
      <c r="H254" s="451">
        <v>3567414</v>
      </c>
      <c r="I254" s="451">
        <v>396379</v>
      </c>
      <c r="J254" s="451">
        <v>39637928</v>
      </c>
      <c r="K254" s="451">
        <v>0</v>
      </c>
      <c r="L254" s="451">
        <v>0</v>
      </c>
      <c r="M254" s="451">
        <v>19818964</v>
      </c>
      <c r="N254" s="451">
        <v>39637928</v>
      </c>
      <c r="O254" s="451">
        <v>223390</v>
      </c>
      <c r="P254" s="451">
        <v>223390</v>
      </c>
      <c r="Q254" s="451">
        <v>0</v>
      </c>
      <c r="R254" s="451">
        <v>0</v>
      </c>
      <c r="S254" s="451">
        <v>0</v>
      </c>
      <c r="T254" s="451">
        <v>0</v>
      </c>
      <c r="U254" s="451">
        <v>8101</v>
      </c>
      <c r="V254" s="451">
        <v>0</v>
      </c>
      <c r="W254" s="451">
        <v>8101</v>
      </c>
      <c r="X254" s="451">
        <v>0</v>
      </c>
      <c r="Y254" s="451">
        <v>0</v>
      </c>
      <c r="Z254" s="451">
        <v>0</v>
      </c>
      <c r="AA254" s="451">
        <v>0</v>
      </c>
      <c r="AB254" s="451">
        <v>1446021</v>
      </c>
      <c r="AC254" s="451">
        <v>1156816</v>
      </c>
      <c r="AD254" s="451">
        <v>260284</v>
      </c>
      <c r="AE254" s="451">
        <v>28920</v>
      </c>
      <c r="AF254" s="451">
        <v>2892041</v>
      </c>
      <c r="AG254" s="451">
        <v>254793</v>
      </c>
      <c r="AH254" s="451">
        <v>203835</v>
      </c>
      <c r="AI254" s="451">
        <v>45863</v>
      </c>
      <c r="AJ254" s="451">
        <v>5096</v>
      </c>
      <c r="AK254" s="451">
        <v>509587</v>
      </c>
      <c r="AL254" s="451">
        <v>334150</v>
      </c>
      <c r="AM254" s="451">
        <v>267320</v>
      </c>
      <c r="AN254" s="451">
        <v>60147</v>
      </c>
      <c r="AO254" s="451">
        <v>6683</v>
      </c>
      <c r="AP254" s="451">
        <v>668300</v>
      </c>
      <c r="AQ254" s="451">
        <v>148550</v>
      </c>
      <c r="AR254" s="451">
        <v>118840</v>
      </c>
      <c r="AS254" s="451">
        <v>26739</v>
      </c>
      <c r="AT254" s="451">
        <v>2971</v>
      </c>
      <c r="AU254" s="451">
        <v>297100</v>
      </c>
      <c r="AV254" s="451">
        <v>482700</v>
      </c>
      <c r="AW254" s="451">
        <v>386160</v>
      </c>
      <c r="AX254" s="451">
        <v>86886</v>
      </c>
      <c r="AY254" s="451">
        <v>9654</v>
      </c>
      <c r="AZ254" s="451">
        <v>965400</v>
      </c>
      <c r="BA254" s="451">
        <v>0</v>
      </c>
      <c r="BB254" s="451">
        <v>0</v>
      </c>
      <c r="BC254" s="451">
        <v>0</v>
      </c>
      <c r="BD254" s="451">
        <v>0</v>
      </c>
      <c r="BE254" s="451">
        <v>0</v>
      </c>
      <c r="BF254" s="451">
        <v>245258</v>
      </c>
      <c r="BG254" s="451">
        <v>196206</v>
      </c>
      <c r="BH254" s="451">
        <v>44146</v>
      </c>
      <c r="BI254" s="451">
        <v>4905</v>
      </c>
      <c r="BJ254" s="451">
        <v>490515</v>
      </c>
      <c r="BK254" s="451">
        <v>245258</v>
      </c>
      <c r="BL254" s="451">
        <v>196206</v>
      </c>
      <c r="BM254" s="451">
        <v>44146</v>
      </c>
      <c r="BN254" s="451">
        <v>4905</v>
      </c>
      <c r="BO254" s="451">
        <v>490515</v>
      </c>
      <c r="BP254" s="451">
        <v>0</v>
      </c>
      <c r="BQ254" s="451">
        <v>0</v>
      </c>
      <c r="BR254" s="451">
        <v>0</v>
      </c>
      <c r="BS254" s="451">
        <v>0</v>
      </c>
      <c r="BT254" s="451">
        <v>0</v>
      </c>
      <c r="BU254" s="451">
        <v>942775</v>
      </c>
      <c r="BV254" s="451">
        <v>754220</v>
      </c>
      <c r="BW254" s="451">
        <v>169699</v>
      </c>
      <c r="BX254" s="451">
        <v>18855</v>
      </c>
      <c r="BY254" s="451">
        <v>1885549</v>
      </c>
      <c r="BZ254" s="451">
        <v>942775</v>
      </c>
      <c r="CA254" s="451">
        <v>754220</v>
      </c>
      <c r="CB254" s="451">
        <v>169699</v>
      </c>
      <c r="CC254" s="451">
        <v>18855</v>
      </c>
      <c r="CD254" s="451">
        <v>1885549</v>
      </c>
      <c r="CE254" s="104"/>
      <c r="CF254" s="104"/>
      <c r="CG254" s="104"/>
    </row>
    <row r="255" spans="1:85" ht="12.75" x14ac:dyDescent="0.2">
      <c r="A255" s="446">
        <v>248</v>
      </c>
      <c r="B255" s="447" t="s">
        <v>379</v>
      </c>
      <c r="C255" s="448" t="s">
        <v>1093</v>
      </c>
      <c r="D255" s="449" t="s">
        <v>1103</v>
      </c>
      <c r="E255" s="450" t="s">
        <v>378</v>
      </c>
      <c r="F255" s="451">
        <v>9574510</v>
      </c>
      <c r="G255" s="451">
        <v>7659608</v>
      </c>
      <c r="H255" s="451">
        <v>1723412</v>
      </c>
      <c r="I255" s="451">
        <v>191490</v>
      </c>
      <c r="J255" s="451">
        <v>19149020</v>
      </c>
      <c r="K255" s="451">
        <v>54035</v>
      </c>
      <c r="L255" s="451">
        <v>54035</v>
      </c>
      <c r="M255" s="451">
        <v>9520475</v>
      </c>
      <c r="N255" s="451">
        <v>19094985</v>
      </c>
      <c r="O255" s="451">
        <v>103528</v>
      </c>
      <c r="P255" s="451">
        <v>103528</v>
      </c>
      <c r="Q255" s="451">
        <v>494143</v>
      </c>
      <c r="R255" s="451">
        <v>494143</v>
      </c>
      <c r="S255" s="451">
        <v>0</v>
      </c>
      <c r="T255" s="451">
        <v>0</v>
      </c>
      <c r="U255" s="451">
        <v>0</v>
      </c>
      <c r="V255" s="451">
        <v>0</v>
      </c>
      <c r="W255" s="451">
        <v>0</v>
      </c>
      <c r="X255" s="451">
        <v>54035</v>
      </c>
      <c r="Y255" s="451">
        <v>0</v>
      </c>
      <c r="Z255" s="451">
        <v>0</v>
      </c>
      <c r="AA255" s="451">
        <v>54035</v>
      </c>
      <c r="AB255" s="451">
        <v>430327</v>
      </c>
      <c r="AC255" s="451">
        <v>344262</v>
      </c>
      <c r="AD255" s="451">
        <v>77459</v>
      </c>
      <c r="AE255" s="451">
        <v>8607</v>
      </c>
      <c r="AF255" s="451">
        <v>860655</v>
      </c>
      <c r="AG255" s="451">
        <v>85383</v>
      </c>
      <c r="AH255" s="451">
        <v>68306</v>
      </c>
      <c r="AI255" s="451">
        <v>15369</v>
      </c>
      <c r="AJ255" s="451">
        <v>1708</v>
      </c>
      <c r="AK255" s="451">
        <v>170766</v>
      </c>
      <c r="AL255" s="451">
        <v>230500</v>
      </c>
      <c r="AM255" s="451">
        <v>184400</v>
      </c>
      <c r="AN255" s="451">
        <v>41490</v>
      </c>
      <c r="AO255" s="451">
        <v>4610</v>
      </c>
      <c r="AP255" s="451">
        <v>461000</v>
      </c>
      <c r="AQ255" s="451">
        <v>-10000</v>
      </c>
      <c r="AR255" s="451">
        <v>-8000</v>
      </c>
      <c r="AS255" s="451">
        <v>-1800</v>
      </c>
      <c r="AT255" s="451">
        <v>-200</v>
      </c>
      <c r="AU255" s="451">
        <v>-20000</v>
      </c>
      <c r="AV255" s="451">
        <v>220500</v>
      </c>
      <c r="AW255" s="451">
        <v>176400</v>
      </c>
      <c r="AX255" s="451">
        <v>39690</v>
      </c>
      <c r="AY255" s="451">
        <v>4410</v>
      </c>
      <c r="AZ255" s="451">
        <v>441000</v>
      </c>
      <c r="BA255" s="451">
        <v>0</v>
      </c>
      <c r="BB255" s="451">
        <v>0</v>
      </c>
      <c r="BC255" s="451">
        <v>0</v>
      </c>
      <c r="BD255" s="451">
        <v>0</v>
      </c>
      <c r="BE255" s="451">
        <v>0</v>
      </c>
      <c r="BF255" s="451">
        <v>159240</v>
      </c>
      <c r="BG255" s="451">
        <v>127392</v>
      </c>
      <c r="BH255" s="451">
        <v>28663</v>
      </c>
      <c r="BI255" s="451">
        <v>3185</v>
      </c>
      <c r="BJ255" s="451">
        <v>318480</v>
      </c>
      <c r="BK255" s="451">
        <v>159240</v>
      </c>
      <c r="BL255" s="451">
        <v>127392</v>
      </c>
      <c r="BM255" s="451">
        <v>28663</v>
      </c>
      <c r="BN255" s="451">
        <v>3185</v>
      </c>
      <c r="BO255" s="451">
        <v>318480</v>
      </c>
      <c r="BP255" s="451">
        <v>0</v>
      </c>
      <c r="BQ255" s="451">
        <v>0</v>
      </c>
      <c r="BR255" s="451">
        <v>0</v>
      </c>
      <c r="BS255" s="451">
        <v>0</v>
      </c>
      <c r="BT255" s="451">
        <v>0</v>
      </c>
      <c r="BU255" s="451">
        <v>477720</v>
      </c>
      <c r="BV255" s="451">
        <v>382176</v>
      </c>
      <c r="BW255" s="451">
        <v>85990</v>
      </c>
      <c r="BX255" s="451">
        <v>9554</v>
      </c>
      <c r="BY255" s="451">
        <v>955440</v>
      </c>
      <c r="BZ255" s="451">
        <v>477720</v>
      </c>
      <c r="CA255" s="451">
        <v>382176</v>
      </c>
      <c r="CB255" s="451">
        <v>85990</v>
      </c>
      <c r="CC255" s="451">
        <v>9554</v>
      </c>
      <c r="CD255" s="451">
        <v>955440</v>
      </c>
      <c r="CE255" s="104"/>
      <c r="CF255" s="104"/>
      <c r="CG255" s="104"/>
    </row>
    <row r="256" spans="1:85" ht="12.75" x14ac:dyDescent="0.2">
      <c r="A256" s="446">
        <v>249</v>
      </c>
      <c r="B256" s="447" t="s">
        <v>381</v>
      </c>
      <c r="C256" s="448" t="s">
        <v>1100</v>
      </c>
      <c r="D256" s="449" t="s">
        <v>1105</v>
      </c>
      <c r="E256" s="450" t="s">
        <v>380</v>
      </c>
      <c r="F256" s="451">
        <v>14055689</v>
      </c>
      <c r="G256" s="451">
        <v>13774575</v>
      </c>
      <c r="H256" s="451">
        <v>0</v>
      </c>
      <c r="I256" s="451">
        <v>281114</v>
      </c>
      <c r="J256" s="451">
        <v>28111378</v>
      </c>
      <c r="K256" s="451">
        <v>0</v>
      </c>
      <c r="L256" s="451">
        <v>0</v>
      </c>
      <c r="M256" s="451">
        <v>14055689</v>
      </c>
      <c r="N256" s="451">
        <v>28111378</v>
      </c>
      <c r="O256" s="451">
        <v>150312</v>
      </c>
      <c r="P256" s="451">
        <v>150312</v>
      </c>
      <c r="Q256" s="451">
        <v>0</v>
      </c>
      <c r="R256" s="451">
        <v>0</v>
      </c>
      <c r="S256" s="451">
        <v>0</v>
      </c>
      <c r="T256" s="451">
        <v>0</v>
      </c>
      <c r="U256" s="451">
        <v>0</v>
      </c>
      <c r="V256" s="451">
        <v>0</v>
      </c>
      <c r="W256" s="451">
        <v>0</v>
      </c>
      <c r="X256" s="451">
        <v>0</v>
      </c>
      <c r="Y256" s="451">
        <v>0</v>
      </c>
      <c r="Z256" s="451">
        <v>0</v>
      </c>
      <c r="AA256" s="451">
        <v>0</v>
      </c>
      <c r="AB256" s="451">
        <v>599305</v>
      </c>
      <c r="AC256" s="451">
        <v>587318</v>
      </c>
      <c r="AD256" s="451">
        <v>0</v>
      </c>
      <c r="AE256" s="451">
        <v>11986</v>
      </c>
      <c r="AF256" s="451">
        <v>1198609</v>
      </c>
      <c r="AG256" s="451">
        <v>237277</v>
      </c>
      <c r="AH256" s="451">
        <v>232531</v>
      </c>
      <c r="AI256" s="451">
        <v>0</v>
      </c>
      <c r="AJ256" s="451">
        <v>4746</v>
      </c>
      <c r="AK256" s="451">
        <v>474554</v>
      </c>
      <c r="AL256" s="451">
        <v>226474.09</v>
      </c>
      <c r="AM256" s="451">
        <v>221945</v>
      </c>
      <c r="AN256" s="451">
        <v>0</v>
      </c>
      <c r="AO256" s="451">
        <v>4529</v>
      </c>
      <c r="AP256" s="451">
        <v>452948.09</v>
      </c>
      <c r="AQ256" s="451">
        <v>55070.84</v>
      </c>
      <c r="AR256" s="451">
        <v>53969</v>
      </c>
      <c r="AS256" s="451">
        <v>0</v>
      </c>
      <c r="AT256" s="451">
        <v>1101</v>
      </c>
      <c r="AU256" s="451">
        <v>110140.84</v>
      </c>
      <c r="AV256" s="451">
        <v>281544.93</v>
      </c>
      <c r="AW256" s="451">
        <v>275914</v>
      </c>
      <c r="AX256" s="451">
        <v>0</v>
      </c>
      <c r="AY256" s="451">
        <v>5630</v>
      </c>
      <c r="AZ256" s="451">
        <v>563088.93000000005</v>
      </c>
      <c r="BA256" s="451">
        <v>0</v>
      </c>
      <c r="BB256" s="451">
        <v>0</v>
      </c>
      <c r="BC256" s="451">
        <v>0</v>
      </c>
      <c r="BD256" s="451">
        <v>0</v>
      </c>
      <c r="BE256" s="451">
        <v>0</v>
      </c>
      <c r="BF256" s="451">
        <v>97602</v>
      </c>
      <c r="BG256" s="451">
        <v>95649</v>
      </c>
      <c r="BH256" s="451">
        <v>0</v>
      </c>
      <c r="BI256" s="451">
        <v>1952</v>
      </c>
      <c r="BJ256" s="451">
        <v>195203</v>
      </c>
      <c r="BK256" s="451">
        <v>97602</v>
      </c>
      <c r="BL256" s="451">
        <v>95649</v>
      </c>
      <c r="BM256" s="451">
        <v>0</v>
      </c>
      <c r="BN256" s="451">
        <v>1952</v>
      </c>
      <c r="BO256" s="451">
        <v>195203</v>
      </c>
      <c r="BP256" s="451">
        <v>0</v>
      </c>
      <c r="BQ256" s="451">
        <v>0</v>
      </c>
      <c r="BR256" s="451">
        <v>0</v>
      </c>
      <c r="BS256" s="451">
        <v>0</v>
      </c>
      <c r="BT256" s="451">
        <v>0</v>
      </c>
      <c r="BU256" s="451">
        <v>242737</v>
      </c>
      <c r="BV256" s="451">
        <v>237882</v>
      </c>
      <c r="BW256" s="451">
        <v>0</v>
      </c>
      <c r="BX256" s="451">
        <v>4855</v>
      </c>
      <c r="BY256" s="451">
        <v>485474</v>
      </c>
      <c r="BZ256" s="451">
        <v>242737</v>
      </c>
      <c r="CA256" s="451">
        <v>237882</v>
      </c>
      <c r="CB256" s="451">
        <v>0</v>
      </c>
      <c r="CC256" s="451">
        <v>4855</v>
      </c>
      <c r="CD256" s="451">
        <v>485474</v>
      </c>
      <c r="CE256" s="104"/>
      <c r="CF256" s="104"/>
      <c r="CG256" s="104"/>
    </row>
    <row r="257" spans="1:85" ht="12.75" x14ac:dyDescent="0.2">
      <c r="A257" s="446">
        <v>250</v>
      </c>
      <c r="B257" s="447" t="s">
        <v>383</v>
      </c>
      <c r="C257" s="448" t="s">
        <v>794</v>
      </c>
      <c r="D257" s="449" t="s">
        <v>1094</v>
      </c>
      <c r="E257" s="450" t="s">
        <v>745</v>
      </c>
      <c r="F257" s="451">
        <v>41644389</v>
      </c>
      <c r="G257" s="451">
        <v>40811502</v>
      </c>
      <c r="H257" s="451">
        <v>0</v>
      </c>
      <c r="I257" s="451">
        <v>832888</v>
      </c>
      <c r="J257" s="451">
        <v>83288779</v>
      </c>
      <c r="K257" s="451">
        <v>0</v>
      </c>
      <c r="L257" s="451">
        <v>0</v>
      </c>
      <c r="M257" s="451">
        <v>41644389</v>
      </c>
      <c r="N257" s="451">
        <v>83288779</v>
      </c>
      <c r="O257" s="451">
        <v>321850</v>
      </c>
      <c r="P257" s="451">
        <v>321850</v>
      </c>
      <c r="Q257" s="451">
        <v>0</v>
      </c>
      <c r="R257" s="451">
        <v>0</v>
      </c>
      <c r="S257" s="451">
        <v>0</v>
      </c>
      <c r="T257" s="451">
        <v>0</v>
      </c>
      <c r="U257" s="451">
        <v>0</v>
      </c>
      <c r="V257" s="451">
        <v>0</v>
      </c>
      <c r="W257" s="451">
        <v>0</v>
      </c>
      <c r="X257" s="451">
        <v>0</v>
      </c>
      <c r="Y257" s="451">
        <v>0</v>
      </c>
      <c r="Z257" s="451">
        <v>0</v>
      </c>
      <c r="AA257" s="451">
        <v>0</v>
      </c>
      <c r="AB257" s="451">
        <v>1886832</v>
      </c>
      <c r="AC257" s="451">
        <v>1849095</v>
      </c>
      <c r="AD257" s="451">
        <v>0</v>
      </c>
      <c r="AE257" s="451">
        <v>37737</v>
      </c>
      <c r="AF257" s="451">
        <v>3773664</v>
      </c>
      <c r="AG257" s="451">
        <v>1481278</v>
      </c>
      <c r="AH257" s="451">
        <v>1451653</v>
      </c>
      <c r="AI257" s="451">
        <v>0</v>
      </c>
      <c r="AJ257" s="451">
        <v>29626</v>
      </c>
      <c r="AK257" s="451">
        <v>2962557</v>
      </c>
      <c r="AL257" s="451">
        <v>0</v>
      </c>
      <c r="AM257" s="451">
        <v>0</v>
      </c>
      <c r="AN257" s="451">
        <v>0</v>
      </c>
      <c r="AO257" s="451">
        <v>0</v>
      </c>
      <c r="AP257" s="451">
        <v>0</v>
      </c>
      <c r="AQ257" s="451">
        <v>-107845</v>
      </c>
      <c r="AR257" s="451">
        <v>-105689</v>
      </c>
      <c r="AS257" s="451">
        <v>0</v>
      </c>
      <c r="AT257" s="451">
        <v>-2157</v>
      </c>
      <c r="AU257" s="451">
        <v>-215691</v>
      </c>
      <c r="AV257" s="451">
        <v>-107845</v>
      </c>
      <c r="AW257" s="451">
        <v>-105689</v>
      </c>
      <c r="AX257" s="451">
        <v>0</v>
      </c>
      <c r="AY257" s="451">
        <v>-2157</v>
      </c>
      <c r="AZ257" s="451">
        <v>-215691</v>
      </c>
      <c r="BA257" s="451">
        <v>0</v>
      </c>
      <c r="BB257" s="451">
        <v>0</v>
      </c>
      <c r="BC257" s="451">
        <v>0</v>
      </c>
      <c r="BD257" s="451">
        <v>0</v>
      </c>
      <c r="BE257" s="451">
        <v>0</v>
      </c>
      <c r="BF257" s="451">
        <v>2829488</v>
      </c>
      <c r="BG257" s="451">
        <v>2772899</v>
      </c>
      <c r="BH257" s="451">
        <v>0</v>
      </c>
      <c r="BI257" s="451">
        <v>56590</v>
      </c>
      <c r="BJ257" s="451">
        <v>5658977</v>
      </c>
      <c r="BK257" s="451">
        <v>2829488</v>
      </c>
      <c r="BL257" s="451">
        <v>2772899</v>
      </c>
      <c r="BM257" s="451">
        <v>0</v>
      </c>
      <c r="BN257" s="451">
        <v>56590</v>
      </c>
      <c r="BO257" s="451">
        <v>5658977</v>
      </c>
      <c r="BP257" s="451">
        <v>0</v>
      </c>
      <c r="BQ257" s="451">
        <v>0</v>
      </c>
      <c r="BR257" s="451">
        <v>0</v>
      </c>
      <c r="BS257" s="451">
        <v>0</v>
      </c>
      <c r="BT257" s="451">
        <v>0</v>
      </c>
      <c r="BU257" s="451">
        <v>4743134</v>
      </c>
      <c r="BV257" s="451">
        <v>4648271</v>
      </c>
      <c r="BW257" s="451">
        <v>0</v>
      </c>
      <c r="BX257" s="451">
        <v>94863</v>
      </c>
      <c r="BY257" s="451">
        <v>9486268</v>
      </c>
      <c r="BZ257" s="451">
        <v>4743134</v>
      </c>
      <c r="CA257" s="451">
        <v>4648271</v>
      </c>
      <c r="CB257" s="451">
        <v>0</v>
      </c>
      <c r="CC257" s="451">
        <v>94863</v>
      </c>
      <c r="CD257" s="451">
        <v>9486268</v>
      </c>
      <c r="CE257" s="104"/>
      <c r="CF257" s="104"/>
      <c r="CG257" s="104"/>
    </row>
    <row r="258" spans="1:85" ht="12.75" x14ac:dyDescent="0.2">
      <c r="A258" s="446">
        <v>251</v>
      </c>
      <c r="B258" s="447" t="s">
        <v>385</v>
      </c>
      <c r="C258" s="448" t="s">
        <v>794</v>
      </c>
      <c r="D258" s="449" t="s">
        <v>1097</v>
      </c>
      <c r="E258" s="450" t="s">
        <v>746</v>
      </c>
      <c r="F258" s="451">
        <v>21709915</v>
      </c>
      <c r="G258" s="451">
        <v>21275717</v>
      </c>
      <c r="H258" s="451">
        <v>0</v>
      </c>
      <c r="I258" s="451">
        <v>434198</v>
      </c>
      <c r="J258" s="451">
        <v>43419830</v>
      </c>
      <c r="K258" s="451">
        <v>0</v>
      </c>
      <c r="L258" s="451">
        <v>0</v>
      </c>
      <c r="M258" s="451">
        <v>21709915</v>
      </c>
      <c r="N258" s="451">
        <v>43419830</v>
      </c>
      <c r="O258" s="451">
        <v>238667</v>
      </c>
      <c r="P258" s="451">
        <v>238667</v>
      </c>
      <c r="Q258" s="451">
        <v>0</v>
      </c>
      <c r="R258" s="451">
        <v>0</v>
      </c>
      <c r="S258" s="451">
        <v>0</v>
      </c>
      <c r="T258" s="451">
        <v>0</v>
      </c>
      <c r="U258" s="451">
        <v>0</v>
      </c>
      <c r="V258" s="451">
        <v>0</v>
      </c>
      <c r="W258" s="451">
        <v>0</v>
      </c>
      <c r="X258" s="451">
        <v>0</v>
      </c>
      <c r="Y258" s="451">
        <v>0</v>
      </c>
      <c r="Z258" s="451">
        <v>0</v>
      </c>
      <c r="AA258" s="451">
        <v>0</v>
      </c>
      <c r="AB258" s="451">
        <v>938842</v>
      </c>
      <c r="AC258" s="451">
        <v>920065</v>
      </c>
      <c r="AD258" s="451">
        <v>0</v>
      </c>
      <c r="AE258" s="451">
        <v>18777</v>
      </c>
      <c r="AF258" s="451">
        <v>1877684</v>
      </c>
      <c r="AG258" s="451">
        <v>373887.94</v>
      </c>
      <c r="AH258" s="451">
        <v>366411</v>
      </c>
      <c r="AI258" s="451">
        <v>0</v>
      </c>
      <c r="AJ258" s="451">
        <v>7478</v>
      </c>
      <c r="AK258" s="451">
        <v>747776.94</v>
      </c>
      <c r="AL258" s="451">
        <v>230309.26</v>
      </c>
      <c r="AM258" s="451">
        <v>225703</v>
      </c>
      <c r="AN258" s="451">
        <v>0</v>
      </c>
      <c r="AO258" s="451">
        <v>4606</v>
      </c>
      <c r="AP258" s="451">
        <v>460618.26</v>
      </c>
      <c r="AQ258" s="451">
        <v>196002.34</v>
      </c>
      <c r="AR258" s="451">
        <v>192082</v>
      </c>
      <c r="AS258" s="451">
        <v>0</v>
      </c>
      <c r="AT258" s="451">
        <v>3920</v>
      </c>
      <c r="AU258" s="451">
        <v>392004.34</v>
      </c>
      <c r="AV258" s="451">
        <v>426311.6</v>
      </c>
      <c r="AW258" s="451">
        <v>417785</v>
      </c>
      <c r="AX258" s="451">
        <v>0</v>
      </c>
      <c r="AY258" s="451">
        <v>8526</v>
      </c>
      <c r="AZ258" s="451">
        <v>852622.6</v>
      </c>
      <c r="BA258" s="451">
        <v>0</v>
      </c>
      <c r="BB258" s="451">
        <v>0</v>
      </c>
      <c r="BC258" s="451">
        <v>0</v>
      </c>
      <c r="BD258" s="451">
        <v>0</v>
      </c>
      <c r="BE258" s="451">
        <v>0</v>
      </c>
      <c r="BF258" s="451">
        <v>150217.89000000001</v>
      </c>
      <c r="BG258" s="451">
        <v>147213</v>
      </c>
      <c r="BH258" s="451">
        <v>0</v>
      </c>
      <c r="BI258" s="451">
        <v>3004</v>
      </c>
      <c r="BJ258" s="451">
        <v>300434.89</v>
      </c>
      <c r="BK258" s="451">
        <v>150217.89000000001</v>
      </c>
      <c r="BL258" s="451">
        <v>147213</v>
      </c>
      <c r="BM258" s="451">
        <v>0</v>
      </c>
      <c r="BN258" s="451">
        <v>3004</v>
      </c>
      <c r="BO258" s="451">
        <v>300434.89</v>
      </c>
      <c r="BP258" s="451">
        <v>0</v>
      </c>
      <c r="BQ258" s="451">
        <v>0</v>
      </c>
      <c r="BR258" s="451">
        <v>0</v>
      </c>
      <c r="BS258" s="451">
        <v>0</v>
      </c>
      <c r="BT258" s="451">
        <v>0</v>
      </c>
      <c r="BU258" s="451">
        <v>591547.39</v>
      </c>
      <c r="BV258" s="451">
        <v>579717</v>
      </c>
      <c r="BW258" s="451">
        <v>0</v>
      </c>
      <c r="BX258" s="451">
        <v>11831</v>
      </c>
      <c r="BY258" s="451">
        <v>1183095.3899999999</v>
      </c>
      <c r="BZ258" s="451">
        <v>591547.39</v>
      </c>
      <c r="CA258" s="451">
        <v>579717</v>
      </c>
      <c r="CB258" s="451">
        <v>0</v>
      </c>
      <c r="CC258" s="451">
        <v>11831</v>
      </c>
      <c r="CD258" s="451">
        <v>1183095.3899999999</v>
      </c>
      <c r="CE258" s="104"/>
      <c r="CF258" s="104"/>
      <c r="CG258" s="104"/>
    </row>
    <row r="259" spans="1:85" ht="12.75" x14ac:dyDescent="0.2">
      <c r="A259" s="446">
        <v>252</v>
      </c>
      <c r="B259" s="447" t="s">
        <v>387</v>
      </c>
      <c r="C259" s="448" t="s">
        <v>1104</v>
      </c>
      <c r="D259" s="449" t="s">
        <v>1099</v>
      </c>
      <c r="E259" s="450" t="s">
        <v>386</v>
      </c>
      <c r="F259" s="451">
        <v>77145399</v>
      </c>
      <c r="G259" s="451">
        <v>46287239</v>
      </c>
      <c r="H259" s="451">
        <v>30858160</v>
      </c>
      <c r="I259" s="451">
        <v>0</v>
      </c>
      <c r="J259" s="451">
        <v>154290798</v>
      </c>
      <c r="K259" s="451">
        <v>0</v>
      </c>
      <c r="L259" s="451">
        <v>0</v>
      </c>
      <c r="M259" s="451">
        <v>77145399</v>
      </c>
      <c r="N259" s="451">
        <v>154290798</v>
      </c>
      <c r="O259" s="451">
        <v>655771</v>
      </c>
      <c r="P259" s="451">
        <v>655771</v>
      </c>
      <c r="Q259" s="451">
        <v>0</v>
      </c>
      <c r="R259" s="451">
        <v>0</v>
      </c>
      <c r="S259" s="451">
        <v>0</v>
      </c>
      <c r="T259" s="451">
        <v>0</v>
      </c>
      <c r="U259" s="451">
        <v>0</v>
      </c>
      <c r="V259" s="451">
        <v>0</v>
      </c>
      <c r="W259" s="451">
        <v>0</v>
      </c>
      <c r="X259" s="451">
        <v>0</v>
      </c>
      <c r="Y259" s="451">
        <v>0</v>
      </c>
      <c r="Z259" s="451">
        <v>0</v>
      </c>
      <c r="AA259" s="451">
        <v>0</v>
      </c>
      <c r="AB259" s="451">
        <v>3965306</v>
      </c>
      <c r="AC259" s="451">
        <v>2379184</v>
      </c>
      <c r="AD259" s="451">
        <v>1586123</v>
      </c>
      <c r="AE259" s="451">
        <v>0</v>
      </c>
      <c r="AF259" s="451">
        <v>7930613</v>
      </c>
      <c r="AG259" s="451">
        <v>-4639966</v>
      </c>
      <c r="AH259" s="451">
        <v>-2783980</v>
      </c>
      <c r="AI259" s="451">
        <v>-1855987</v>
      </c>
      <c r="AJ259" s="451">
        <v>0</v>
      </c>
      <c r="AK259" s="451">
        <v>-9279933</v>
      </c>
      <c r="AL259" s="451">
        <v>1986010.33</v>
      </c>
      <c r="AM259" s="451">
        <v>1191606</v>
      </c>
      <c r="AN259" s="451">
        <v>794404</v>
      </c>
      <c r="AO259" s="451">
        <v>0</v>
      </c>
      <c r="AP259" s="451">
        <v>3972020.33</v>
      </c>
      <c r="AQ259" s="451">
        <v>73589</v>
      </c>
      <c r="AR259" s="451">
        <v>44154</v>
      </c>
      <c r="AS259" s="451">
        <v>29436</v>
      </c>
      <c r="AT259" s="451">
        <v>0</v>
      </c>
      <c r="AU259" s="451">
        <v>147179</v>
      </c>
      <c r="AV259" s="451">
        <v>2059599.33</v>
      </c>
      <c r="AW259" s="451">
        <v>1235760</v>
      </c>
      <c r="AX259" s="451">
        <v>823840</v>
      </c>
      <c r="AY259" s="451">
        <v>0</v>
      </c>
      <c r="AZ259" s="451">
        <v>4119199.33</v>
      </c>
      <c r="BA259" s="451">
        <v>0</v>
      </c>
      <c r="BB259" s="451">
        <v>0</v>
      </c>
      <c r="BC259" s="451">
        <v>0</v>
      </c>
      <c r="BD259" s="451">
        <v>0</v>
      </c>
      <c r="BE259" s="451">
        <v>0</v>
      </c>
      <c r="BF259" s="451">
        <v>3761070.64</v>
      </c>
      <c r="BG259" s="451">
        <v>2256642</v>
      </c>
      <c r="BH259" s="451">
        <v>1504428</v>
      </c>
      <c r="BI259" s="451">
        <v>0</v>
      </c>
      <c r="BJ259" s="451">
        <v>7522140.6399999997</v>
      </c>
      <c r="BK259" s="451">
        <v>3761070.64</v>
      </c>
      <c r="BL259" s="451">
        <v>2256642</v>
      </c>
      <c r="BM259" s="451">
        <v>1504428</v>
      </c>
      <c r="BN259" s="451">
        <v>0</v>
      </c>
      <c r="BO259" s="451">
        <v>7522140.6399999997</v>
      </c>
      <c r="BP259" s="451">
        <v>0</v>
      </c>
      <c r="BQ259" s="451">
        <v>0</v>
      </c>
      <c r="BR259" s="451">
        <v>0</v>
      </c>
      <c r="BS259" s="451">
        <v>0</v>
      </c>
      <c r="BT259" s="451">
        <v>0</v>
      </c>
      <c r="BU259" s="451">
        <v>15708571</v>
      </c>
      <c r="BV259" s="451">
        <v>9425143</v>
      </c>
      <c r="BW259" s="451">
        <v>6283428</v>
      </c>
      <c r="BX259" s="451">
        <v>0</v>
      </c>
      <c r="BY259" s="451">
        <v>31417142</v>
      </c>
      <c r="BZ259" s="451">
        <v>15708571</v>
      </c>
      <c r="CA259" s="451">
        <v>9425143</v>
      </c>
      <c r="CB259" s="451">
        <v>6283428</v>
      </c>
      <c r="CC259" s="451">
        <v>0</v>
      </c>
      <c r="CD259" s="451">
        <v>31417142</v>
      </c>
      <c r="CE259" s="104"/>
      <c r="CF259" s="104"/>
      <c r="CG259" s="104"/>
    </row>
    <row r="260" spans="1:85" ht="12.75" x14ac:dyDescent="0.2">
      <c r="A260" s="446">
        <v>253</v>
      </c>
      <c r="B260" s="447" t="s">
        <v>389</v>
      </c>
      <c r="C260" s="448" t="s">
        <v>1093</v>
      </c>
      <c r="D260" s="449" t="s">
        <v>1094</v>
      </c>
      <c r="E260" s="450" t="s">
        <v>388</v>
      </c>
      <c r="F260" s="451">
        <v>18859450</v>
      </c>
      <c r="G260" s="451">
        <v>15087560</v>
      </c>
      <c r="H260" s="451">
        <v>3771890</v>
      </c>
      <c r="I260" s="451">
        <v>0</v>
      </c>
      <c r="J260" s="451">
        <v>37718900</v>
      </c>
      <c r="K260" s="451">
        <v>0</v>
      </c>
      <c r="L260" s="451">
        <v>0</v>
      </c>
      <c r="M260" s="451">
        <v>18859450</v>
      </c>
      <c r="N260" s="451">
        <v>37718900</v>
      </c>
      <c r="O260" s="451">
        <v>132328</v>
      </c>
      <c r="P260" s="451">
        <v>132328</v>
      </c>
      <c r="Q260" s="451">
        <v>0</v>
      </c>
      <c r="R260" s="451">
        <v>0</v>
      </c>
      <c r="S260" s="451">
        <v>0</v>
      </c>
      <c r="T260" s="451">
        <v>0</v>
      </c>
      <c r="U260" s="451">
        <v>0</v>
      </c>
      <c r="V260" s="451">
        <v>0</v>
      </c>
      <c r="W260" s="451">
        <v>0</v>
      </c>
      <c r="X260" s="451">
        <v>0</v>
      </c>
      <c r="Y260" s="451">
        <v>0</v>
      </c>
      <c r="Z260" s="451">
        <v>0</v>
      </c>
      <c r="AA260" s="451">
        <v>0</v>
      </c>
      <c r="AB260" s="451">
        <v>408552</v>
      </c>
      <c r="AC260" s="451">
        <v>326841</v>
      </c>
      <c r="AD260" s="451">
        <v>81710</v>
      </c>
      <c r="AE260" s="451">
        <v>0</v>
      </c>
      <c r="AF260" s="451">
        <v>817103</v>
      </c>
      <c r="AG260" s="451">
        <v>471102</v>
      </c>
      <c r="AH260" s="451">
        <v>376882</v>
      </c>
      <c r="AI260" s="451">
        <v>94221</v>
      </c>
      <c r="AJ260" s="451">
        <v>0</v>
      </c>
      <c r="AK260" s="451">
        <v>942205</v>
      </c>
      <c r="AL260" s="451">
        <v>144950</v>
      </c>
      <c r="AM260" s="451">
        <v>115960</v>
      </c>
      <c r="AN260" s="451">
        <v>28990</v>
      </c>
      <c r="AO260" s="451">
        <v>0</v>
      </c>
      <c r="AP260" s="451">
        <v>289900</v>
      </c>
      <c r="AQ260" s="451">
        <v>-7500</v>
      </c>
      <c r="AR260" s="451">
        <v>-6000</v>
      </c>
      <c r="AS260" s="451">
        <v>-1500</v>
      </c>
      <c r="AT260" s="451">
        <v>0</v>
      </c>
      <c r="AU260" s="451">
        <v>-15000</v>
      </c>
      <c r="AV260" s="451">
        <v>137450</v>
      </c>
      <c r="AW260" s="451">
        <v>109960</v>
      </c>
      <c r="AX260" s="451">
        <v>27490</v>
      </c>
      <c r="AY260" s="451">
        <v>0</v>
      </c>
      <c r="AZ260" s="451">
        <v>274900</v>
      </c>
      <c r="BA260" s="451">
        <v>0</v>
      </c>
      <c r="BB260" s="451">
        <v>0</v>
      </c>
      <c r="BC260" s="451">
        <v>0</v>
      </c>
      <c r="BD260" s="451">
        <v>0</v>
      </c>
      <c r="BE260" s="451">
        <v>0</v>
      </c>
      <c r="BF260" s="451">
        <v>317292</v>
      </c>
      <c r="BG260" s="451">
        <v>253833</v>
      </c>
      <c r="BH260" s="451">
        <v>63458</v>
      </c>
      <c r="BI260" s="451">
        <v>0</v>
      </c>
      <c r="BJ260" s="451">
        <v>634583</v>
      </c>
      <c r="BK260" s="451">
        <v>317292</v>
      </c>
      <c r="BL260" s="451">
        <v>253833</v>
      </c>
      <c r="BM260" s="451">
        <v>63458</v>
      </c>
      <c r="BN260" s="451">
        <v>0</v>
      </c>
      <c r="BO260" s="451">
        <v>634583</v>
      </c>
      <c r="BP260" s="451">
        <v>0</v>
      </c>
      <c r="BQ260" s="451">
        <v>0</v>
      </c>
      <c r="BR260" s="451">
        <v>0</v>
      </c>
      <c r="BS260" s="451">
        <v>0</v>
      </c>
      <c r="BT260" s="451">
        <v>0</v>
      </c>
      <c r="BU260" s="451">
        <v>991881</v>
      </c>
      <c r="BV260" s="451">
        <v>793505</v>
      </c>
      <c r="BW260" s="451">
        <v>198376</v>
      </c>
      <c r="BX260" s="451">
        <v>0</v>
      </c>
      <c r="BY260" s="451">
        <v>1983762</v>
      </c>
      <c r="BZ260" s="451">
        <v>991881</v>
      </c>
      <c r="CA260" s="451">
        <v>793505</v>
      </c>
      <c r="CB260" s="451">
        <v>198376</v>
      </c>
      <c r="CC260" s="451">
        <v>0</v>
      </c>
      <c r="CD260" s="451">
        <v>1983762</v>
      </c>
      <c r="CE260" s="104"/>
      <c r="CF260" s="104"/>
      <c r="CG260" s="104"/>
    </row>
    <row r="261" spans="1:85" ht="12.75" x14ac:dyDescent="0.2">
      <c r="A261" s="446">
        <v>254</v>
      </c>
      <c r="B261" s="447" t="s">
        <v>391</v>
      </c>
      <c r="C261" s="448" t="s">
        <v>1093</v>
      </c>
      <c r="D261" s="449" t="s">
        <v>1097</v>
      </c>
      <c r="E261" s="450" t="s">
        <v>390</v>
      </c>
      <c r="F261" s="451">
        <v>29084083</v>
      </c>
      <c r="G261" s="451">
        <v>23267267</v>
      </c>
      <c r="H261" s="451">
        <v>5816817</v>
      </c>
      <c r="I261" s="451">
        <v>0</v>
      </c>
      <c r="J261" s="451">
        <v>58168167</v>
      </c>
      <c r="K261" s="451">
        <v>0</v>
      </c>
      <c r="L261" s="451">
        <v>0</v>
      </c>
      <c r="M261" s="451">
        <v>29084083</v>
      </c>
      <c r="N261" s="451">
        <v>58168167</v>
      </c>
      <c r="O261" s="451">
        <v>197970</v>
      </c>
      <c r="P261" s="451">
        <v>197970</v>
      </c>
      <c r="Q261" s="451">
        <v>0</v>
      </c>
      <c r="R261" s="451">
        <v>0</v>
      </c>
      <c r="S261" s="451">
        <v>0</v>
      </c>
      <c r="T261" s="451">
        <v>0</v>
      </c>
      <c r="U261" s="451">
        <v>0</v>
      </c>
      <c r="V261" s="451">
        <v>0</v>
      </c>
      <c r="W261" s="451">
        <v>0</v>
      </c>
      <c r="X261" s="451">
        <v>0</v>
      </c>
      <c r="Y261" s="451">
        <v>0</v>
      </c>
      <c r="Z261" s="451">
        <v>0</v>
      </c>
      <c r="AA261" s="451">
        <v>0</v>
      </c>
      <c r="AB261" s="451">
        <v>1165487</v>
      </c>
      <c r="AC261" s="451">
        <v>932390</v>
      </c>
      <c r="AD261" s="451">
        <v>233098</v>
      </c>
      <c r="AE261" s="451">
        <v>0</v>
      </c>
      <c r="AF261" s="451">
        <v>2330975</v>
      </c>
      <c r="AG261" s="451">
        <v>281196</v>
      </c>
      <c r="AH261" s="451">
        <v>224956</v>
      </c>
      <c r="AI261" s="451">
        <v>56239</v>
      </c>
      <c r="AJ261" s="451">
        <v>0</v>
      </c>
      <c r="AK261" s="451">
        <v>562391</v>
      </c>
      <c r="AL261" s="451">
        <v>0</v>
      </c>
      <c r="AM261" s="451">
        <v>0</v>
      </c>
      <c r="AN261" s="451">
        <v>0</v>
      </c>
      <c r="AO261" s="451">
        <v>0</v>
      </c>
      <c r="AP261" s="451">
        <v>0</v>
      </c>
      <c r="AQ261" s="451">
        <v>107000</v>
      </c>
      <c r="AR261" s="451">
        <v>85600</v>
      </c>
      <c r="AS261" s="451">
        <v>21400</v>
      </c>
      <c r="AT261" s="451">
        <v>0</v>
      </c>
      <c r="AU261" s="451">
        <v>214000</v>
      </c>
      <c r="AV261" s="451">
        <v>107000</v>
      </c>
      <c r="AW261" s="451">
        <v>85600</v>
      </c>
      <c r="AX261" s="451">
        <v>21400</v>
      </c>
      <c r="AY261" s="451">
        <v>0</v>
      </c>
      <c r="AZ261" s="451">
        <v>214000</v>
      </c>
      <c r="BA261" s="451">
        <v>0</v>
      </c>
      <c r="BB261" s="451">
        <v>0</v>
      </c>
      <c r="BC261" s="451">
        <v>0</v>
      </c>
      <c r="BD261" s="451">
        <v>0</v>
      </c>
      <c r="BE261" s="451">
        <v>0</v>
      </c>
      <c r="BF261" s="451">
        <v>575567.86</v>
      </c>
      <c r="BG261" s="451">
        <v>460454</v>
      </c>
      <c r="BH261" s="451">
        <v>115114</v>
      </c>
      <c r="BI261" s="451">
        <v>0</v>
      </c>
      <c r="BJ261" s="451">
        <v>1151135.8600000001</v>
      </c>
      <c r="BK261" s="451">
        <v>575567.86</v>
      </c>
      <c r="BL261" s="451">
        <v>460454</v>
      </c>
      <c r="BM261" s="451">
        <v>115114</v>
      </c>
      <c r="BN261" s="451">
        <v>0</v>
      </c>
      <c r="BO261" s="451">
        <v>1151135.8600000001</v>
      </c>
      <c r="BP261" s="451">
        <v>0</v>
      </c>
      <c r="BQ261" s="451">
        <v>0</v>
      </c>
      <c r="BR261" s="451">
        <v>0</v>
      </c>
      <c r="BS261" s="451">
        <v>0</v>
      </c>
      <c r="BT261" s="451">
        <v>0</v>
      </c>
      <c r="BU261" s="451">
        <v>462447</v>
      </c>
      <c r="BV261" s="451">
        <v>369958</v>
      </c>
      <c r="BW261" s="451">
        <v>92490</v>
      </c>
      <c r="BX261" s="451">
        <v>0</v>
      </c>
      <c r="BY261" s="451">
        <v>924895</v>
      </c>
      <c r="BZ261" s="451">
        <v>462447</v>
      </c>
      <c r="CA261" s="451">
        <v>369958</v>
      </c>
      <c r="CB261" s="451">
        <v>92490</v>
      </c>
      <c r="CC261" s="451">
        <v>0</v>
      </c>
      <c r="CD261" s="451">
        <v>924895</v>
      </c>
      <c r="CE261" s="104"/>
      <c r="CF261" s="104"/>
      <c r="CG261" s="104"/>
    </row>
    <row r="262" spans="1:85" ht="12.75" x14ac:dyDescent="0.2">
      <c r="A262" s="446">
        <v>255</v>
      </c>
      <c r="B262" s="447" t="s">
        <v>393</v>
      </c>
      <c r="C262" s="448" t="s">
        <v>1093</v>
      </c>
      <c r="D262" s="449" t="s">
        <v>1097</v>
      </c>
      <c r="E262" s="450" t="s">
        <v>392</v>
      </c>
      <c r="F262" s="451">
        <v>21782926</v>
      </c>
      <c r="G262" s="451">
        <v>17426341</v>
      </c>
      <c r="H262" s="451">
        <v>4356585</v>
      </c>
      <c r="I262" s="451">
        <v>0</v>
      </c>
      <c r="J262" s="451">
        <v>43565852</v>
      </c>
      <c r="K262" s="451">
        <v>0</v>
      </c>
      <c r="L262" s="451">
        <v>0</v>
      </c>
      <c r="M262" s="451">
        <v>21782926</v>
      </c>
      <c r="N262" s="451">
        <v>43565852</v>
      </c>
      <c r="O262" s="451">
        <v>164145</v>
      </c>
      <c r="P262" s="451">
        <v>164145</v>
      </c>
      <c r="Q262" s="451">
        <v>0</v>
      </c>
      <c r="R262" s="451">
        <v>0</v>
      </c>
      <c r="S262" s="451">
        <v>0</v>
      </c>
      <c r="T262" s="451">
        <v>0</v>
      </c>
      <c r="U262" s="451">
        <v>35841</v>
      </c>
      <c r="V262" s="451">
        <v>0</v>
      </c>
      <c r="W262" s="451">
        <v>35841</v>
      </c>
      <c r="X262" s="451">
        <v>0</v>
      </c>
      <c r="Y262" s="451">
        <v>0</v>
      </c>
      <c r="Z262" s="451">
        <v>0</v>
      </c>
      <c r="AA262" s="451">
        <v>0</v>
      </c>
      <c r="AB262" s="451">
        <v>665113.93000000005</v>
      </c>
      <c r="AC262" s="451">
        <v>532091</v>
      </c>
      <c r="AD262" s="451">
        <v>133023</v>
      </c>
      <c r="AE262" s="451">
        <v>0</v>
      </c>
      <c r="AF262" s="451">
        <v>1330227.93</v>
      </c>
      <c r="AG262" s="451">
        <v>158252.60999999999</v>
      </c>
      <c r="AH262" s="451">
        <v>126601</v>
      </c>
      <c r="AI262" s="451">
        <v>31650</v>
      </c>
      <c r="AJ262" s="451">
        <v>0</v>
      </c>
      <c r="AK262" s="451">
        <v>316503.61</v>
      </c>
      <c r="AL262" s="451">
        <v>153250.84</v>
      </c>
      <c r="AM262" s="451">
        <v>122601</v>
      </c>
      <c r="AN262" s="451">
        <v>30650</v>
      </c>
      <c r="AO262" s="451">
        <v>0</v>
      </c>
      <c r="AP262" s="451">
        <v>306501.84000000003</v>
      </c>
      <c r="AQ262" s="451">
        <v>45329.61</v>
      </c>
      <c r="AR262" s="451">
        <v>36264</v>
      </c>
      <c r="AS262" s="451">
        <v>9066</v>
      </c>
      <c r="AT262" s="451">
        <v>0</v>
      </c>
      <c r="AU262" s="451">
        <v>90659.61</v>
      </c>
      <c r="AV262" s="451">
        <v>198580.45</v>
      </c>
      <c r="AW262" s="451">
        <v>158865</v>
      </c>
      <c r="AX262" s="451">
        <v>39716</v>
      </c>
      <c r="AY262" s="451">
        <v>0</v>
      </c>
      <c r="AZ262" s="451">
        <v>397161.45</v>
      </c>
      <c r="BA262" s="451">
        <v>0</v>
      </c>
      <c r="BB262" s="451">
        <v>0</v>
      </c>
      <c r="BC262" s="451">
        <v>0</v>
      </c>
      <c r="BD262" s="451">
        <v>0</v>
      </c>
      <c r="BE262" s="451">
        <v>0</v>
      </c>
      <c r="BF262" s="451">
        <v>190078</v>
      </c>
      <c r="BG262" s="451">
        <v>152063</v>
      </c>
      <c r="BH262" s="451">
        <v>38016</v>
      </c>
      <c r="BI262" s="451">
        <v>0</v>
      </c>
      <c r="BJ262" s="451">
        <v>380157</v>
      </c>
      <c r="BK262" s="451">
        <v>190078</v>
      </c>
      <c r="BL262" s="451">
        <v>152063</v>
      </c>
      <c r="BM262" s="451">
        <v>38016</v>
      </c>
      <c r="BN262" s="451">
        <v>0</v>
      </c>
      <c r="BO262" s="451">
        <v>380157</v>
      </c>
      <c r="BP262" s="451">
        <v>0</v>
      </c>
      <c r="BQ262" s="451">
        <v>0</v>
      </c>
      <c r="BR262" s="451">
        <v>0</v>
      </c>
      <c r="BS262" s="451">
        <v>0</v>
      </c>
      <c r="BT262" s="451">
        <v>0</v>
      </c>
      <c r="BU262" s="451">
        <v>527858</v>
      </c>
      <c r="BV262" s="451">
        <v>422287</v>
      </c>
      <c r="BW262" s="451">
        <v>105572</v>
      </c>
      <c r="BX262" s="451">
        <v>0</v>
      </c>
      <c r="BY262" s="451">
        <v>1055717</v>
      </c>
      <c r="BZ262" s="451">
        <v>527858</v>
      </c>
      <c r="CA262" s="451">
        <v>422287</v>
      </c>
      <c r="CB262" s="451">
        <v>105572</v>
      </c>
      <c r="CC262" s="451">
        <v>0</v>
      </c>
      <c r="CD262" s="451">
        <v>1055717</v>
      </c>
      <c r="CE262" s="104"/>
      <c r="CF262" s="104"/>
      <c r="CG262" s="104"/>
    </row>
    <row r="263" spans="1:85" ht="12.75" x14ac:dyDescent="0.2">
      <c r="A263" s="446">
        <v>256</v>
      </c>
      <c r="B263" s="447" t="s">
        <v>395</v>
      </c>
      <c r="C263" s="448" t="s">
        <v>1100</v>
      </c>
      <c r="D263" s="449" t="s">
        <v>1095</v>
      </c>
      <c r="E263" s="450" t="s">
        <v>394</v>
      </c>
      <c r="F263" s="451">
        <v>23983639</v>
      </c>
      <c r="G263" s="451">
        <v>23503967</v>
      </c>
      <c r="H263" s="451">
        <v>0</v>
      </c>
      <c r="I263" s="451">
        <v>479673</v>
      </c>
      <c r="J263" s="451">
        <v>47967279</v>
      </c>
      <c r="K263" s="451">
        <v>0</v>
      </c>
      <c r="L263" s="451">
        <v>0</v>
      </c>
      <c r="M263" s="451">
        <v>23983639</v>
      </c>
      <c r="N263" s="451">
        <v>47967279</v>
      </c>
      <c r="O263" s="451">
        <v>195142</v>
      </c>
      <c r="P263" s="451">
        <v>195142</v>
      </c>
      <c r="Q263" s="451">
        <v>0</v>
      </c>
      <c r="R263" s="451">
        <v>0</v>
      </c>
      <c r="S263" s="451">
        <v>0</v>
      </c>
      <c r="T263" s="451">
        <v>0</v>
      </c>
      <c r="U263" s="451">
        <v>0</v>
      </c>
      <c r="V263" s="451">
        <v>0</v>
      </c>
      <c r="W263" s="451">
        <v>0</v>
      </c>
      <c r="X263" s="451">
        <v>0</v>
      </c>
      <c r="Y263" s="451">
        <v>0</v>
      </c>
      <c r="Z263" s="451">
        <v>0</v>
      </c>
      <c r="AA263" s="451">
        <v>0</v>
      </c>
      <c r="AB263" s="451">
        <v>1774990</v>
      </c>
      <c r="AC263" s="451">
        <v>1739490</v>
      </c>
      <c r="AD263" s="451">
        <v>0</v>
      </c>
      <c r="AE263" s="451">
        <v>35500</v>
      </c>
      <c r="AF263" s="451">
        <v>3549980</v>
      </c>
      <c r="AG263" s="451">
        <v>444344</v>
      </c>
      <c r="AH263" s="451">
        <v>435458</v>
      </c>
      <c r="AI263" s="451">
        <v>0</v>
      </c>
      <c r="AJ263" s="451">
        <v>8887</v>
      </c>
      <c r="AK263" s="451">
        <v>888689</v>
      </c>
      <c r="AL263" s="451">
        <v>745008</v>
      </c>
      <c r="AM263" s="451">
        <v>730108</v>
      </c>
      <c r="AN263" s="451">
        <v>0</v>
      </c>
      <c r="AO263" s="451">
        <v>14900</v>
      </c>
      <c r="AP263" s="451">
        <v>1490016</v>
      </c>
      <c r="AQ263" s="451">
        <v>204465</v>
      </c>
      <c r="AR263" s="451">
        <v>200375</v>
      </c>
      <c r="AS263" s="451">
        <v>0</v>
      </c>
      <c r="AT263" s="451">
        <v>4089</v>
      </c>
      <c r="AU263" s="451">
        <v>408929</v>
      </c>
      <c r="AV263" s="451">
        <v>949473</v>
      </c>
      <c r="AW263" s="451">
        <v>930483</v>
      </c>
      <c r="AX263" s="451">
        <v>0</v>
      </c>
      <c r="AY263" s="451">
        <v>18989</v>
      </c>
      <c r="AZ263" s="451">
        <v>1898945</v>
      </c>
      <c r="BA263" s="451">
        <v>0</v>
      </c>
      <c r="BB263" s="451">
        <v>0</v>
      </c>
      <c r="BC263" s="451">
        <v>0</v>
      </c>
      <c r="BD263" s="451">
        <v>0</v>
      </c>
      <c r="BE263" s="451">
        <v>0</v>
      </c>
      <c r="BF263" s="451">
        <v>393488</v>
      </c>
      <c r="BG263" s="451">
        <v>385618</v>
      </c>
      <c r="BH263" s="451">
        <v>0</v>
      </c>
      <c r="BI263" s="451">
        <v>7870</v>
      </c>
      <c r="BJ263" s="451">
        <v>786976</v>
      </c>
      <c r="BK263" s="451">
        <v>393488</v>
      </c>
      <c r="BL263" s="451">
        <v>385618</v>
      </c>
      <c r="BM263" s="451">
        <v>0</v>
      </c>
      <c r="BN263" s="451">
        <v>7870</v>
      </c>
      <c r="BO263" s="451">
        <v>786976</v>
      </c>
      <c r="BP263" s="451">
        <v>0</v>
      </c>
      <c r="BQ263" s="451">
        <v>0</v>
      </c>
      <c r="BR263" s="451">
        <v>0</v>
      </c>
      <c r="BS263" s="451">
        <v>0</v>
      </c>
      <c r="BT263" s="451">
        <v>0</v>
      </c>
      <c r="BU263" s="451">
        <v>1174859</v>
      </c>
      <c r="BV263" s="451">
        <v>1151362</v>
      </c>
      <c r="BW263" s="451">
        <v>0</v>
      </c>
      <c r="BX263" s="451">
        <v>23497</v>
      </c>
      <c r="BY263" s="451">
        <v>2349718</v>
      </c>
      <c r="BZ263" s="451">
        <v>1174859</v>
      </c>
      <c r="CA263" s="451">
        <v>1151362</v>
      </c>
      <c r="CB263" s="451">
        <v>0</v>
      </c>
      <c r="CC263" s="451">
        <v>23497</v>
      </c>
      <c r="CD263" s="451">
        <v>2349718</v>
      </c>
      <c r="CE263" s="104"/>
      <c r="CF263" s="104"/>
      <c r="CG263" s="104"/>
    </row>
    <row r="264" spans="1:85" ht="12.75" x14ac:dyDescent="0.2">
      <c r="A264" s="446">
        <v>257</v>
      </c>
      <c r="B264" s="447" t="s">
        <v>397</v>
      </c>
      <c r="C264" s="448" t="s">
        <v>1093</v>
      </c>
      <c r="D264" s="449" t="s">
        <v>1103</v>
      </c>
      <c r="E264" s="450" t="s">
        <v>396</v>
      </c>
      <c r="F264" s="451">
        <v>20894811</v>
      </c>
      <c r="G264" s="451">
        <v>16715848</v>
      </c>
      <c r="H264" s="451">
        <v>3761066</v>
      </c>
      <c r="I264" s="451">
        <v>417896</v>
      </c>
      <c r="J264" s="451">
        <v>41789621</v>
      </c>
      <c r="K264" s="451">
        <v>0</v>
      </c>
      <c r="L264" s="451">
        <v>0</v>
      </c>
      <c r="M264" s="451">
        <v>20894811</v>
      </c>
      <c r="N264" s="451">
        <v>41789621</v>
      </c>
      <c r="O264" s="451">
        <v>172645</v>
      </c>
      <c r="P264" s="451">
        <v>172645</v>
      </c>
      <c r="Q264" s="451">
        <v>0</v>
      </c>
      <c r="R264" s="451">
        <v>0</v>
      </c>
      <c r="S264" s="451">
        <v>0</v>
      </c>
      <c r="T264" s="451">
        <v>0</v>
      </c>
      <c r="U264" s="451">
        <v>0</v>
      </c>
      <c r="V264" s="451">
        <v>0</v>
      </c>
      <c r="W264" s="451">
        <v>0</v>
      </c>
      <c r="X264" s="451">
        <v>0</v>
      </c>
      <c r="Y264" s="451">
        <v>0</v>
      </c>
      <c r="Z264" s="451">
        <v>0</v>
      </c>
      <c r="AA264" s="451">
        <v>0</v>
      </c>
      <c r="AB264" s="451">
        <v>821752</v>
      </c>
      <c r="AC264" s="451">
        <v>657401</v>
      </c>
      <c r="AD264" s="451">
        <v>147915</v>
      </c>
      <c r="AE264" s="451">
        <v>16435</v>
      </c>
      <c r="AF264" s="451">
        <v>1643503</v>
      </c>
      <c r="AG264" s="451">
        <v>35825</v>
      </c>
      <c r="AH264" s="451">
        <v>28659</v>
      </c>
      <c r="AI264" s="451">
        <v>6448</v>
      </c>
      <c r="AJ264" s="451">
        <v>716</v>
      </c>
      <c r="AK264" s="451">
        <v>71648</v>
      </c>
      <c r="AL264" s="451">
        <v>266500</v>
      </c>
      <c r="AM264" s="451">
        <v>213200</v>
      </c>
      <c r="AN264" s="451">
        <v>47970</v>
      </c>
      <c r="AO264" s="451">
        <v>5330</v>
      </c>
      <c r="AP264" s="451">
        <v>533000</v>
      </c>
      <c r="AQ264" s="451">
        <v>151109</v>
      </c>
      <c r="AR264" s="451">
        <v>120887</v>
      </c>
      <c r="AS264" s="451">
        <v>27200</v>
      </c>
      <c r="AT264" s="451">
        <v>3022</v>
      </c>
      <c r="AU264" s="451">
        <v>302218</v>
      </c>
      <c r="AV264" s="451">
        <v>417609</v>
      </c>
      <c r="AW264" s="451">
        <v>334087</v>
      </c>
      <c r="AX264" s="451">
        <v>75170</v>
      </c>
      <c r="AY264" s="451">
        <v>8352</v>
      </c>
      <c r="AZ264" s="451">
        <v>835218</v>
      </c>
      <c r="BA264" s="451">
        <v>0</v>
      </c>
      <c r="BB264" s="451">
        <v>0</v>
      </c>
      <c r="BC264" s="451">
        <v>0</v>
      </c>
      <c r="BD264" s="451">
        <v>0</v>
      </c>
      <c r="BE264" s="451">
        <v>0</v>
      </c>
      <c r="BF264" s="451">
        <v>222805</v>
      </c>
      <c r="BG264" s="451">
        <v>178244</v>
      </c>
      <c r="BH264" s="451">
        <v>40105</v>
      </c>
      <c r="BI264" s="451">
        <v>4456</v>
      </c>
      <c r="BJ264" s="451">
        <v>445610</v>
      </c>
      <c r="BK264" s="451">
        <v>222805</v>
      </c>
      <c r="BL264" s="451">
        <v>178244</v>
      </c>
      <c r="BM264" s="451">
        <v>40105</v>
      </c>
      <c r="BN264" s="451">
        <v>4456</v>
      </c>
      <c r="BO264" s="451">
        <v>445610</v>
      </c>
      <c r="BP264" s="451">
        <v>0</v>
      </c>
      <c r="BQ264" s="451">
        <v>0</v>
      </c>
      <c r="BR264" s="451">
        <v>0</v>
      </c>
      <c r="BS264" s="451">
        <v>0</v>
      </c>
      <c r="BT264" s="451">
        <v>0</v>
      </c>
      <c r="BU264" s="451">
        <v>668424</v>
      </c>
      <c r="BV264" s="451">
        <v>534738</v>
      </c>
      <c r="BW264" s="451">
        <v>120316</v>
      </c>
      <c r="BX264" s="451">
        <v>13368</v>
      </c>
      <c r="BY264" s="451">
        <v>1336846</v>
      </c>
      <c r="BZ264" s="451">
        <v>668424</v>
      </c>
      <c r="CA264" s="451">
        <v>534738</v>
      </c>
      <c r="CB264" s="451">
        <v>120316</v>
      </c>
      <c r="CC264" s="451">
        <v>13368</v>
      </c>
      <c r="CD264" s="451">
        <v>1336846</v>
      </c>
      <c r="CE264" s="104"/>
      <c r="CF264" s="104"/>
      <c r="CG264" s="104"/>
    </row>
    <row r="265" spans="1:85" ht="12.75" x14ac:dyDescent="0.2">
      <c r="A265" s="446">
        <v>258</v>
      </c>
      <c r="B265" s="447" t="s">
        <v>399</v>
      </c>
      <c r="C265" s="448" t="s">
        <v>1093</v>
      </c>
      <c r="D265" s="449" t="s">
        <v>1103</v>
      </c>
      <c r="E265" s="450" t="s">
        <v>398</v>
      </c>
      <c r="F265" s="451">
        <v>8598625</v>
      </c>
      <c r="G265" s="451">
        <v>6878901</v>
      </c>
      <c r="H265" s="451">
        <v>1547753</v>
      </c>
      <c r="I265" s="451">
        <v>171973</v>
      </c>
      <c r="J265" s="451">
        <v>17197252</v>
      </c>
      <c r="K265" s="451">
        <v>0</v>
      </c>
      <c r="L265" s="451">
        <v>0</v>
      </c>
      <c r="M265" s="451">
        <v>8598625</v>
      </c>
      <c r="N265" s="451">
        <v>17197252</v>
      </c>
      <c r="O265" s="451">
        <v>116953</v>
      </c>
      <c r="P265" s="451">
        <v>116953</v>
      </c>
      <c r="Q265" s="451">
        <v>0</v>
      </c>
      <c r="R265" s="451">
        <v>0</v>
      </c>
      <c r="S265" s="451">
        <v>0</v>
      </c>
      <c r="T265" s="451">
        <v>0</v>
      </c>
      <c r="U265" s="451">
        <v>0</v>
      </c>
      <c r="V265" s="451">
        <v>0</v>
      </c>
      <c r="W265" s="451">
        <v>0</v>
      </c>
      <c r="X265" s="451">
        <v>0</v>
      </c>
      <c r="Y265" s="451">
        <v>0</v>
      </c>
      <c r="Z265" s="451">
        <v>0</v>
      </c>
      <c r="AA265" s="451">
        <v>0</v>
      </c>
      <c r="AB265" s="451">
        <v>281266</v>
      </c>
      <c r="AC265" s="451">
        <v>225013</v>
      </c>
      <c r="AD265" s="451">
        <v>50628</v>
      </c>
      <c r="AE265" s="451">
        <v>5625</v>
      </c>
      <c r="AF265" s="451">
        <v>562532</v>
      </c>
      <c r="AG265" s="451">
        <v>62662</v>
      </c>
      <c r="AH265" s="451">
        <v>50130</v>
      </c>
      <c r="AI265" s="451">
        <v>11279</v>
      </c>
      <c r="AJ265" s="451">
        <v>1253</v>
      </c>
      <c r="AK265" s="451">
        <v>125324</v>
      </c>
      <c r="AL265" s="451">
        <v>209964</v>
      </c>
      <c r="AM265" s="451">
        <v>167971</v>
      </c>
      <c r="AN265" s="451">
        <v>37794</v>
      </c>
      <c r="AO265" s="451">
        <v>4199</v>
      </c>
      <c r="AP265" s="451">
        <v>419928</v>
      </c>
      <c r="AQ265" s="451">
        <v>-12748</v>
      </c>
      <c r="AR265" s="451">
        <v>-10198</v>
      </c>
      <c r="AS265" s="451">
        <v>-2295</v>
      </c>
      <c r="AT265" s="451">
        <v>-255</v>
      </c>
      <c r="AU265" s="451">
        <v>-25496</v>
      </c>
      <c r="AV265" s="451">
        <v>197216</v>
      </c>
      <c r="AW265" s="451">
        <v>157773</v>
      </c>
      <c r="AX265" s="451">
        <v>35499</v>
      </c>
      <c r="AY265" s="451">
        <v>3944</v>
      </c>
      <c r="AZ265" s="451">
        <v>394432</v>
      </c>
      <c r="BA265" s="451">
        <v>0</v>
      </c>
      <c r="BB265" s="451">
        <v>0</v>
      </c>
      <c r="BC265" s="451">
        <v>0</v>
      </c>
      <c r="BD265" s="451">
        <v>0</v>
      </c>
      <c r="BE265" s="451">
        <v>0</v>
      </c>
      <c r="BF265" s="451">
        <v>55064</v>
      </c>
      <c r="BG265" s="451">
        <v>44050</v>
      </c>
      <c r="BH265" s="451">
        <v>9911</v>
      </c>
      <c r="BI265" s="451">
        <v>1101</v>
      </c>
      <c r="BJ265" s="451">
        <v>110126</v>
      </c>
      <c r="BK265" s="451">
        <v>55064</v>
      </c>
      <c r="BL265" s="451">
        <v>44050</v>
      </c>
      <c r="BM265" s="451">
        <v>9911</v>
      </c>
      <c r="BN265" s="451">
        <v>1101</v>
      </c>
      <c r="BO265" s="451">
        <v>110126</v>
      </c>
      <c r="BP265" s="451">
        <v>0</v>
      </c>
      <c r="BQ265" s="451">
        <v>0</v>
      </c>
      <c r="BR265" s="451">
        <v>0</v>
      </c>
      <c r="BS265" s="451">
        <v>0</v>
      </c>
      <c r="BT265" s="451">
        <v>0</v>
      </c>
      <c r="BU265" s="451">
        <v>133747</v>
      </c>
      <c r="BV265" s="451">
        <v>106998</v>
      </c>
      <c r="BW265" s="451">
        <v>24075</v>
      </c>
      <c r="BX265" s="451">
        <v>2675</v>
      </c>
      <c r="BY265" s="451">
        <v>267495</v>
      </c>
      <c r="BZ265" s="451">
        <v>133747</v>
      </c>
      <c r="CA265" s="451">
        <v>106998</v>
      </c>
      <c r="CB265" s="451">
        <v>24075</v>
      </c>
      <c r="CC265" s="451">
        <v>2675</v>
      </c>
      <c r="CD265" s="451">
        <v>267495</v>
      </c>
      <c r="CE265" s="104"/>
      <c r="CF265" s="104"/>
      <c r="CG265" s="104"/>
    </row>
    <row r="266" spans="1:85" ht="12.75" x14ac:dyDescent="0.2">
      <c r="A266" s="446">
        <v>259</v>
      </c>
      <c r="B266" s="447" t="s">
        <v>401</v>
      </c>
      <c r="C266" s="448" t="s">
        <v>1093</v>
      </c>
      <c r="D266" s="449" t="s">
        <v>1097</v>
      </c>
      <c r="E266" s="450" t="s">
        <v>400</v>
      </c>
      <c r="F266" s="451">
        <v>22046608</v>
      </c>
      <c r="G266" s="451">
        <v>17637286</v>
      </c>
      <c r="H266" s="451">
        <v>4409322</v>
      </c>
      <c r="I266" s="451">
        <v>0</v>
      </c>
      <c r="J266" s="451">
        <v>44093216</v>
      </c>
      <c r="K266" s="451">
        <v>0</v>
      </c>
      <c r="L266" s="451">
        <v>0</v>
      </c>
      <c r="M266" s="451">
        <v>22046608</v>
      </c>
      <c r="N266" s="451">
        <v>44093216</v>
      </c>
      <c r="O266" s="451">
        <v>113077</v>
      </c>
      <c r="P266" s="451">
        <v>113077</v>
      </c>
      <c r="Q266" s="451">
        <v>0</v>
      </c>
      <c r="R266" s="451">
        <v>0</v>
      </c>
      <c r="S266" s="451">
        <v>0</v>
      </c>
      <c r="T266" s="451">
        <v>0</v>
      </c>
      <c r="U266" s="451">
        <v>0</v>
      </c>
      <c r="V266" s="451">
        <v>0</v>
      </c>
      <c r="W266" s="451">
        <v>0</v>
      </c>
      <c r="X266" s="451">
        <v>0</v>
      </c>
      <c r="Y266" s="451">
        <v>0</v>
      </c>
      <c r="Z266" s="451">
        <v>0</v>
      </c>
      <c r="AA266" s="451">
        <v>0</v>
      </c>
      <c r="AB266" s="451">
        <v>1956520</v>
      </c>
      <c r="AC266" s="451">
        <v>1565216</v>
      </c>
      <c r="AD266" s="451">
        <v>391304</v>
      </c>
      <c r="AE266" s="451">
        <v>0</v>
      </c>
      <c r="AF266" s="451">
        <v>3913040</v>
      </c>
      <c r="AG266" s="451">
        <v>-621902.4</v>
      </c>
      <c r="AH266" s="451">
        <v>-497522</v>
      </c>
      <c r="AI266" s="451">
        <v>-124381</v>
      </c>
      <c r="AJ266" s="451">
        <v>0</v>
      </c>
      <c r="AK266" s="451">
        <v>-1243805.3999999999</v>
      </c>
      <c r="AL266" s="451">
        <v>862241</v>
      </c>
      <c r="AM266" s="451">
        <v>689792</v>
      </c>
      <c r="AN266" s="451">
        <v>172448</v>
      </c>
      <c r="AO266" s="451">
        <v>0</v>
      </c>
      <c r="AP266" s="451">
        <v>1724481</v>
      </c>
      <c r="AQ266" s="451">
        <v>444738</v>
      </c>
      <c r="AR266" s="451">
        <v>355790</v>
      </c>
      <c r="AS266" s="451">
        <v>88948</v>
      </c>
      <c r="AT266" s="451">
        <v>0</v>
      </c>
      <c r="AU266" s="451">
        <v>889476</v>
      </c>
      <c r="AV266" s="451">
        <v>1306979</v>
      </c>
      <c r="AW266" s="451">
        <v>1045582</v>
      </c>
      <c r="AX266" s="451">
        <v>261396</v>
      </c>
      <c r="AY266" s="451">
        <v>0</v>
      </c>
      <c r="AZ266" s="451">
        <v>2613957</v>
      </c>
      <c r="BA266" s="451">
        <v>0</v>
      </c>
      <c r="BB266" s="451">
        <v>0</v>
      </c>
      <c r="BC266" s="451">
        <v>0</v>
      </c>
      <c r="BD266" s="451">
        <v>0</v>
      </c>
      <c r="BE266" s="451">
        <v>0</v>
      </c>
      <c r="BF266" s="451">
        <v>403096</v>
      </c>
      <c r="BG266" s="451">
        <v>322476</v>
      </c>
      <c r="BH266" s="451">
        <v>80619</v>
      </c>
      <c r="BI266" s="451">
        <v>0</v>
      </c>
      <c r="BJ266" s="451">
        <v>806191</v>
      </c>
      <c r="BK266" s="451">
        <v>403096</v>
      </c>
      <c r="BL266" s="451">
        <v>322476</v>
      </c>
      <c r="BM266" s="451">
        <v>80619</v>
      </c>
      <c r="BN266" s="451">
        <v>0</v>
      </c>
      <c r="BO266" s="451">
        <v>806191</v>
      </c>
      <c r="BP266" s="451">
        <v>0</v>
      </c>
      <c r="BQ266" s="451">
        <v>0</v>
      </c>
      <c r="BR266" s="451">
        <v>0</v>
      </c>
      <c r="BS266" s="451">
        <v>0</v>
      </c>
      <c r="BT266" s="451">
        <v>0</v>
      </c>
      <c r="BU266" s="451">
        <v>1384730</v>
      </c>
      <c r="BV266" s="451">
        <v>1107784</v>
      </c>
      <c r="BW266" s="451">
        <v>276946</v>
      </c>
      <c r="BX266" s="451">
        <v>0</v>
      </c>
      <c r="BY266" s="451">
        <v>2769460</v>
      </c>
      <c r="BZ266" s="451">
        <v>1384730</v>
      </c>
      <c r="CA266" s="451">
        <v>1107784</v>
      </c>
      <c r="CB266" s="451">
        <v>276946</v>
      </c>
      <c r="CC266" s="451">
        <v>0</v>
      </c>
      <c r="CD266" s="451">
        <v>2769460</v>
      </c>
      <c r="CE266" s="104"/>
      <c r="CF266" s="104"/>
      <c r="CG266" s="104"/>
    </row>
    <row r="267" spans="1:85" ht="12.75" x14ac:dyDescent="0.2">
      <c r="A267" s="446">
        <v>260</v>
      </c>
      <c r="B267" s="447" t="s">
        <v>403</v>
      </c>
      <c r="C267" s="448" t="s">
        <v>1100</v>
      </c>
      <c r="D267" s="449" t="s">
        <v>1095</v>
      </c>
      <c r="E267" s="450" t="s">
        <v>402</v>
      </c>
      <c r="F267" s="451">
        <v>42018222</v>
      </c>
      <c r="G267" s="451">
        <v>41177858</v>
      </c>
      <c r="H267" s="451">
        <v>0</v>
      </c>
      <c r="I267" s="451">
        <v>840364</v>
      </c>
      <c r="J267" s="451">
        <v>84036444</v>
      </c>
      <c r="K267" s="451">
        <v>0</v>
      </c>
      <c r="L267" s="451">
        <v>0</v>
      </c>
      <c r="M267" s="451">
        <v>42018222</v>
      </c>
      <c r="N267" s="451">
        <v>84036444</v>
      </c>
      <c r="O267" s="451">
        <v>429417</v>
      </c>
      <c r="P267" s="451">
        <v>429417</v>
      </c>
      <c r="Q267" s="451">
        <v>0</v>
      </c>
      <c r="R267" s="451">
        <v>0</v>
      </c>
      <c r="S267" s="451">
        <v>0</v>
      </c>
      <c r="T267" s="451">
        <v>0</v>
      </c>
      <c r="U267" s="451">
        <v>0</v>
      </c>
      <c r="V267" s="451">
        <v>0</v>
      </c>
      <c r="W267" s="451">
        <v>0</v>
      </c>
      <c r="X267" s="451">
        <v>0</v>
      </c>
      <c r="Y267" s="451">
        <v>0</v>
      </c>
      <c r="Z267" s="451">
        <v>0</v>
      </c>
      <c r="AA267" s="451">
        <v>0</v>
      </c>
      <c r="AB267" s="451">
        <v>6065219</v>
      </c>
      <c r="AC267" s="451">
        <v>5943915</v>
      </c>
      <c r="AD267" s="451">
        <v>0</v>
      </c>
      <c r="AE267" s="451">
        <v>121304</v>
      </c>
      <c r="AF267" s="451">
        <v>12130438</v>
      </c>
      <c r="AG267" s="451">
        <v>-694694</v>
      </c>
      <c r="AH267" s="451">
        <v>-680801</v>
      </c>
      <c r="AI267" s="451">
        <v>0</v>
      </c>
      <c r="AJ267" s="451">
        <v>-13894</v>
      </c>
      <c r="AK267" s="451">
        <v>-1389389</v>
      </c>
      <c r="AL267" s="451">
        <v>1846880</v>
      </c>
      <c r="AM267" s="451">
        <v>1809943</v>
      </c>
      <c r="AN267" s="451">
        <v>0</v>
      </c>
      <c r="AO267" s="451">
        <v>36938</v>
      </c>
      <c r="AP267" s="451">
        <v>3693761</v>
      </c>
      <c r="AQ267" s="451">
        <v>-158933</v>
      </c>
      <c r="AR267" s="451">
        <v>-155755</v>
      </c>
      <c r="AS267" s="451">
        <v>0</v>
      </c>
      <c r="AT267" s="451">
        <v>-3179</v>
      </c>
      <c r="AU267" s="451">
        <v>-317867</v>
      </c>
      <c r="AV267" s="451">
        <v>1687947</v>
      </c>
      <c r="AW267" s="451">
        <v>1654188</v>
      </c>
      <c r="AX267" s="451">
        <v>0</v>
      </c>
      <c r="AY267" s="451">
        <v>33759</v>
      </c>
      <c r="AZ267" s="451">
        <v>3375894</v>
      </c>
      <c r="BA267" s="451">
        <v>0</v>
      </c>
      <c r="BB267" s="451">
        <v>0</v>
      </c>
      <c r="BC267" s="451">
        <v>0</v>
      </c>
      <c r="BD267" s="451">
        <v>0</v>
      </c>
      <c r="BE267" s="451">
        <v>0</v>
      </c>
      <c r="BF267" s="451">
        <v>505793</v>
      </c>
      <c r="BG267" s="451">
        <v>495677</v>
      </c>
      <c r="BH267" s="451">
        <v>0</v>
      </c>
      <c r="BI267" s="451">
        <v>10116</v>
      </c>
      <c r="BJ267" s="451">
        <v>1011586</v>
      </c>
      <c r="BK267" s="451">
        <v>505793</v>
      </c>
      <c r="BL267" s="451">
        <v>495677</v>
      </c>
      <c r="BM267" s="451">
        <v>0</v>
      </c>
      <c r="BN267" s="451">
        <v>10116</v>
      </c>
      <c r="BO267" s="451">
        <v>1011586</v>
      </c>
      <c r="BP267" s="451">
        <v>0</v>
      </c>
      <c r="BQ267" s="451">
        <v>0</v>
      </c>
      <c r="BR267" s="451">
        <v>0</v>
      </c>
      <c r="BS267" s="451">
        <v>0</v>
      </c>
      <c r="BT267" s="451">
        <v>0</v>
      </c>
      <c r="BU267" s="451">
        <v>1464659</v>
      </c>
      <c r="BV267" s="451">
        <v>1435365</v>
      </c>
      <c r="BW267" s="451">
        <v>0</v>
      </c>
      <c r="BX267" s="451">
        <v>29293</v>
      </c>
      <c r="BY267" s="451">
        <v>2929317</v>
      </c>
      <c r="BZ267" s="451">
        <v>1464659</v>
      </c>
      <c r="CA267" s="451">
        <v>1435365</v>
      </c>
      <c r="CB267" s="451">
        <v>0</v>
      </c>
      <c r="CC267" s="451">
        <v>29293</v>
      </c>
      <c r="CD267" s="451">
        <v>2929317</v>
      </c>
      <c r="CE267" s="104"/>
      <c r="CF267" s="104"/>
      <c r="CG267" s="104"/>
    </row>
    <row r="268" spans="1:85" ht="12.75" x14ac:dyDescent="0.2">
      <c r="A268" s="446">
        <v>261</v>
      </c>
      <c r="B268" s="447" t="s">
        <v>405</v>
      </c>
      <c r="C268" s="448" t="s">
        <v>794</v>
      </c>
      <c r="D268" s="449" t="s">
        <v>1105</v>
      </c>
      <c r="E268" s="450" t="s">
        <v>747</v>
      </c>
      <c r="F268" s="451">
        <v>38357352</v>
      </c>
      <c r="G268" s="451">
        <v>37590204</v>
      </c>
      <c r="H268" s="451">
        <v>0</v>
      </c>
      <c r="I268" s="451">
        <v>767147</v>
      </c>
      <c r="J268" s="451">
        <v>76714703</v>
      </c>
      <c r="K268" s="451">
        <v>34962</v>
      </c>
      <c r="L268" s="451">
        <v>34962</v>
      </c>
      <c r="M268" s="451">
        <v>38322390</v>
      </c>
      <c r="N268" s="451">
        <v>76679741</v>
      </c>
      <c r="O268" s="451">
        <v>236341</v>
      </c>
      <c r="P268" s="451">
        <v>236341</v>
      </c>
      <c r="Q268" s="451">
        <v>0</v>
      </c>
      <c r="R268" s="451">
        <v>0</v>
      </c>
      <c r="S268" s="451">
        <v>0</v>
      </c>
      <c r="T268" s="451">
        <v>0</v>
      </c>
      <c r="U268" s="451">
        <v>0</v>
      </c>
      <c r="V268" s="451">
        <v>0</v>
      </c>
      <c r="W268" s="451">
        <v>0</v>
      </c>
      <c r="X268" s="451">
        <v>34263</v>
      </c>
      <c r="Y268" s="451">
        <v>0</v>
      </c>
      <c r="Z268" s="451">
        <v>699</v>
      </c>
      <c r="AA268" s="451">
        <v>34962</v>
      </c>
      <c r="AB268" s="451">
        <v>605584</v>
      </c>
      <c r="AC268" s="451">
        <v>593472</v>
      </c>
      <c r="AD268" s="451">
        <v>0</v>
      </c>
      <c r="AE268" s="451">
        <v>12112</v>
      </c>
      <c r="AF268" s="451">
        <v>1211168</v>
      </c>
      <c r="AG268" s="451">
        <v>735456</v>
      </c>
      <c r="AH268" s="451">
        <v>720746</v>
      </c>
      <c r="AI268" s="451">
        <v>0</v>
      </c>
      <c r="AJ268" s="451">
        <v>14709</v>
      </c>
      <c r="AK268" s="451">
        <v>1470911</v>
      </c>
      <c r="AL268" s="451">
        <v>462500</v>
      </c>
      <c r="AM268" s="451">
        <v>453250</v>
      </c>
      <c r="AN268" s="451">
        <v>0</v>
      </c>
      <c r="AO268" s="451">
        <v>9250</v>
      </c>
      <c r="AP268" s="451">
        <v>925000</v>
      </c>
      <c r="AQ268" s="451">
        <v>41259</v>
      </c>
      <c r="AR268" s="451">
        <v>40434</v>
      </c>
      <c r="AS268" s="451">
        <v>0</v>
      </c>
      <c r="AT268" s="451">
        <v>825</v>
      </c>
      <c r="AU268" s="451">
        <v>82518</v>
      </c>
      <c r="AV268" s="451">
        <v>503759</v>
      </c>
      <c r="AW268" s="451">
        <v>493684</v>
      </c>
      <c r="AX268" s="451">
        <v>0</v>
      </c>
      <c r="AY268" s="451">
        <v>10075</v>
      </c>
      <c r="AZ268" s="451">
        <v>1007518</v>
      </c>
      <c r="BA268" s="451">
        <v>0</v>
      </c>
      <c r="BB268" s="451">
        <v>0</v>
      </c>
      <c r="BC268" s="451">
        <v>0</v>
      </c>
      <c r="BD268" s="451">
        <v>0</v>
      </c>
      <c r="BE268" s="451">
        <v>0</v>
      </c>
      <c r="BF268" s="451">
        <v>603822</v>
      </c>
      <c r="BG268" s="451">
        <v>591746</v>
      </c>
      <c r="BH268" s="451">
        <v>0</v>
      </c>
      <c r="BI268" s="451">
        <v>12076</v>
      </c>
      <c r="BJ268" s="451">
        <v>1207644</v>
      </c>
      <c r="BK268" s="451">
        <v>603822</v>
      </c>
      <c r="BL268" s="451">
        <v>591746</v>
      </c>
      <c r="BM268" s="451">
        <v>0</v>
      </c>
      <c r="BN268" s="451">
        <v>12076</v>
      </c>
      <c r="BO268" s="451">
        <v>1207644</v>
      </c>
      <c r="BP268" s="451">
        <v>0</v>
      </c>
      <c r="BQ268" s="451">
        <v>0</v>
      </c>
      <c r="BR268" s="451">
        <v>0</v>
      </c>
      <c r="BS268" s="451">
        <v>0</v>
      </c>
      <c r="BT268" s="451">
        <v>0</v>
      </c>
      <c r="BU268" s="451">
        <v>917652</v>
      </c>
      <c r="BV268" s="451">
        <v>899298</v>
      </c>
      <c r="BW268" s="451">
        <v>0</v>
      </c>
      <c r="BX268" s="451">
        <v>18353</v>
      </c>
      <c r="BY268" s="451">
        <v>1835303</v>
      </c>
      <c r="BZ268" s="451">
        <v>917652</v>
      </c>
      <c r="CA268" s="451">
        <v>899298</v>
      </c>
      <c r="CB268" s="451">
        <v>0</v>
      </c>
      <c r="CC268" s="451">
        <v>18353</v>
      </c>
      <c r="CD268" s="451">
        <v>1835303</v>
      </c>
      <c r="CE268" s="104"/>
      <c r="CF268" s="104"/>
      <c r="CG268" s="104"/>
    </row>
    <row r="269" spans="1:85" ht="12.75" x14ac:dyDescent="0.2">
      <c r="A269" s="446">
        <v>262</v>
      </c>
      <c r="B269" s="447" t="s">
        <v>407</v>
      </c>
      <c r="C269" s="448" t="s">
        <v>794</v>
      </c>
      <c r="D269" s="449" t="s">
        <v>1103</v>
      </c>
      <c r="E269" s="450" t="s">
        <v>748</v>
      </c>
      <c r="F269" s="451">
        <v>37437334</v>
      </c>
      <c r="G269" s="451">
        <v>36688588</v>
      </c>
      <c r="H269" s="451">
        <v>0</v>
      </c>
      <c r="I269" s="451">
        <v>748747</v>
      </c>
      <c r="J269" s="451">
        <v>74874669</v>
      </c>
      <c r="K269" s="451">
        <v>0</v>
      </c>
      <c r="L269" s="451">
        <v>0</v>
      </c>
      <c r="M269" s="451">
        <v>37437334</v>
      </c>
      <c r="N269" s="451">
        <v>74874669</v>
      </c>
      <c r="O269" s="451">
        <v>366370</v>
      </c>
      <c r="P269" s="451">
        <v>366370</v>
      </c>
      <c r="Q269" s="451">
        <v>0</v>
      </c>
      <c r="R269" s="451">
        <v>0</v>
      </c>
      <c r="S269" s="451">
        <v>0</v>
      </c>
      <c r="T269" s="451">
        <v>0</v>
      </c>
      <c r="U269" s="451">
        <v>0</v>
      </c>
      <c r="V269" s="451">
        <v>0</v>
      </c>
      <c r="W269" s="451">
        <v>0</v>
      </c>
      <c r="X269" s="451">
        <v>0</v>
      </c>
      <c r="Y269" s="451">
        <v>0</v>
      </c>
      <c r="Z269" s="451">
        <v>0</v>
      </c>
      <c r="AA269" s="451">
        <v>0</v>
      </c>
      <c r="AB269" s="451">
        <v>2335870</v>
      </c>
      <c r="AC269" s="451">
        <v>2289152</v>
      </c>
      <c r="AD269" s="451">
        <v>0</v>
      </c>
      <c r="AE269" s="451">
        <v>46717</v>
      </c>
      <c r="AF269" s="451">
        <v>4671739</v>
      </c>
      <c r="AG269" s="451">
        <v>2487769</v>
      </c>
      <c r="AH269" s="451">
        <v>2438014</v>
      </c>
      <c r="AI269" s="451">
        <v>0</v>
      </c>
      <c r="AJ269" s="451">
        <v>49755</v>
      </c>
      <c r="AK269" s="451">
        <v>4975538</v>
      </c>
      <c r="AL269" s="451">
        <v>0</v>
      </c>
      <c r="AM269" s="451">
        <v>0</v>
      </c>
      <c r="AN269" s="451">
        <v>0</v>
      </c>
      <c r="AO269" s="451">
        <v>0</v>
      </c>
      <c r="AP269" s="451">
        <v>0</v>
      </c>
      <c r="AQ269" s="451">
        <v>-310500</v>
      </c>
      <c r="AR269" s="451">
        <v>-304290</v>
      </c>
      <c r="AS269" s="451">
        <v>0</v>
      </c>
      <c r="AT269" s="451">
        <v>-6210</v>
      </c>
      <c r="AU269" s="451">
        <v>-621000</v>
      </c>
      <c r="AV269" s="451">
        <v>-310500</v>
      </c>
      <c r="AW269" s="451">
        <v>-304290</v>
      </c>
      <c r="AX269" s="451">
        <v>0</v>
      </c>
      <c r="AY269" s="451">
        <v>-6210</v>
      </c>
      <c r="AZ269" s="451">
        <v>-621000</v>
      </c>
      <c r="BA269" s="451">
        <v>0</v>
      </c>
      <c r="BB269" s="451">
        <v>0</v>
      </c>
      <c r="BC269" s="451">
        <v>0</v>
      </c>
      <c r="BD269" s="451">
        <v>0</v>
      </c>
      <c r="BE269" s="451">
        <v>0</v>
      </c>
      <c r="BF269" s="451">
        <v>1150000</v>
      </c>
      <c r="BG269" s="451">
        <v>1127000</v>
      </c>
      <c r="BH269" s="451">
        <v>0</v>
      </c>
      <c r="BI269" s="451">
        <v>23000</v>
      </c>
      <c r="BJ269" s="451">
        <v>2300000</v>
      </c>
      <c r="BK269" s="451">
        <v>1150000</v>
      </c>
      <c r="BL269" s="451">
        <v>1127000</v>
      </c>
      <c r="BM269" s="451">
        <v>0</v>
      </c>
      <c r="BN269" s="451">
        <v>23000</v>
      </c>
      <c r="BO269" s="451">
        <v>2300000</v>
      </c>
      <c r="BP269" s="451">
        <v>0</v>
      </c>
      <c r="BQ269" s="451">
        <v>0</v>
      </c>
      <c r="BR269" s="451">
        <v>0</v>
      </c>
      <c r="BS269" s="451">
        <v>0</v>
      </c>
      <c r="BT269" s="451">
        <v>0</v>
      </c>
      <c r="BU269" s="451">
        <v>3000000</v>
      </c>
      <c r="BV269" s="451">
        <v>2940000</v>
      </c>
      <c r="BW269" s="451">
        <v>0</v>
      </c>
      <c r="BX269" s="451">
        <v>60000</v>
      </c>
      <c r="BY269" s="451">
        <v>6000000</v>
      </c>
      <c r="BZ269" s="451">
        <v>3000000</v>
      </c>
      <c r="CA269" s="451">
        <v>2940000</v>
      </c>
      <c r="CB269" s="451">
        <v>0</v>
      </c>
      <c r="CC269" s="451">
        <v>60000</v>
      </c>
      <c r="CD269" s="451">
        <v>6000000</v>
      </c>
      <c r="CE269" s="104"/>
      <c r="CF269" s="104"/>
      <c r="CG269" s="104"/>
    </row>
    <row r="270" spans="1:85" ht="12.75" x14ac:dyDescent="0.2">
      <c r="A270" s="446">
        <v>263</v>
      </c>
      <c r="B270" s="447" t="s">
        <v>409</v>
      </c>
      <c r="C270" s="448" t="s">
        <v>1093</v>
      </c>
      <c r="D270" s="449" t="s">
        <v>1103</v>
      </c>
      <c r="E270" s="450" t="s">
        <v>408</v>
      </c>
      <c r="F270" s="451">
        <v>24314692</v>
      </c>
      <c r="G270" s="451">
        <v>19451753</v>
      </c>
      <c r="H270" s="451">
        <v>4862938</v>
      </c>
      <c r="I270" s="451">
        <v>0</v>
      </c>
      <c r="J270" s="451">
        <v>48629383</v>
      </c>
      <c r="K270" s="451">
        <v>0</v>
      </c>
      <c r="L270" s="451">
        <v>0</v>
      </c>
      <c r="M270" s="451">
        <v>24314692</v>
      </c>
      <c r="N270" s="451">
        <v>48629383</v>
      </c>
      <c r="O270" s="451">
        <v>217406</v>
      </c>
      <c r="P270" s="451">
        <v>217406</v>
      </c>
      <c r="Q270" s="451">
        <v>0</v>
      </c>
      <c r="R270" s="451">
        <v>0</v>
      </c>
      <c r="S270" s="451">
        <v>0</v>
      </c>
      <c r="T270" s="451">
        <v>0</v>
      </c>
      <c r="U270" s="451">
        <v>0</v>
      </c>
      <c r="V270" s="451">
        <v>0</v>
      </c>
      <c r="W270" s="451">
        <v>0</v>
      </c>
      <c r="X270" s="451">
        <v>0</v>
      </c>
      <c r="Y270" s="451">
        <v>0</v>
      </c>
      <c r="Z270" s="451">
        <v>0</v>
      </c>
      <c r="AA270" s="451">
        <v>0</v>
      </c>
      <c r="AB270" s="451">
        <v>319443</v>
      </c>
      <c r="AC270" s="451">
        <v>255555</v>
      </c>
      <c r="AD270" s="451">
        <v>63889</v>
      </c>
      <c r="AE270" s="451">
        <v>0</v>
      </c>
      <c r="AF270" s="451">
        <v>638887</v>
      </c>
      <c r="AG270" s="451">
        <v>373367</v>
      </c>
      <c r="AH270" s="451">
        <v>298694</v>
      </c>
      <c r="AI270" s="451">
        <v>74674</v>
      </c>
      <c r="AJ270" s="451">
        <v>0</v>
      </c>
      <c r="AK270" s="451">
        <v>746735</v>
      </c>
      <c r="AL270" s="451">
        <v>198597</v>
      </c>
      <c r="AM270" s="451">
        <v>158877</v>
      </c>
      <c r="AN270" s="451">
        <v>39719</v>
      </c>
      <c r="AO270" s="451">
        <v>0</v>
      </c>
      <c r="AP270" s="451">
        <v>397193</v>
      </c>
      <c r="AQ270" s="451">
        <v>9426</v>
      </c>
      <c r="AR270" s="451">
        <v>7541</v>
      </c>
      <c r="AS270" s="451">
        <v>1885</v>
      </c>
      <c r="AT270" s="451">
        <v>0</v>
      </c>
      <c r="AU270" s="451">
        <v>18852</v>
      </c>
      <c r="AV270" s="451">
        <v>208023</v>
      </c>
      <c r="AW270" s="451">
        <v>166418</v>
      </c>
      <c r="AX270" s="451">
        <v>41604</v>
      </c>
      <c r="AY270" s="451">
        <v>0</v>
      </c>
      <c r="AZ270" s="451">
        <v>416045</v>
      </c>
      <c r="BA270" s="451">
        <v>0</v>
      </c>
      <c r="BB270" s="451">
        <v>0</v>
      </c>
      <c r="BC270" s="451">
        <v>0</v>
      </c>
      <c r="BD270" s="451">
        <v>0</v>
      </c>
      <c r="BE270" s="451">
        <v>0</v>
      </c>
      <c r="BF270" s="451">
        <v>284534</v>
      </c>
      <c r="BG270" s="451">
        <v>227628</v>
      </c>
      <c r="BH270" s="451">
        <v>56907</v>
      </c>
      <c r="BI270" s="451">
        <v>0</v>
      </c>
      <c r="BJ270" s="451">
        <v>569069</v>
      </c>
      <c r="BK270" s="451">
        <v>284534</v>
      </c>
      <c r="BL270" s="451">
        <v>227628</v>
      </c>
      <c r="BM270" s="451">
        <v>56907</v>
      </c>
      <c r="BN270" s="451">
        <v>0</v>
      </c>
      <c r="BO270" s="451">
        <v>569069</v>
      </c>
      <c r="BP270" s="451">
        <v>0</v>
      </c>
      <c r="BQ270" s="451">
        <v>0</v>
      </c>
      <c r="BR270" s="451">
        <v>0</v>
      </c>
      <c r="BS270" s="451">
        <v>0</v>
      </c>
      <c r="BT270" s="451">
        <v>0</v>
      </c>
      <c r="BU270" s="451">
        <v>1026999</v>
      </c>
      <c r="BV270" s="451">
        <v>821599</v>
      </c>
      <c r="BW270" s="451">
        <v>205400</v>
      </c>
      <c r="BX270" s="451">
        <v>0</v>
      </c>
      <c r="BY270" s="451">
        <v>2053998</v>
      </c>
      <c r="BZ270" s="451">
        <v>1026999</v>
      </c>
      <c r="CA270" s="451">
        <v>821599</v>
      </c>
      <c r="CB270" s="451">
        <v>205400</v>
      </c>
      <c r="CC270" s="451">
        <v>0</v>
      </c>
      <c r="CD270" s="451">
        <v>2053998</v>
      </c>
      <c r="CE270" s="104"/>
      <c r="CF270" s="104"/>
      <c r="CG270" s="104"/>
    </row>
    <row r="271" spans="1:85" ht="12.75" x14ac:dyDescent="0.2">
      <c r="A271" s="446">
        <v>264</v>
      </c>
      <c r="B271" s="447" t="s">
        <v>411</v>
      </c>
      <c r="C271" s="448" t="s">
        <v>1093</v>
      </c>
      <c r="D271" s="449" t="s">
        <v>1102</v>
      </c>
      <c r="E271" s="450" t="s">
        <v>410</v>
      </c>
      <c r="F271" s="451">
        <v>11562668</v>
      </c>
      <c r="G271" s="451">
        <v>9250134</v>
      </c>
      <c r="H271" s="451">
        <v>2312534</v>
      </c>
      <c r="I271" s="451">
        <v>0</v>
      </c>
      <c r="J271" s="451">
        <v>23125336</v>
      </c>
      <c r="K271" s="451">
        <v>0</v>
      </c>
      <c r="L271" s="451">
        <v>0</v>
      </c>
      <c r="M271" s="451">
        <v>11562668</v>
      </c>
      <c r="N271" s="451">
        <v>23125336</v>
      </c>
      <c r="O271" s="451">
        <v>157553</v>
      </c>
      <c r="P271" s="451">
        <v>157553</v>
      </c>
      <c r="Q271" s="451">
        <v>0</v>
      </c>
      <c r="R271" s="451">
        <v>0</v>
      </c>
      <c r="S271" s="451">
        <v>0</v>
      </c>
      <c r="T271" s="451">
        <v>0</v>
      </c>
      <c r="U271" s="451">
        <v>550</v>
      </c>
      <c r="V271" s="451">
        <v>0</v>
      </c>
      <c r="W271" s="451">
        <v>550</v>
      </c>
      <c r="X271" s="451">
        <v>0</v>
      </c>
      <c r="Y271" s="451">
        <v>0</v>
      </c>
      <c r="Z271" s="451">
        <v>0</v>
      </c>
      <c r="AA271" s="451">
        <v>0</v>
      </c>
      <c r="AB271" s="451">
        <v>443262.48</v>
      </c>
      <c r="AC271" s="451">
        <v>354610</v>
      </c>
      <c r="AD271" s="451">
        <v>88652</v>
      </c>
      <c r="AE271" s="451">
        <v>0</v>
      </c>
      <c r="AF271" s="451">
        <v>886524.48</v>
      </c>
      <c r="AG271" s="451">
        <v>142271.66</v>
      </c>
      <c r="AH271" s="451">
        <v>113817</v>
      </c>
      <c r="AI271" s="451">
        <v>28454</v>
      </c>
      <c r="AJ271" s="451">
        <v>0</v>
      </c>
      <c r="AK271" s="451">
        <v>284542.65999999997</v>
      </c>
      <c r="AL271" s="451">
        <v>132522.45000000001</v>
      </c>
      <c r="AM271" s="451">
        <v>106019</v>
      </c>
      <c r="AN271" s="451">
        <v>26505</v>
      </c>
      <c r="AO271" s="451">
        <v>0</v>
      </c>
      <c r="AP271" s="451">
        <v>265046.45</v>
      </c>
      <c r="AQ271" s="451">
        <v>29627.8</v>
      </c>
      <c r="AR271" s="451">
        <v>23703</v>
      </c>
      <c r="AS271" s="451">
        <v>5926</v>
      </c>
      <c r="AT271" s="451">
        <v>0</v>
      </c>
      <c r="AU271" s="451">
        <v>59256.800000000003</v>
      </c>
      <c r="AV271" s="451">
        <v>162150.25</v>
      </c>
      <c r="AW271" s="451">
        <v>129722</v>
      </c>
      <c r="AX271" s="451">
        <v>32431</v>
      </c>
      <c r="AY271" s="451">
        <v>0</v>
      </c>
      <c r="AZ271" s="451">
        <v>324303.25</v>
      </c>
      <c r="BA271" s="451">
        <v>0</v>
      </c>
      <c r="BB271" s="451">
        <v>0</v>
      </c>
      <c r="BC271" s="451">
        <v>0</v>
      </c>
      <c r="BD271" s="451">
        <v>0</v>
      </c>
      <c r="BE271" s="451">
        <v>0</v>
      </c>
      <c r="BF271" s="451">
        <v>153705</v>
      </c>
      <c r="BG271" s="451">
        <v>122964</v>
      </c>
      <c r="BH271" s="451">
        <v>30741</v>
      </c>
      <c r="BI271" s="451">
        <v>0</v>
      </c>
      <c r="BJ271" s="451">
        <v>307410</v>
      </c>
      <c r="BK271" s="451">
        <v>153705</v>
      </c>
      <c r="BL271" s="451">
        <v>122964</v>
      </c>
      <c r="BM271" s="451">
        <v>30741</v>
      </c>
      <c r="BN271" s="451">
        <v>0</v>
      </c>
      <c r="BO271" s="451">
        <v>307410</v>
      </c>
      <c r="BP271" s="451">
        <v>0</v>
      </c>
      <c r="BQ271" s="451">
        <v>0</v>
      </c>
      <c r="BR271" s="451">
        <v>0</v>
      </c>
      <c r="BS271" s="451">
        <v>0</v>
      </c>
      <c r="BT271" s="451">
        <v>0</v>
      </c>
      <c r="BU271" s="451">
        <v>237666</v>
      </c>
      <c r="BV271" s="451">
        <v>190133</v>
      </c>
      <c r="BW271" s="451">
        <v>47533</v>
      </c>
      <c r="BX271" s="451">
        <v>0</v>
      </c>
      <c r="BY271" s="451">
        <v>475332</v>
      </c>
      <c r="BZ271" s="451">
        <v>237666</v>
      </c>
      <c r="CA271" s="451">
        <v>190133</v>
      </c>
      <c r="CB271" s="451">
        <v>47533</v>
      </c>
      <c r="CC271" s="451">
        <v>0</v>
      </c>
      <c r="CD271" s="451">
        <v>475332</v>
      </c>
      <c r="CE271" s="104"/>
      <c r="CF271" s="104"/>
      <c r="CG271" s="104"/>
    </row>
    <row r="272" spans="1:85" ht="12.75" x14ac:dyDescent="0.2">
      <c r="A272" s="446">
        <v>265</v>
      </c>
      <c r="B272" s="447" t="s">
        <v>413</v>
      </c>
      <c r="C272" s="448" t="s">
        <v>1093</v>
      </c>
      <c r="D272" s="449" t="s">
        <v>1097</v>
      </c>
      <c r="E272" s="450" t="s">
        <v>412</v>
      </c>
      <c r="F272" s="451">
        <v>24410519</v>
      </c>
      <c r="G272" s="451">
        <v>19528415</v>
      </c>
      <c r="H272" s="451">
        <v>4882104</v>
      </c>
      <c r="I272" s="451">
        <v>0</v>
      </c>
      <c r="J272" s="451">
        <v>48821038</v>
      </c>
      <c r="K272" s="451">
        <v>0</v>
      </c>
      <c r="L272" s="451">
        <v>0</v>
      </c>
      <c r="M272" s="451">
        <v>24410519</v>
      </c>
      <c r="N272" s="451">
        <v>48821038</v>
      </c>
      <c r="O272" s="451">
        <v>277838</v>
      </c>
      <c r="P272" s="451">
        <v>277838</v>
      </c>
      <c r="Q272" s="451">
        <v>0</v>
      </c>
      <c r="R272" s="451">
        <v>0</v>
      </c>
      <c r="S272" s="451">
        <v>0</v>
      </c>
      <c r="T272" s="451">
        <v>0</v>
      </c>
      <c r="U272" s="451">
        <v>0</v>
      </c>
      <c r="V272" s="451">
        <v>0</v>
      </c>
      <c r="W272" s="451">
        <v>0</v>
      </c>
      <c r="X272" s="451">
        <v>0</v>
      </c>
      <c r="Y272" s="451">
        <v>0</v>
      </c>
      <c r="Z272" s="451">
        <v>0</v>
      </c>
      <c r="AA272" s="451">
        <v>0</v>
      </c>
      <c r="AB272" s="451">
        <v>333834</v>
      </c>
      <c r="AC272" s="451">
        <v>267068</v>
      </c>
      <c r="AD272" s="451">
        <v>66767</v>
      </c>
      <c r="AE272" s="451">
        <v>0</v>
      </c>
      <c r="AF272" s="451">
        <v>667669</v>
      </c>
      <c r="AG272" s="451">
        <v>-178882</v>
      </c>
      <c r="AH272" s="451">
        <v>-143106</v>
      </c>
      <c r="AI272" s="451">
        <v>-35777</v>
      </c>
      <c r="AJ272" s="451">
        <v>0</v>
      </c>
      <c r="AK272" s="451">
        <v>-357765</v>
      </c>
      <c r="AL272" s="451">
        <v>152014</v>
      </c>
      <c r="AM272" s="451">
        <v>121612</v>
      </c>
      <c r="AN272" s="451">
        <v>30403</v>
      </c>
      <c r="AO272" s="451">
        <v>0</v>
      </c>
      <c r="AP272" s="451">
        <v>304029</v>
      </c>
      <c r="AQ272" s="451">
        <v>22159</v>
      </c>
      <c r="AR272" s="451">
        <v>17728</v>
      </c>
      <c r="AS272" s="451">
        <v>4432</v>
      </c>
      <c r="AT272" s="451">
        <v>0</v>
      </c>
      <c r="AU272" s="451">
        <v>44319</v>
      </c>
      <c r="AV272" s="451">
        <v>174173</v>
      </c>
      <c r="AW272" s="451">
        <v>139340</v>
      </c>
      <c r="AX272" s="451">
        <v>34835</v>
      </c>
      <c r="AY272" s="451">
        <v>0</v>
      </c>
      <c r="AZ272" s="451">
        <v>348348</v>
      </c>
      <c r="BA272" s="451">
        <v>0</v>
      </c>
      <c r="BB272" s="451">
        <v>0</v>
      </c>
      <c r="BC272" s="451">
        <v>0</v>
      </c>
      <c r="BD272" s="451">
        <v>0</v>
      </c>
      <c r="BE272" s="451">
        <v>0</v>
      </c>
      <c r="BF272" s="451">
        <v>2325742</v>
      </c>
      <c r="BG272" s="451">
        <v>1860593</v>
      </c>
      <c r="BH272" s="451">
        <v>465148</v>
      </c>
      <c r="BI272" s="451">
        <v>0</v>
      </c>
      <c r="BJ272" s="451">
        <v>4651483</v>
      </c>
      <c r="BK272" s="451">
        <v>2325742</v>
      </c>
      <c r="BL272" s="451">
        <v>1860593</v>
      </c>
      <c r="BM272" s="451">
        <v>465148</v>
      </c>
      <c r="BN272" s="451">
        <v>0</v>
      </c>
      <c r="BO272" s="451">
        <v>4651483</v>
      </c>
      <c r="BP272" s="451">
        <v>0</v>
      </c>
      <c r="BQ272" s="451">
        <v>0</v>
      </c>
      <c r="BR272" s="451">
        <v>0</v>
      </c>
      <c r="BS272" s="451">
        <v>0</v>
      </c>
      <c r="BT272" s="451">
        <v>0</v>
      </c>
      <c r="BU272" s="451">
        <v>6804842</v>
      </c>
      <c r="BV272" s="451">
        <v>5443873</v>
      </c>
      <c r="BW272" s="451">
        <v>1360968</v>
      </c>
      <c r="BX272" s="451">
        <v>0</v>
      </c>
      <c r="BY272" s="451">
        <v>13609683</v>
      </c>
      <c r="BZ272" s="451">
        <v>6804842</v>
      </c>
      <c r="CA272" s="451">
        <v>5443873</v>
      </c>
      <c r="CB272" s="451">
        <v>1360968</v>
      </c>
      <c r="CC272" s="451">
        <v>0</v>
      </c>
      <c r="CD272" s="451">
        <v>13609683</v>
      </c>
      <c r="CE272" s="104" t="s">
        <v>1120</v>
      </c>
      <c r="CF272" s="104"/>
      <c r="CG272" s="104"/>
    </row>
    <row r="273" spans="1:85" ht="12.75" x14ac:dyDescent="0.2">
      <c r="A273" s="446">
        <v>266</v>
      </c>
      <c r="B273" s="447" t="s">
        <v>415</v>
      </c>
      <c r="C273" s="448" t="s">
        <v>1100</v>
      </c>
      <c r="D273" s="449" t="s">
        <v>1105</v>
      </c>
      <c r="E273" s="450" t="s">
        <v>414</v>
      </c>
      <c r="F273" s="451">
        <v>40094601</v>
      </c>
      <c r="G273" s="451">
        <v>39292709</v>
      </c>
      <c r="H273" s="451">
        <v>0</v>
      </c>
      <c r="I273" s="451">
        <v>801892</v>
      </c>
      <c r="J273" s="451">
        <v>80189202</v>
      </c>
      <c r="K273" s="451">
        <v>28390</v>
      </c>
      <c r="L273" s="451">
        <v>28390</v>
      </c>
      <c r="M273" s="451">
        <v>40066211</v>
      </c>
      <c r="N273" s="451">
        <v>80160812</v>
      </c>
      <c r="O273" s="451">
        <v>333443</v>
      </c>
      <c r="P273" s="451">
        <v>333443</v>
      </c>
      <c r="Q273" s="451">
        <v>570350</v>
      </c>
      <c r="R273" s="451">
        <v>570350</v>
      </c>
      <c r="S273" s="451">
        <v>0</v>
      </c>
      <c r="T273" s="451">
        <v>0</v>
      </c>
      <c r="U273" s="451">
        <v>0</v>
      </c>
      <c r="V273" s="451">
        <v>0</v>
      </c>
      <c r="W273" s="451">
        <v>0</v>
      </c>
      <c r="X273" s="451">
        <v>28390</v>
      </c>
      <c r="Y273" s="451">
        <v>0</v>
      </c>
      <c r="Z273" s="451">
        <v>0</v>
      </c>
      <c r="AA273" s="451">
        <v>28390</v>
      </c>
      <c r="AB273" s="451">
        <v>4191174</v>
      </c>
      <c r="AC273" s="451">
        <v>4107351</v>
      </c>
      <c r="AD273" s="451">
        <v>0</v>
      </c>
      <c r="AE273" s="451">
        <v>83823</v>
      </c>
      <c r="AF273" s="451">
        <v>8382348</v>
      </c>
      <c r="AG273" s="451">
        <v>292289</v>
      </c>
      <c r="AH273" s="451">
        <v>286444</v>
      </c>
      <c r="AI273" s="451">
        <v>0</v>
      </c>
      <c r="AJ273" s="451">
        <v>5846</v>
      </c>
      <c r="AK273" s="451">
        <v>584579</v>
      </c>
      <c r="AL273" s="451">
        <v>0</v>
      </c>
      <c r="AM273" s="451">
        <v>0</v>
      </c>
      <c r="AN273" s="451">
        <v>0</v>
      </c>
      <c r="AO273" s="451">
        <v>0</v>
      </c>
      <c r="AP273" s="451">
        <v>0</v>
      </c>
      <c r="AQ273" s="451">
        <v>407491</v>
      </c>
      <c r="AR273" s="451">
        <v>399342</v>
      </c>
      <c r="AS273" s="451">
        <v>0</v>
      </c>
      <c r="AT273" s="451">
        <v>8150</v>
      </c>
      <c r="AU273" s="451">
        <v>814983</v>
      </c>
      <c r="AV273" s="451">
        <v>407491</v>
      </c>
      <c r="AW273" s="451">
        <v>399342</v>
      </c>
      <c r="AX273" s="451">
        <v>0</v>
      </c>
      <c r="AY273" s="451">
        <v>8150</v>
      </c>
      <c r="AZ273" s="451">
        <v>814983</v>
      </c>
      <c r="BA273" s="451">
        <v>0</v>
      </c>
      <c r="BB273" s="451">
        <v>0</v>
      </c>
      <c r="BC273" s="451">
        <v>0</v>
      </c>
      <c r="BD273" s="451">
        <v>0</v>
      </c>
      <c r="BE273" s="451">
        <v>0</v>
      </c>
      <c r="BF273" s="451">
        <v>926976</v>
      </c>
      <c r="BG273" s="451">
        <v>908436</v>
      </c>
      <c r="BH273" s="451">
        <v>0</v>
      </c>
      <c r="BI273" s="451">
        <v>18540</v>
      </c>
      <c r="BJ273" s="451">
        <v>1853952</v>
      </c>
      <c r="BK273" s="451">
        <v>926976</v>
      </c>
      <c r="BL273" s="451">
        <v>908436</v>
      </c>
      <c r="BM273" s="451">
        <v>0</v>
      </c>
      <c r="BN273" s="451">
        <v>18540</v>
      </c>
      <c r="BO273" s="451">
        <v>1853952</v>
      </c>
      <c r="BP273" s="451">
        <v>0</v>
      </c>
      <c r="BQ273" s="451">
        <v>0</v>
      </c>
      <c r="BR273" s="451">
        <v>0</v>
      </c>
      <c r="BS273" s="451">
        <v>0</v>
      </c>
      <c r="BT273" s="451">
        <v>0</v>
      </c>
      <c r="BU273" s="451">
        <v>2955680</v>
      </c>
      <c r="BV273" s="451">
        <v>2896567</v>
      </c>
      <c r="BW273" s="451">
        <v>0</v>
      </c>
      <c r="BX273" s="451">
        <v>59114</v>
      </c>
      <c r="BY273" s="451">
        <v>5911361</v>
      </c>
      <c r="BZ273" s="451">
        <v>2955680</v>
      </c>
      <c r="CA273" s="451">
        <v>2896567</v>
      </c>
      <c r="CB273" s="451">
        <v>0</v>
      </c>
      <c r="CC273" s="451">
        <v>59114</v>
      </c>
      <c r="CD273" s="451">
        <v>5911361</v>
      </c>
      <c r="CE273" s="104"/>
      <c r="CF273" s="104"/>
      <c r="CG273" s="104"/>
    </row>
    <row r="274" spans="1:85" ht="12.75" x14ac:dyDescent="0.2">
      <c r="A274" s="446">
        <v>267</v>
      </c>
      <c r="B274" s="447" t="s">
        <v>417</v>
      </c>
      <c r="C274" s="448" t="s">
        <v>1093</v>
      </c>
      <c r="D274" s="449" t="s">
        <v>1094</v>
      </c>
      <c r="E274" s="450" t="s">
        <v>416</v>
      </c>
      <c r="F274" s="451">
        <v>15896472</v>
      </c>
      <c r="G274" s="451">
        <v>12717178</v>
      </c>
      <c r="H274" s="451">
        <v>3179295</v>
      </c>
      <c r="I274" s="451">
        <v>0</v>
      </c>
      <c r="J274" s="451">
        <v>31792945</v>
      </c>
      <c r="K274" s="451">
        <v>0</v>
      </c>
      <c r="L274" s="451">
        <v>0</v>
      </c>
      <c r="M274" s="451">
        <v>15896472</v>
      </c>
      <c r="N274" s="451">
        <v>31792945</v>
      </c>
      <c r="O274" s="451">
        <v>122476</v>
      </c>
      <c r="P274" s="451">
        <v>122476</v>
      </c>
      <c r="Q274" s="451">
        <v>0</v>
      </c>
      <c r="R274" s="451">
        <v>0</v>
      </c>
      <c r="S274" s="451">
        <v>0</v>
      </c>
      <c r="T274" s="451">
        <v>0</v>
      </c>
      <c r="U274" s="451">
        <v>0</v>
      </c>
      <c r="V274" s="451">
        <v>0</v>
      </c>
      <c r="W274" s="451">
        <v>0</v>
      </c>
      <c r="X274" s="451">
        <v>0</v>
      </c>
      <c r="Y274" s="451">
        <v>0</v>
      </c>
      <c r="Z274" s="451">
        <v>0</v>
      </c>
      <c r="AA274" s="451">
        <v>0</v>
      </c>
      <c r="AB274" s="451">
        <v>1123217</v>
      </c>
      <c r="AC274" s="451">
        <v>898574</v>
      </c>
      <c r="AD274" s="451">
        <v>224643</v>
      </c>
      <c r="AE274" s="451">
        <v>0</v>
      </c>
      <c r="AF274" s="451">
        <v>2246434</v>
      </c>
      <c r="AG274" s="451">
        <v>487174</v>
      </c>
      <c r="AH274" s="451">
        <v>389740</v>
      </c>
      <c r="AI274" s="451">
        <v>97435</v>
      </c>
      <c r="AJ274" s="451">
        <v>0</v>
      </c>
      <c r="AK274" s="451">
        <v>974349</v>
      </c>
      <c r="AL274" s="451">
        <v>337000</v>
      </c>
      <c r="AM274" s="451">
        <v>269600</v>
      </c>
      <c r="AN274" s="451">
        <v>67400</v>
      </c>
      <c r="AO274" s="451">
        <v>0</v>
      </c>
      <c r="AP274" s="451">
        <v>674000</v>
      </c>
      <c r="AQ274" s="451">
        <v>151000</v>
      </c>
      <c r="AR274" s="451">
        <v>120800</v>
      </c>
      <c r="AS274" s="451">
        <v>30200</v>
      </c>
      <c r="AT274" s="451">
        <v>0</v>
      </c>
      <c r="AU274" s="451">
        <v>302000</v>
      </c>
      <c r="AV274" s="451">
        <v>488000</v>
      </c>
      <c r="AW274" s="451">
        <v>390400</v>
      </c>
      <c r="AX274" s="451">
        <v>97600</v>
      </c>
      <c r="AY274" s="451">
        <v>0</v>
      </c>
      <c r="AZ274" s="451">
        <v>976000</v>
      </c>
      <c r="BA274" s="451">
        <v>0</v>
      </c>
      <c r="BB274" s="451">
        <v>0</v>
      </c>
      <c r="BC274" s="451">
        <v>0</v>
      </c>
      <c r="BD274" s="451">
        <v>0</v>
      </c>
      <c r="BE274" s="451">
        <v>0</v>
      </c>
      <c r="BF274" s="451">
        <v>180000</v>
      </c>
      <c r="BG274" s="451">
        <v>144000</v>
      </c>
      <c r="BH274" s="451">
        <v>36000</v>
      </c>
      <c r="BI274" s="451">
        <v>0</v>
      </c>
      <c r="BJ274" s="451">
        <v>360000</v>
      </c>
      <c r="BK274" s="451">
        <v>180000</v>
      </c>
      <c r="BL274" s="451">
        <v>144000</v>
      </c>
      <c r="BM274" s="451">
        <v>36000</v>
      </c>
      <c r="BN274" s="451">
        <v>0</v>
      </c>
      <c r="BO274" s="451">
        <v>360000</v>
      </c>
      <c r="BP274" s="451">
        <v>0</v>
      </c>
      <c r="BQ274" s="451">
        <v>0</v>
      </c>
      <c r="BR274" s="451">
        <v>0</v>
      </c>
      <c r="BS274" s="451">
        <v>0</v>
      </c>
      <c r="BT274" s="451">
        <v>0</v>
      </c>
      <c r="BU274" s="451">
        <v>520000</v>
      </c>
      <c r="BV274" s="451">
        <v>416000</v>
      </c>
      <c r="BW274" s="451">
        <v>104000</v>
      </c>
      <c r="BX274" s="451">
        <v>0</v>
      </c>
      <c r="BY274" s="451">
        <v>1040000</v>
      </c>
      <c r="BZ274" s="451">
        <v>520000</v>
      </c>
      <c r="CA274" s="451">
        <v>416000</v>
      </c>
      <c r="CB274" s="451">
        <v>104000</v>
      </c>
      <c r="CC274" s="451">
        <v>0</v>
      </c>
      <c r="CD274" s="451">
        <v>1040000</v>
      </c>
      <c r="CE274" s="104"/>
      <c r="CF274" s="104"/>
      <c r="CG274" s="104"/>
    </row>
    <row r="275" spans="1:85" ht="12.75" x14ac:dyDescent="0.2">
      <c r="A275" s="446">
        <v>268</v>
      </c>
      <c r="B275" s="447" t="s">
        <v>419</v>
      </c>
      <c r="C275" s="448" t="s">
        <v>1098</v>
      </c>
      <c r="D275" s="449" t="s">
        <v>1099</v>
      </c>
      <c r="E275" s="450" t="s">
        <v>418</v>
      </c>
      <c r="F275" s="451">
        <v>23346406</v>
      </c>
      <c r="G275" s="451">
        <v>14007844</v>
      </c>
      <c r="H275" s="451">
        <v>9338563</v>
      </c>
      <c r="I275" s="451">
        <v>0</v>
      </c>
      <c r="J275" s="451">
        <v>46692813</v>
      </c>
      <c r="K275" s="451">
        <v>0</v>
      </c>
      <c r="L275" s="451">
        <v>0</v>
      </c>
      <c r="M275" s="451">
        <v>23346406</v>
      </c>
      <c r="N275" s="451">
        <v>46692813</v>
      </c>
      <c r="O275" s="451">
        <v>209603</v>
      </c>
      <c r="P275" s="451">
        <v>209603</v>
      </c>
      <c r="Q275" s="451">
        <v>0</v>
      </c>
      <c r="R275" s="451">
        <v>0</v>
      </c>
      <c r="S275" s="451">
        <v>0</v>
      </c>
      <c r="T275" s="451">
        <v>0</v>
      </c>
      <c r="U275" s="451">
        <v>0</v>
      </c>
      <c r="V275" s="451">
        <v>0</v>
      </c>
      <c r="W275" s="451">
        <v>0</v>
      </c>
      <c r="X275" s="451">
        <v>0</v>
      </c>
      <c r="Y275" s="451">
        <v>0</v>
      </c>
      <c r="Z275" s="451">
        <v>0</v>
      </c>
      <c r="AA275" s="451">
        <v>0</v>
      </c>
      <c r="AB275" s="451">
        <v>1409931</v>
      </c>
      <c r="AC275" s="451">
        <v>845958</v>
      </c>
      <c r="AD275" s="451">
        <v>563972</v>
      </c>
      <c r="AE275" s="451">
        <v>0</v>
      </c>
      <c r="AF275" s="451">
        <v>2819861</v>
      </c>
      <c r="AG275" s="451">
        <v>-396891</v>
      </c>
      <c r="AH275" s="451">
        <v>-238135</v>
      </c>
      <c r="AI275" s="451">
        <v>-158757</v>
      </c>
      <c r="AJ275" s="451">
        <v>0</v>
      </c>
      <c r="AK275" s="451">
        <v>-793783</v>
      </c>
      <c r="AL275" s="451">
        <v>500974</v>
      </c>
      <c r="AM275" s="451">
        <v>300585</v>
      </c>
      <c r="AN275" s="451">
        <v>200390</v>
      </c>
      <c r="AO275" s="451">
        <v>0</v>
      </c>
      <c r="AP275" s="451">
        <v>1001949</v>
      </c>
      <c r="AQ275" s="451">
        <v>-50876</v>
      </c>
      <c r="AR275" s="451">
        <v>-30526</v>
      </c>
      <c r="AS275" s="451">
        <v>-20351</v>
      </c>
      <c r="AT275" s="451">
        <v>0</v>
      </c>
      <c r="AU275" s="451">
        <v>-101753</v>
      </c>
      <c r="AV275" s="451">
        <v>450098</v>
      </c>
      <c r="AW275" s="451">
        <v>270059</v>
      </c>
      <c r="AX275" s="451">
        <v>180039</v>
      </c>
      <c r="AY275" s="451">
        <v>0</v>
      </c>
      <c r="AZ275" s="451">
        <v>900196</v>
      </c>
      <c r="BA275" s="451">
        <v>0</v>
      </c>
      <c r="BB275" s="451">
        <v>0</v>
      </c>
      <c r="BC275" s="451">
        <v>0</v>
      </c>
      <c r="BD275" s="451">
        <v>0</v>
      </c>
      <c r="BE275" s="451">
        <v>0</v>
      </c>
      <c r="BF275" s="451">
        <v>1081897</v>
      </c>
      <c r="BG275" s="451">
        <v>649138</v>
      </c>
      <c r="BH275" s="451">
        <v>432759</v>
      </c>
      <c r="BI275" s="451">
        <v>0</v>
      </c>
      <c r="BJ275" s="451">
        <v>2163794</v>
      </c>
      <c r="BK275" s="451">
        <v>1081897</v>
      </c>
      <c r="BL275" s="451">
        <v>649138</v>
      </c>
      <c r="BM275" s="451">
        <v>432759</v>
      </c>
      <c r="BN275" s="451">
        <v>0</v>
      </c>
      <c r="BO275" s="451">
        <v>2163794</v>
      </c>
      <c r="BP275" s="451">
        <v>0</v>
      </c>
      <c r="BQ275" s="451">
        <v>0</v>
      </c>
      <c r="BR275" s="451">
        <v>0</v>
      </c>
      <c r="BS275" s="451">
        <v>0</v>
      </c>
      <c r="BT275" s="451">
        <v>0</v>
      </c>
      <c r="BU275" s="451">
        <v>5000</v>
      </c>
      <c r="BV275" s="451">
        <v>3000</v>
      </c>
      <c r="BW275" s="451">
        <v>2000</v>
      </c>
      <c r="BX275" s="451">
        <v>0</v>
      </c>
      <c r="BY275" s="451">
        <v>10000</v>
      </c>
      <c r="BZ275" s="451">
        <v>5000</v>
      </c>
      <c r="CA275" s="451">
        <v>3000</v>
      </c>
      <c r="CB275" s="451">
        <v>2000</v>
      </c>
      <c r="CC275" s="451">
        <v>0</v>
      </c>
      <c r="CD275" s="451">
        <v>10000</v>
      </c>
      <c r="CE275" s="104"/>
      <c r="CF275" s="104"/>
      <c r="CG275" s="104"/>
    </row>
    <row r="276" spans="1:85" ht="12.75" x14ac:dyDescent="0.2">
      <c r="A276" s="446">
        <v>269</v>
      </c>
      <c r="B276" s="447" t="s">
        <v>421</v>
      </c>
      <c r="C276" s="448" t="s">
        <v>1093</v>
      </c>
      <c r="D276" s="449" t="s">
        <v>1094</v>
      </c>
      <c r="E276" s="450" t="s">
        <v>420</v>
      </c>
      <c r="F276" s="451">
        <v>19367907</v>
      </c>
      <c r="G276" s="451">
        <v>15494325</v>
      </c>
      <c r="H276" s="451">
        <v>3486223</v>
      </c>
      <c r="I276" s="451">
        <v>387358</v>
      </c>
      <c r="J276" s="451">
        <v>38735813</v>
      </c>
      <c r="K276" s="451">
        <v>0</v>
      </c>
      <c r="L276" s="451">
        <v>0</v>
      </c>
      <c r="M276" s="451">
        <v>19367907</v>
      </c>
      <c r="N276" s="451">
        <v>38735813</v>
      </c>
      <c r="O276" s="451">
        <v>176909</v>
      </c>
      <c r="P276" s="451">
        <v>176909</v>
      </c>
      <c r="Q276" s="451">
        <v>0</v>
      </c>
      <c r="R276" s="451">
        <v>0</v>
      </c>
      <c r="S276" s="451">
        <v>0</v>
      </c>
      <c r="T276" s="451">
        <v>0</v>
      </c>
      <c r="U276" s="451">
        <v>0</v>
      </c>
      <c r="V276" s="451">
        <v>0</v>
      </c>
      <c r="W276" s="451">
        <v>0</v>
      </c>
      <c r="X276" s="451">
        <v>0</v>
      </c>
      <c r="Y276" s="451">
        <v>0</v>
      </c>
      <c r="Z276" s="451">
        <v>0</v>
      </c>
      <c r="AA276" s="451">
        <v>0</v>
      </c>
      <c r="AB276" s="451">
        <v>1075632</v>
      </c>
      <c r="AC276" s="451">
        <v>860506</v>
      </c>
      <c r="AD276" s="451">
        <v>193614</v>
      </c>
      <c r="AE276" s="451">
        <v>21513</v>
      </c>
      <c r="AF276" s="451">
        <v>2151265</v>
      </c>
      <c r="AG276" s="451">
        <v>445883</v>
      </c>
      <c r="AH276" s="451">
        <v>356707</v>
      </c>
      <c r="AI276" s="451">
        <v>80259</v>
      </c>
      <c r="AJ276" s="451">
        <v>8918</v>
      </c>
      <c r="AK276" s="451">
        <v>891767</v>
      </c>
      <c r="AL276" s="451">
        <v>798461</v>
      </c>
      <c r="AM276" s="451">
        <v>638768</v>
      </c>
      <c r="AN276" s="451">
        <v>143723</v>
      </c>
      <c r="AO276" s="451">
        <v>15969</v>
      </c>
      <c r="AP276" s="451">
        <v>1596921</v>
      </c>
      <c r="AQ276" s="451">
        <v>161345</v>
      </c>
      <c r="AR276" s="451">
        <v>129076</v>
      </c>
      <c r="AS276" s="451">
        <v>29042</v>
      </c>
      <c r="AT276" s="451">
        <v>3227</v>
      </c>
      <c r="AU276" s="451">
        <v>322690</v>
      </c>
      <c r="AV276" s="451">
        <v>959806</v>
      </c>
      <c r="AW276" s="451">
        <v>767844</v>
      </c>
      <c r="AX276" s="451">
        <v>172765</v>
      </c>
      <c r="AY276" s="451">
        <v>19196</v>
      </c>
      <c r="AZ276" s="451">
        <v>1919611</v>
      </c>
      <c r="BA276" s="451">
        <v>0</v>
      </c>
      <c r="BB276" s="451">
        <v>0</v>
      </c>
      <c r="BC276" s="451">
        <v>0</v>
      </c>
      <c r="BD276" s="451">
        <v>0</v>
      </c>
      <c r="BE276" s="451">
        <v>0</v>
      </c>
      <c r="BF276" s="451">
        <v>179802</v>
      </c>
      <c r="BG276" s="451">
        <v>143842</v>
      </c>
      <c r="BH276" s="451">
        <v>32364</v>
      </c>
      <c r="BI276" s="451">
        <v>3596</v>
      </c>
      <c r="BJ276" s="451">
        <v>359604</v>
      </c>
      <c r="BK276" s="451">
        <v>179802</v>
      </c>
      <c r="BL276" s="451">
        <v>143842</v>
      </c>
      <c r="BM276" s="451">
        <v>32364</v>
      </c>
      <c r="BN276" s="451">
        <v>3596</v>
      </c>
      <c r="BO276" s="451">
        <v>359604</v>
      </c>
      <c r="BP276" s="451">
        <v>0</v>
      </c>
      <c r="BQ276" s="451">
        <v>0</v>
      </c>
      <c r="BR276" s="451">
        <v>0</v>
      </c>
      <c r="BS276" s="451">
        <v>0</v>
      </c>
      <c r="BT276" s="451">
        <v>0</v>
      </c>
      <c r="BU276" s="451">
        <v>1027208</v>
      </c>
      <c r="BV276" s="451">
        <v>821767</v>
      </c>
      <c r="BW276" s="451">
        <v>184898</v>
      </c>
      <c r="BX276" s="451">
        <v>20544</v>
      </c>
      <c r="BY276" s="451">
        <v>2054417</v>
      </c>
      <c r="BZ276" s="451">
        <v>1027208</v>
      </c>
      <c r="CA276" s="451">
        <v>821767</v>
      </c>
      <c r="CB276" s="451">
        <v>184898</v>
      </c>
      <c r="CC276" s="451">
        <v>20544</v>
      </c>
      <c r="CD276" s="451">
        <v>2054417</v>
      </c>
      <c r="CE276" s="104"/>
      <c r="CF276" s="104"/>
      <c r="CG276" s="104"/>
    </row>
    <row r="277" spans="1:85" ht="12.75" x14ac:dyDescent="0.2">
      <c r="A277" s="446">
        <v>270</v>
      </c>
      <c r="B277" s="447" t="s">
        <v>423</v>
      </c>
      <c r="C277" s="448" t="s">
        <v>794</v>
      </c>
      <c r="D277" s="449" t="s">
        <v>1102</v>
      </c>
      <c r="E277" s="450" t="s">
        <v>749</v>
      </c>
      <c r="F277" s="451">
        <v>48497256</v>
      </c>
      <c r="G277" s="451">
        <v>47527311</v>
      </c>
      <c r="H277" s="451">
        <v>0</v>
      </c>
      <c r="I277" s="451">
        <v>969945</v>
      </c>
      <c r="J277" s="451">
        <v>96994512</v>
      </c>
      <c r="K277" s="451">
        <v>0</v>
      </c>
      <c r="L277" s="451">
        <v>0</v>
      </c>
      <c r="M277" s="451">
        <v>48497256</v>
      </c>
      <c r="N277" s="451">
        <v>96994512</v>
      </c>
      <c r="O277" s="451">
        <v>273630</v>
      </c>
      <c r="P277" s="451">
        <v>273630</v>
      </c>
      <c r="Q277" s="451">
        <v>0</v>
      </c>
      <c r="R277" s="451">
        <v>0</v>
      </c>
      <c r="S277" s="451">
        <v>0</v>
      </c>
      <c r="T277" s="451">
        <v>0</v>
      </c>
      <c r="U277" s="451">
        <v>0</v>
      </c>
      <c r="V277" s="451">
        <v>0</v>
      </c>
      <c r="W277" s="451">
        <v>0</v>
      </c>
      <c r="X277" s="451">
        <v>0</v>
      </c>
      <c r="Y277" s="451">
        <v>0</v>
      </c>
      <c r="Z277" s="451">
        <v>0</v>
      </c>
      <c r="AA277" s="451">
        <v>0</v>
      </c>
      <c r="AB277" s="451">
        <v>1722448.81</v>
      </c>
      <c r="AC277" s="451">
        <v>1688000</v>
      </c>
      <c r="AD277" s="451">
        <v>0</v>
      </c>
      <c r="AE277" s="451">
        <v>34449</v>
      </c>
      <c r="AF277" s="451">
        <v>3444897.81</v>
      </c>
      <c r="AG277" s="451">
        <v>661925.77</v>
      </c>
      <c r="AH277" s="451">
        <v>648686</v>
      </c>
      <c r="AI277" s="451">
        <v>0</v>
      </c>
      <c r="AJ277" s="451">
        <v>13238</v>
      </c>
      <c r="AK277" s="451">
        <v>1323849.77</v>
      </c>
      <c r="AL277" s="451">
        <v>0</v>
      </c>
      <c r="AM277" s="451">
        <v>0</v>
      </c>
      <c r="AN277" s="451">
        <v>0</v>
      </c>
      <c r="AO277" s="451">
        <v>0</v>
      </c>
      <c r="AP277" s="451">
        <v>0</v>
      </c>
      <c r="AQ277" s="451">
        <v>22315.43</v>
      </c>
      <c r="AR277" s="451">
        <v>21869</v>
      </c>
      <c r="AS277" s="451">
        <v>0</v>
      </c>
      <c r="AT277" s="451">
        <v>446</v>
      </c>
      <c r="AU277" s="451">
        <v>44630.43</v>
      </c>
      <c r="AV277" s="451">
        <v>22315.43</v>
      </c>
      <c r="AW277" s="451">
        <v>21869</v>
      </c>
      <c r="AX277" s="451">
        <v>0</v>
      </c>
      <c r="AY277" s="451">
        <v>446</v>
      </c>
      <c r="AZ277" s="451">
        <v>44630.43</v>
      </c>
      <c r="BA277" s="451">
        <v>0</v>
      </c>
      <c r="BB277" s="451">
        <v>0</v>
      </c>
      <c r="BC277" s="451">
        <v>0</v>
      </c>
      <c r="BD277" s="451">
        <v>0</v>
      </c>
      <c r="BE277" s="451">
        <v>0</v>
      </c>
      <c r="BF277" s="451">
        <v>624434</v>
      </c>
      <c r="BG277" s="451">
        <v>611946</v>
      </c>
      <c r="BH277" s="451">
        <v>0</v>
      </c>
      <c r="BI277" s="451">
        <v>12489</v>
      </c>
      <c r="BJ277" s="451">
        <v>1248869</v>
      </c>
      <c r="BK277" s="451">
        <v>624434</v>
      </c>
      <c r="BL277" s="451">
        <v>611946</v>
      </c>
      <c r="BM277" s="451">
        <v>0</v>
      </c>
      <c r="BN277" s="451">
        <v>12489</v>
      </c>
      <c r="BO277" s="451">
        <v>1248869</v>
      </c>
      <c r="BP277" s="451">
        <v>0</v>
      </c>
      <c r="BQ277" s="451">
        <v>0</v>
      </c>
      <c r="BR277" s="451">
        <v>0</v>
      </c>
      <c r="BS277" s="451">
        <v>0</v>
      </c>
      <c r="BT277" s="451">
        <v>0</v>
      </c>
      <c r="BU277" s="451">
        <v>1284785</v>
      </c>
      <c r="BV277" s="451">
        <v>1259089</v>
      </c>
      <c r="BW277" s="451">
        <v>0</v>
      </c>
      <c r="BX277" s="451">
        <v>25696</v>
      </c>
      <c r="BY277" s="451">
        <v>2569570</v>
      </c>
      <c r="BZ277" s="451">
        <v>1284785</v>
      </c>
      <c r="CA277" s="451">
        <v>1259089</v>
      </c>
      <c r="CB277" s="451">
        <v>0</v>
      </c>
      <c r="CC277" s="451">
        <v>25696</v>
      </c>
      <c r="CD277" s="451">
        <v>2569570</v>
      </c>
      <c r="CE277" s="104"/>
      <c r="CF277" s="104"/>
      <c r="CG277" s="104"/>
    </row>
    <row r="278" spans="1:85" ht="12.75" x14ac:dyDescent="0.2">
      <c r="A278" s="446">
        <v>271</v>
      </c>
      <c r="B278" s="447" t="s">
        <v>425</v>
      </c>
      <c r="C278" s="448" t="s">
        <v>1100</v>
      </c>
      <c r="D278" s="449" t="s">
        <v>1095</v>
      </c>
      <c r="E278" s="450" t="s">
        <v>424</v>
      </c>
      <c r="F278" s="451">
        <v>26307589</v>
      </c>
      <c r="G278" s="451">
        <v>25781438</v>
      </c>
      <c r="H278" s="451">
        <v>0</v>
      </c>
      <c r="I278" s="451">
        <v>526152</v>
      </c>
      <c r="J278" s="451">
        <v>52615179</v>
      </c>
      <c r="K278" s="451">
        <v>0</v>
      </c>
      <c r="L278" s="451">
        <v>0</v>
      </c>
      <c r="M278" s="451">
        <v>26307589</v>
      </c>
      <c r="N278" s="451">
        <v>52615179</v>
      </c>
      <c r="O278" s="451">
        <v>300092</v>
      </c>
      <c r="P278" s="451">
        <v>300092</v>
      </c>
      <c r="Q278" s="451">
        <v>0</v>
      </c>
      <c r="R278" s="451">
        <v>0</v>
      </c>
      <c r="S278" s="451">
        <v>0</v>
      </c>
      <c r="T278" s="451">
        <v>0</v>
      </c>
      <c r="U278" s="451">
        <v>0</v>
      </c>
      <c r="V278" s="451">
        <v>0</v>
      </c>
      <c r="W278" s="451">
        <v>0</v>
      </c>
      <c r="X278" s="451">
        <v>0</v>
      </c>
      <c r="Y278" s="451">
        <v>0</v>
      </c>
      <c r="Z278" s="451">
        <v>0</v>
      </c>
      <c r="AA278" s="451">
        <v>0</v>
      </c>
      <c r="AB278" s="451">
        <v>2904255.67</v>
      </c>
      <c r="AC278" s="451">
        <v>2846170</v>
      </c>
      <c r="AD278" s="451">
        <v>0</v>
      </c>
      <c r="AE278" s="451">
        <v>58085</v>
      </c>
      <c r="AF278" s="451">
        <v>5808510.6699999999</v>
      </c>
      <c r="AG278" s="451">
        <v>485616.17</v>
      </c>
      <c r="AH278" s="451">
        <v>475903</v>
      </c>
      <c r="AI278" s="451">
        <v>0</v>
      </c>
      <c r="AJ278" s="451">
        <v>9712</v>
      </c>
      <c r="AK278" s="451">
        <v>971231.17</v>
      </c>
      <c r="AL278" s="451">
        <v>727145.88</v>
      </c>
      <c r="AM278" s="451">
        <v>712604</v>
      </c>
      <c r="AN278" s="451">
        <v>0</v>
      </c>
      <c r="AO278" s="451">
        <v>14543</v>
      </c>
      <c r="AP278" s="451">
        <v>1454292.88</v>
      </c>
      <c r="AQ278" s="451">
        <v>460502.06</v>
      </c>
      <c r="AR278" s="451">
        <v>451291</v>
      </c>
      <c r="AS278" s="451">
        <v>0</v>
      </c>
      <c r="AT278" s="451">
        <v>9210</v>
      </c>
      <c r="AU278" s="451">
        <v>921003.06</v>
      </c>
      <c r="AV278" s="451">
        <v>1187647.94</v>
      </c>
      <c r="AW278" s="451">
        <v>1163895</v>
      </c>
      <c r="AX278" s="451">
        <v>0</v>
      </c>
      <c r="AY278" s="451">
        <v>23753</v>
      </c>
      <c r="AZ278" s="451">
        <v>2375295.94</v>
      </c>
      <c r="BA278" s="451">
        <v>0</v>
      </c>
      <c r="BB278" s="451">
        <v>0</v>
      </c>
      <c r="BC278" s="451">
        <v>0</v>
      </c>
      <c r="BD278" s="451">
        <v>0</v>
      </c>
      <c r="BE278" s="451">
        <v>0</v>
      </c>
      <c r="BF278" s="451">
        <v>457029</v>
      </c>
      <c r="BG278" s="451">
        <v>447889</v>
      </c>
      <c r="BH278" s="451">
        <v>0</v>
      </c>
      <c r="BI278" s="451">
        <v>9141</v>
      </c>
      <c r="BJ278" s="451">
        <v>914059</v>
      </c>
      <c r="BK278" s="451">
        <v>457029</v>
      </c>
      <c r="BL278" s="451">
        <v>447889</v>
      </c>
      <c r="BM278" s="451">
        <v>0</v>
      </c>
      <c r="BN278" s="451">
        <v>9141</v>
      </c>
      <c r="BO278" s="451">
        <v>914059</v>
      </c>
      <c r="BP278" s="451">
        <v>0</v>
      </c>
      <c r="BQ278" s="451">
        <v>0</v>
      </c>
      <c r="BR278" s="451">
        <v>0</v>
      </c>
      <c r="BS278" s="451">
        <v>0</v>
      </c>
      <c r="BT278" s="451">
        <v>0</v>
      </c>
      <c r="BU278" s="451">
        <v>1226113</v>
      </c>
      <c r="BV278" s="451">
        <v>1201591</v>
      </c>
      <c r="BW278" s="451">
        <v>0</v>
      </c>
      <c r="BX278" s="451">
        <v>24522</v>
      </c>
      <c r="BY278" s="451">
        <v>2452226</v>
      </c>
      <c r="BZ278" s="451">
        <v>1226113</v>
      </c>
      <c r="CA278" s="451">
        <v>1201591</v>
      </c>
      <c r="CB278" s="451">
        <v>0</v>
      </c>
      <c r="CC278" s="451">
        <v>24522</v>
      </c>
      <c r="CD278" s="451">
        <v>2452226</v>
      </c>
      <c r="CE278" s="104"/>
      <c r="CF278" s="104"/>
      <c r="CG278" s="104"/>
    </row>
    <row r="279" spans="1:85" ht="12.75" x14ac:dyDescent="0.2">
      <c r="A279" s="446">
        <v>272</v>
      </c>
      <c r="B279" s="447" t="s">
        <v>427</v>
      </c>
      <c r="C279" s="448" t="s">
        <v>1093</v>
      </c>
      <c r="D279" s="449" t="s">
        <v>1103</v>
      </c>
      <c r="E279" s="450" t="s">
        <v>426</v>
      </c>
      <c r="F279" s="451">
        <v>15866523</v>
      </c>
      <c r="G279" s="451">
        <v>12693218</v>
      </c>
      <c r="H279" s="451">
        <v>2855974</v>
      </c>
      <c r="I279" s="451">
        <v>317330</v>
      </c>
      <c r="J279" s="451">
        <v>31733045</v>
      </c>
      <c r="K279" s="451">
        <v>0</v>
      </c>
      <c r="L279" s="451">
        <v>0</v>
      </c>
      <c r="M279" s="451">
        <v>15866523</v>
      </c>
      <c r="N279" s="451">
        <v>31733045</v>
      </c>
      <c r="O279" s="451">
        <v>92458</v>
      </c>
      <c r="P279" s="451">
        <v>92458</v>
      </c>
      <c r="Q279" s="451">
        <v>0</v>
      </c>
      <c r="R279" s="451">
        <v>0</v>
      </c>
      <c r="S279" s="451">
        <v>0</v>
      </c>
      <c r="T279" s="451">
        <v>0</v>
      </c>
      <c r="U279" s="451">
        <v>0</v>
      </c>
      <c r="V279" s="451">
        <v>0</v>
      </c>
      <c r="W279" s="451">
        <v>0</v>
      </c>
      <c r="X279" s="451">
        <v>0</v>
      </c>
      <c r="Y279" s="451">
        <v>0</v>
      </c>
      <c r="Z279" s="451">
        <v>0</v>
      </c>
      <c r="AA279" s="451">
        <v>0</v>
      </c>
      <c r="AB279" s="451">
        <v>418054</v>
      </c>
      <c r="AC279" s="451">
        <v>334444</v>
      </c>
      <c r="AD279" s="451">
        <v>75250</v>
      </c>
      <c r="AE279" s="451">
        <v>8361</v>
      </c>
      <c r="AF279" s="451">
        <v>836109</v>
      </c>
      <c r="AG279" s="451">
        <v>300674</v>
      </c>
      <c r="AH279" s="451">
        <v>240539</v>
      </c>
      <c r="AI279" s="451">
        <v>54121</v>
      </c>
      <c r="AJ279" s="451">
        <v>6013</v>
      </c>
      <c r="AK279" s="451">
        <v>601347</v>
      </c>
      <c r="AL279" s="451">
        <v>394541</v>
      </c>
      <c r="AM279" s="451">
        <v>315632</v>
      </c>
      <c r="AN279" s="451">
        <v>71017</v>
      </c>
      <c r="AO279" s="451">
        <v>7891</v>
      </c>
      <c r="AP279" s="451">
        <v>789081</v>
      </c>
      <c r="AQ279" s="451">
        <v>-16428.240000000002</v>
      </c>
      <c r="AR279" s="451">
        <v>-13142</v>
      </c>
      <c r="AS279" s="451">
        <v>-2957</v>
      </c>
      <c r="AT279" s="451">
        <v>-329</v>
      </c>
      <c r="AU279" s="451">
        <v>-32856.239999999998</v>
      </c>
      <c r="AV279" s="451">
        <v>378112.76</v>
      </c>
      <c r="AW279" s="451">
        <v>302490</v>
      </c>
      <c r="AX279" s="451">
        <v>68060</v>
      </c>
      <c r="AY279" s="451">
        <v>7562</v>
      </c>
      <c r="AZ279" s="451">
        <v>756224.76</v>
      </c>
      <c r="BA279" s="451">
        <v>0</v>
      </c>
      <c r="BB279" s="451">
        <v>0</v>
      </c>
      <c r="BC279" s="451">
        <v>0</v>
      </c>
      <c r="BD279" s="451">
        <v>0</v>
      </c>
      <c r="BE279" s="451">
        <v>0</v>
      </c>
      <c r="BF279" s="451">
        <v>136977</v>
      </c>
      <c r="BG279" s="451">
        <v>109582</v>
      </c>
      <c r="BH279" s="451">
        <v>24656</v>
      </c>
      <c r="BI279" s="451">
        <v>2740</v>
      </c>
      <c r="BJ279" s="451">
        <v>273955</v>
      </c>
      <c r="BK279" s="451">
        <v>136977</v>
      </c>
      <c r="BL279" s="451">
        <v>109582</v>
      </c>
      <c r="BM279" s="451">
        <v>24656</v>
      </c>
      <c r="BN279" s="451">
        <v>2740</v>
      </c>
      <c r="BO279" s="451">
        <v>273955</v>
      </c>
      <c r="BP279" s="451">
        <v>0</v>
      </c>
      <c r="BQ279" s="451">
        <v>0</v>
      </c>
      <c r="BR279" s="451">
        <v>0</v>
      </c>
      <c r="BS279" s="451">
        <v>0</v>
      </c>
      <c r="BT279" s="451">
        <v>0</v>
      </c>
      <c r="BU279" s="451">
        <v>354097</v>
      </c>
      <c r="BV279" s="451">
        <v>283278</v>
      </c>
      <c r="BW279" s="451">
        <v>63737</v>
      </c>
      <c r="BX279" s="451">
        <v>7082</v>
      </c>
      <c r="BY279" s="451">
        <v>708194</v>
      </c>
      <c r="BZ279" s="451">
        <v>354097</v>
      </c>
      <c r="CA279" s="451">
        <v>283278</v>
      </c>
      <c r="CB279" s="451">
        <v>63737</v>
      </c>
      <c r="CC279" s="451">
        <v>7082</v>
      </c>
      <c r="CD279" s="451">
        <v>708194</v>
      </c>
      <c r="CE279" s="104"/>
      <c r="CF279" s="104"/>
      <c r="CG279" s="104"/>
    </row>
    <row r="280" spans="1:85" ht="12.75" x14ac:dyDescent="0.2">
      <c r="A280" s="446">
        <v>273</v>
      </c>
      <c r="B280" s="447" t="s">
        <v>429</v>
      </c>
      <c r="C280" s="448" t="s">
        <v>1093</v>
      </c>
      <c r="D280" s="449" t="s">
        <v>1094</v>
      </c>
      <c r="E280" s="450" t="s">
        <v>428</v>
      </c>
      <c r="F280" s="451">
        <v>9579747</v>
      </c>
      <c r="G280" s="451">
        <v>7663798</v>
      </c>
      <c r="H280" s="451">
        <v>1915949</v>
      </c>
      <c r="I280" s="451">
        <v>0</v>
      </c>
      <c r="J280" s="451">
        <v>19159494</v>
      </c>
      <c r="K280" s="451">
        <v>0</v>
      </c>
      <c r="L280" s="451">
        <v>0</v>
      </c>
      <c r="M280" s="451">
        <v>9579747</v>
      </c>
      <c r="N280" s="451">
        <v>19159494</v>
      </c>
      <c r="O280" s="451">
        <v>129595</v>
      </c>
      <c r="P280" s="451">
        <v>129595</v>
      </c>
      <c r="Q280" s="451">
        <v>0</v>
      </c>
      <c r="R280" s="451">
        <v>0</v>
      </c>
      <c r="S280" s="451">
        <v>0</v>
      </c>
      <c r="T280" s="451">
        <v>0</v>
      </c>
      <c r="U280" s="451">
        <v>0</v>
      </c>
      <c r="V280" s="451">
        <v>0</v>
      </c>
      <c r="W280" s="451">
        <v>0</v>
      </c>
      <c r="X280" s="451">
        <v>0</v>
      </c>
      <c r="Y280" s="451">
        <v>0</v>
      </c>
      <c r="Z280" s="451">
        <v>0</v>
      </c>
      <c r="AA280" s="451">
        <v>0</v>
      </c>
      <c r="AB280" s="451">
        <v>329786.53999999998</v>
      </c>
      <c r="AC280" s="451">
        <v>263829</v>
      </c>
      <c r="AD280" s="451">
        <v>65957</v>
      </c>
      <c r="AE280" s="451">
        <v>0</v>
      </c>
      <c r="AF280" s="451">
        <v>659572.54</v>
      </c>
      <c r="AG280" s="451">
        <v>201552</v>
      </c>
      <c r="AH280" s="451">
        <v>161241</v>
      </c>
      <c r="AI280" s="451">
        <v>40310</v>
      </c>
      <c r="AJ280" s="451">
        <v>0</v>
      </c>
      <c r="AK280" s="451">
        <v>403103</v>
      </c>
      <c r="AL280" s="451">
        <v>52058.85</v>
      </c>
      <c r="AM280" s="451">
        <v>41648</v>
      </c>
      <c r="AN280" s="451">
        <v>10412</v>
      </c>
      <c r="AO280" s="451">
        <v>0</v>
      </c>
      <c r="AP280" s="451">
        <v>104118.85</v>
      </c>
      <c r="AQ280" s="451">
        <v>51090</v>
      </c>
      <c r="AR280" s="451">
        <v>40872</v>
      </c>
      <c r="AS280" s="451">
        <v>10218</v>
      </c>
      <c r="AT280" s="451">
        <v>0</v>
      </c>
      <c r="AU280" s="451">
        <v>102180</v>
      </c>
      <c r="AV280" s="451">
        <v>103148.85</v>
      </c>
      <c r="AW280" s="451">
        <v>82520</v>
      </c>
      <c r="AX280" s="451">
        <v>20630</v>
      </c>
      <c r="AY280" s="451">
        <v>0</v>
      </c>
      <c r="AZ280" s="451">
        <v>206298.85</v>
      </c>
      <c r="BA280" s="451">
        <v>0</v>
      </c>
      <c r="BB280" s="451">
        <v>0</v>
      </c>
      <c r="BC280" s="451">
        <v>0</v>
      </c>
      <c r="BD280" s="451">
        <v>0</v>
      </c>
      <c r="BE280" s="451">
        <v>0</v>
      </c>
      <c r="BF280" s="451">
        <v>85000</v>
      </c>
      <c r="BG280" s="451">
        <v>68000</v>
      </c>
      <c r="BH280" s="451">
        <v>17000</v>
      </c>
      <c r="BI280" s="451">
        <v>0</v>
      </c>
      <c r="BJ280" s="451">
        <v>170000</v>
      </c>
      <c r="BK280" s="451">
        <v>85000</v>
      </c>
      <c r="BL280" s="451">
        <v>68000</v>
      </c>
      <c r="BM280" s="451">
        <v>17000</v>
      </c>
      <c r="BN280" s="451">
        <v>0</v>
      </c>
      <c r="BO280" s="451">
        <v>170000</v>
      </c>
      <c r="BP280" s="451">
        <v>0</v>
      </c>
      <c r="BQ280" s="451">
        <v>0</v>
      </c>
      <c r="BR280" s="451">
        <v>0</v>
      </c>
      <c r="BS280" s="451">
        <v>0</v>
      </c>
      <c r="BT280" s="451">
        <v>0</v>
      </c>
      <c r="BU280" s="451">
        <v>295000</v>
      </c>
      <c r="BV280" s="451">
        <v>236000</v>
      </c>
      <c r="BW280" s="451">
        <v>59000</v>
      </c>
      <c r="BX280" s="451">
        <v>0</v>
      </c>
      <c r="BY280" s="451">
        <v>590000</v>
      </c>
      <c r="BZ280" s="451">
        <v>295000</v>
      </c>
      <c r="CA280" s="451">
        <v>236000</v>
      </c>
      <c r="CB280" s="451">
        <v>59000</v>
      </c>
      <c r="CC280" s="451">
        <v>0</v>
      </c>
      <c r="CD280" s="451">
        <v>590000</v>
      </c>
      <c r="CE280" s="104"/>
      <c r="CF280" s="104"/>
      <c r="CG280" s="104"/>
    </row>
    <row r="281" spans="1:85" ht="12.75" x14ac:dyDescent="0.2">
      <c r="A281" s="446">
        <v>274</v>
      </c>
      <c r="B281" s="447" t="s">
        <v>431</v>
      </c>
      <c r="C281" s="448" t="s">
        <v>1093</v>
      </c>
      <c r="D281" s="449" t="s">
        <v>1102</v>
      </c>
      <c r="E281" s="450" t="s">
        <v>430</v>
      </c>
      <c r="F281" s="451">
        <v>17808141</v>
      </c>
      <c r="G281" s="451">
        <v>14246513</v>
      </c>
      <c r="H281" s="451">
        <v>3205465</v>
      </c>
      <c r="I281" s="451">
        <v>356163</v>
      </c>
      <c r="J281" s="451">
        <v>35616282</v>
      </c>
      <c r="K281" s="451">
        <v>0</v>
      </c>
      <c r="L281" s="451">
        <v>0</v>
      </c>
      <c r="M281" s="451">
        <v>17808141</v>
      </c>
      <c r="N281" s="451">
        <v>35616282</v>
      </c>
      <c r="O281" s="451">
        <v>163257</v>
      </c>
      <c r="P281" s="451">
        <v>163257</v>
      </c>
      <c r="Q281" s="451">
        <v>0</v>
      </c>
      <c r="R281" s="451">
        <v>0</v>
      </c>
      <c r="S281" s="451">
        <v>0</v>
      </c>
      <c r="T281" s="451">
        <v>0</v>
      </c>
      <c r="U281" s="451">
        <v>29894</v>
      </c>
      <c r="V281" s="451">
        <v>0</v>
      </c>
      <c r="W281" s="451">
        <v>29894</v>
      </c>
      <c r="X281" s="451">
        <v>0</v>
      </c>
      <c r="Y281" s="451">
        <v>0</v>
      </c>
      <c r="Z281" s="451">
        <v>0</v>
      </c>
      <c r="AA281" s="451">
        <v>0</v>
      </c>
      <c r="AB281" s="451">
        <v>605269</v>
      </c>
      <c r="AC281" s="451">
        <v>484215</v>
      </c>
      <c r="AD281" s="451">
        <v>108948</v>
      </c>
      <c r="AE281" s="451">
        <v>12105</v>
      </c>
      <c r="AF281" s="451">
        <v>1210537</v>
      </c>
      <c r="AG281" s="451">
        <v>353281.34</v>
      </c>
      <c r="AH281" s="451">
        <v>282626</v>
      </c>
      <c r="AI281" s="451">
        <v>63591</v>
      </c>
      <c r="AJ281" s="451">
        <v>7066</v>
      </c>
      <c r="AK281" s="451">
        <v>706564.34</v>
      </c>
      <c r="AL281" s="451">
        <v>81021</v>
      </c>
      <c r="AM281" s="451">
        <v>64816</v>
      </c>
      <c r="AN281" s="451">
        <v>14584</v>
      </c>
      <c r="AO281" s="451">
        <v>1620</v>
      </c>
      <c r="AP281" s="451">
        <v>162041</v>
      </c>
      <c r="AQ281" s="451">
        <v>127828</v>
      </c>
      <c r="AR281" s="451">
        <v>102262</v>
      </c>
      <c r="AS281" s="451">
        <v>23009</v>
      </c>
      <c r="AT281" s="451">
        <v>2557</v>
      </c>
      <c r="AU281" s="451">
        <v>255656</v>
      </c>
      <c r="AV281" s="451">
        <v>208849</v>
      </c>
      <c r="AW281" s="451">
        <v>167078</v>
      </c>
      <c r="AX281" s="451">
        <v>37593</v>
      </c>
      <c r="AY281" s="451">
        <v>4177</v>
      </c>
      <c r="AZ281" s="451">
        <v>417697</v>
      </c>
      <c r="BA281" s="451">
        <v>0</v>
      </c>
      <c r="BB281" s="451">
        <v>0</v>
      </c>
      <c r="BC281" s="451">
        <v>0</v>
      </c>
      <c r="BD281" s="451">
        <v>0</v>
      </c>
      <c r="BE281" s="451">
        <v>0</v>
      </c>
      <c r="BF281" s="451">
        <v>481150</v>
      </c>
      <c r="BG281" s="451">
        <v>384920</v>
      </c>
      <c r="BH281" s="451">
        <v>86607</v>
      </c>
      <c r="BI281" s="451">
        <v>9623</v>
      </c>
      <c r="BJ281" s="451">
        <v>962300</v>
      </c>
      <c r="BK281" s="451">
        <v>481150</v>
      </c>
      <c r="BL281" s="451">
        <v>384920</v>
      </c>
      <c r="BM281" s="451">
        <v>86607</v>
      </c>
      <c r="BN281" s="451">
        <v>9623</v>
      </c>
      <c r="BO281" s="451">
        <v>962300</v>
      </c>
      <c r="BP281" s="451">
        <v>0</v>
      </c>
      <c r="BQ281" s="451">
        <v>0</v>
      </c>
      <c r="BR281" s="451">
        <v>0</v>
      </c>
      <c r="BS281" s="451">
        <v>0</v>
      </c>
      <c r="BT281" s="451">
        <v>0</v>
      </c>
      <c r="BU281" s="451">
        <v>989866</v>
      </c>
      <c r="BV281" s="451">
        <v>791892</v>
      </c>
      <c r="BW281" s="451">
        <v>178176</v>
      </c>
      <c r="BX281" s="451">
        <v>19797</v>
      </c>
      <c r="BY281" s="451">
        <v>1979731</v>
      </c>
      <c r="BZ281" s="451">
        <v>989866</v>
      </c>
      <c r="CA281" s="451">
        <v>791892</v>
      </c>
      <c r="CB281" s="451">
        <v>178176</v>
      </c>
      <c r="CC281" s="451">
        <v>19797</v>
      </c>
      <c r="CD281" s="451">
        <v>1979731</v>
      </c>
      <c r="CE281" s="104"/>
      <c r="CF281" s="104"/>
      <c r="CG281" s="104"/>
    </row>
    <row r="282" spans="1:85" ht="12.75" x14ac:dyDescent="0.2">
      <c r="A282" s="446">
        <v>275</v>
      </c>
      <c r="B282" s="447" t="s">
        <v>433</v>
      </c>
      <c r="C282" s="448" t="s">
        <v>1093</v>
      </c>
      <c r="D282" s="449" t="s">
        <v>1102</v>
      </c>
      <c r="E282" s="450" t="s">
        <v>432</v>
      </c>
      <c r="F282" s="451">
        <v>15051513</v>
      </c>
      <c r="G282" s="451">
        <v>12041210</v>
      </c>
      <c r="H282" s="451">
        <v>2709272</v>
      </c>
      <c r="I282" s="451">
        <v>301030</v>
      </c>
      <c r="J282" s="451">
        <v>30103025</v>
      </c>
      <c r="K282" s="451">
        <v>0</v>
      </c>
      <c r="L282" s="451">
        <v>0</v>
      </c>
      <c r="M282" s="451">
        <v>15051513</v>
      </c>
      <c r="N282" s="451">
        <v>30103025</v>
      </c>
      <c r="O282" s="451">
        <v>193085</v>
      </c>
      <c r="P282" s="451">
        <v>193085</v>
      </c>
      <c r="Q282" s="451">
        <v>0</v>
      </c>
      <c r="R282" s="451">
        <v>0</v>
      </c>
      <c r="S282" s="451">
        <v>0</v>
      </c>
      <c r="T282" s="451">
        <v>0</v>
      </c>
      <c r="U282" s="451">
        <v>0</v>
      </c>
      <c r="V282" s="451">
        <v>0</v>
      </c>
      <c r="W282" s="451">
        <v>0</v>
      </c>
      <c r="X282" s="451">
        <v>0</v>
      </c>
      <c r="Y282" s="451">
        <v>0</v>
      </c>
      <c r="Z282" s="451">
        <v>0</v>
      </c>
      <c r="AA282" s="451">
        <v>0</v>
      </c>
      <c r="AB282" s="451">
        <v>402781</v>
      </c>
      <c r="AC282" s="451">
        <v>322226</v>
      </c>
      <c r="AD282" s="451">
        <v>72501</v>
      </c>
      <c r="AE282" s="451">
        <v>8056</v>
      </c>
      <c r="AF282" s="451">
        <v>805564</v>
      </c>
      <c r="AG282" s="451">
        <v>242830</v>
      </c>
      <c r="AH282" s="451">
        <v>194264</v>
      </c>
      <c r="AI282" s="451">
        <v>43709</v>
      </c>
      <c r="AJ282" s="451">
        <v>4857</v>
      </c>
      <c r="AK282" s="451">
        <v>485660</v>
      </c>
      <c r="AL282" s="451">
        <v>200000</v>
      </c>
      <c r="AM282" s="451">
        <v>160000</v>
      </c>
      <c r="AN282" s="451">
        <v>36000</v>
      </c>
      <c r="AO282" s="451">
        <v>4000</v>
      </c>
      <c r="AP282" s="451">
        <v>400000</v>
      </c>
      <c r="AQ282" s="451">
        <v>0</v>
      </c>
      <c r="AR282" s="451">
        <v>0</v>
      </c>
      <c r="AS282" s="451">
        <v>0</v>
      </c>
      <c r="AT282" s="451">
        <v>0</v>
      </c>
      <c r="AU282" s="451">
        <v>0</v>
      </c>
      <c r="AV282" s="451">
        <v>200000</v>
      </c>
      <c r="AW282" s="451">
        <v>160000</v>
      </c>
      <c r="AX282" s="451">
        <v>36000</v>
      </c>
      <c r="AY282" s="451">
        <v>4000</v>
      </c>
      <c r="AZ282" s="451">
        <v>400000</v>
      </c>
      <c r="BA282" s="451">
        <v>0</v>
      </c>
      <c r="BB282" s="451">
        <v>0</v>
      </c>
      <c r="BC282" s="451">
        <v>0</v>
      </c>
      <c r="BD282" s="451">
        <v>0</v>
      </c>
      <c r="BE282" s="451">
        <v>0</v>
      </c>
      <c r="BF282" s="451">
        <v>58830</v>
      </c>
      <c r="BG282" s="451">
        <v>47065</v>
      </c>
      <c r="BH282" s="451">
        <v>10590</v>
      </c>
      <c r="BI282" s="451">
        <v>1177</v>
      </c>
      <c r="BJ282" s="451">
        <v>117662</v>
      </c>
      <c r="BK282" s="451">
        <v>58830</v>
      </c>
      <c r="BL282" s="451">
        <v>47065</v>
      </c>
      <c r="BM282" s="451">
        <v>10590</v>
      </c>
      <c r="BN282" s="451">
        <v>1177</v>
      </c>
      <c r="BO282" s="451">
        <v>117662</v>
      </c>
      <c r="BP282" s="451">
        <v>0</v>
      </c>
      <c r="BQ282" s="451">
        <v>0</v>
      </c>
      <c r="BR282" s="451">
        <v>0</v>
      </c>
      <c r="BS282" s="451">
        <v>0</v>
      </c>
      <c r="BT282" s="451">
        <v>0</v>
      </c>
      <c r="BU282" s="451">
        <v>117663</v>
      </c>
      <c r="BV282" s="451">
        <v>94130</v>
      </c>
      <c r="BW282" s="451">
        <v>21179</v>
      </c>
      <c r="BX282" s="451">
        <v>2353</v>
      </c>
      <c r="BY282" s="451">
        <v>235325</v>
      </c>
      <c r="BZ282" s="451">
        <v>117663</v>
      </c>
      <c r="CA282" s="451">
        <v>94130</v>
      </c>
      <c r="CB282" s="451">
        <v>21179</v>
      </c>
      <c r="CC282" s="451">
        <v>2353</v>
      </c>
      <c r="CD282" s="451">
        <v>235325</v>
      </c>
      <c r="CE282" s="104"/>
      <c r="CF282" s="104"/>
      <c r="CG282" s="104"/>
    </row>
    <row r="283" spans="1:85" ht="12.75" x14ac:dyDescent="0.2">
      <c r="A283" s="446">
        <v>276</v>
      </c>
      <c r="B283" s="447" t="s">
        <v>435</v>
      </c>
      <c r="C283" s="448" t="s">
        <v>794</v>
      </c>
      <c r="D283" s="449" t="s">
        <v>1103</v>
      </c>
      <c r="E283" s="450" t="s">
        <v>750</v>
      </c>
      <c r="F283" s="451">
        <v>31238358</v>
      </c>
      <c r="G283" s="451">
        <v>30613590</v>
      </c>
      <c r="H283" s="451">
        <v>0</v>
      </c>
      <c r="I283" s="451">
        <v>624767</v>
      </c>
      <c r="J283" s="451">
        <v>62476715</v>
      </c>
      <c r="K283" s="451">
        <v>0</v>
      </c>
      <c r="L283" s="451">
        <v>0</v>
      </c>
      <c r="M283" s="451">
        <v>31238358</v>
      </c>
      <c r="N283" s="451">
        <v>62476715</v>
      </c>
      <c r="O283" s="451">
        <v>212679</v>
      </c>
      <c r="P283" s="451">
        <v>212679</v>
      </c>
      <c r="Q283" s="451">
        <v>0</v>
      </c>
      <c r="R283" s="451">
        <v>0</v>
      </c>
      <c r="S283" s="451">
        <v>0</v>
      </c>
      <c r="T283" s="451">
        <v>0</v>
      </c>
      <c r="U283" s="451">
        <v>0</v>
      </c>
      <c r="V283" s="451">
        <v>0</v>
      </c>
      <c r="W283" s="451">
        <v>0</v>
      </c>
      <c r="X283" s="451">
        <v>0</v>
      </c>
      <c r="Y283" s="451">
        <v>0</v>
      </c>
      <c r="Z283" s="451">
        <v>0</v>
      </c>
      <c r="AA283" s="451">
        <v>0</v>
      </c>
      <c r="AB283" s="451">
        <v>1595848.21</v>
      </c>
      <c r="AC283" s="451">
        <v>1563931</v>
      </c>
      <c r="AD283" s="451">
        <v>0</v>
      </c>
      <c r="AE283" s="451">
        <v>31917</v>
      </c>
      <c r="AF283" s="451">
        <v>3191696.21</v>
      </c>
      <c r="AG283" s="451">
        <v>797442.26</v>
      </c>
      <c r="AH283" s="451">
        <v>781493</v>
      </c>
      <c r="AI283" s="451">
        <v>0</v>
      </c>
      <c r="AJ283" s="451">
        <v>15949</v>
      </c>
      <c r="AK283" s="451">
        <v>1594884.26</v>
      </c>
      <c r="AL283" s="451">
        <v>517000</v>
      </c>
      <c r="AM283" s="451">
        <v>506660</v>
      </c>
      <c r="AN283" s="451">
        <v>0</v>
      </c>
      <c r="AO283" s="451">
        <v>10340</v>
      </c>
      <c r="AP283" s="451">
        <v>1034000</v>
      </c>
      <c r="AQ283" s="451">
        <v>126000</v>
      </c>
      <c r="AR283" s="451">
        <v>123480</v>
      </c>
      <c r="AS283" s="451">
        <v>0</v>
      </c>
      <c r="AT283" s="451">
        <v>2520</v>
      </c>
      <c r="AU283" s="451">
        <v>252000</v>
      </c>
      <c r="AV283" s="451">
        <v>643000</v>
      </c>
      <c r="AW283" s="451">
        <v>630140</v>
      </c>
      <c r="AX283" s="451">
        <v>0</v>
      </c>
      <c r="AY283" s="451">
        <v>12860</v>
      </c>
      <c r="AZ283" s="451">
        <v>1286000</v>
      </c>
      <c r="BA283" s="451">
        <v>0</v>
      </c>
      <c r="BB283" s="451">
        <v>0</v>
      </c>
      <c r="BC283" s="451">
        <v>0</v>
      </c>
      <c r="BD283" s="451">
        <v>0</v>
      </c>
      <c r="BE283" s="451">
        <v>0</v>
      </c>
      <c r="BF283" s="451">
        <v>862000</v>
      </c>
      <c r="BG283" s="451">
        <v>844760</v>
      </c>
      <c r="BH283" s="451">
        <v>0</v>
      </c>
      <c r="BI283" s="451">
        <v>17240</v>
      </c>
      <c r="BJ283" s="451">
        <v>1724000</v>
      </c>
      <c r="BK283" s="451">
        <v>862000</v>
      </c>
      <c r="BL283" s="451">
        <v>844760</v>
      </c>
      <c r="BM283" s="451">
        <v>0</v>
      </c>
      <c r="BN283" s="451">
        <v>17240</v>
      </c>
      <c r="BO283" s="451">
        <v>1724000</v>
      </c>
      <c r="BP283" s="451">
        <v>0</v>
      </c>
      <c r="BQ283" s="451">
        <v>0</v>
      </c>
      <c r="BR283" s="451">
        <v>0</v>
      </c>
      <c r="BS283" s="451">
        <v>0</v>
      </c>
      <c r="BT283" s="451">
        <v>0</v>
      </c>
      <c r="BU283" s="451">
        <v>1190000</v>
      </c>
      <c r="BV283" s="451">
        <v>1166200</v>
      </c>
      <c r="BW283" s="451">
        <v>0</v>
      </c>
      <c r="BX283" s="451">
        <v>23800</v>
      </c>
      <c r="BY283" s="451">
        <v>2380000</v>
      </c>
      <c r="BZ283" s="451">
        <v>1190000</v>
      </c>
      <c r="CA283" s="451">
        <v>1166200</v>
      </c>
      <c r="CB283" s="451">
        <v>0</v>
      </c>
      <c r="CC283" s="451">
        <v>23800</v>
      </c>
      <c r="CD283" s="451">
        <v>2380000</v>
      </c>
      <c r="CE283" s="104"/>
      <c r="CF283" s="104"/>
      <c r="CG283" s="104"/>
    </row>
    <row r="284" spans="1:85" ht="12.75" x14ac:dyDescent="0.2">
      <c r="A284" s="446">
        <v>277</v>
      </c>
      <c r="B284" s="447" t="s">
        <v>437</v>
      </c>
      <c r="C284" s="448" t="s">
        <v>1093</v>
      </c>
      <c r="D284" s="449" t="s">
        <v>1097</v>
      </c>
      <c r="E284" s="450" t="s">
        <v>436</v>
      </c>
      <c r="F284" s="451">
        <v>12017219</v>
      </c>
      <c r="G284" s="451">
        <v>9613775</v>
      </c>
      <c r="H284" s="451">
        <v>2163099</v>
      </c>
      <c r="I284" s="451">
        <v>240344</v>
      </c>
      <c r="J284" s="451">
        <v>24034437</v>
      </c>
      <c r="K284" s="451">
        <v>0</v>
      </c>
      <c r="L284" s="451">
        <v>0</v>
      </c>
      <c r="M284" s="451">
        <v>12017219</v>
      </c>
      <c r="N284" s="451">
        <v>24034437</v>
      </c>
      <c r="O284" s="451">
        <v>292364</v>
      </c>
      <c r="P284" s="451">
        <v>292364</v>
      </c>
      <c r="Q284" s="451">
        <v>0</v>
      </c>
      <c r="R284" s="451">
        <v>0</v>
      </c>
      <c r="S284" s="451">
        <v>0</v>
      </c>
      <c r="T284" s="451">
        <v>0</v>
      </c>
      <c r="U284" s="451">
        <v>54662</v>
      </c>
      <c r="V284" s="451">
        <v>0</v>
      </c>
      <c r="W284" s="451">
        <v>54662</v>
      </c>
      <c r="X284" s="451">
        <v>0</v>
      </c>
      <c r="Y284" s="451">
        <v>0</v>
      </c>
      <c r="Z284" s="451">
        <v>0</v>
      </c>
      <c r="AA284" s="451">
        <v>0</v>
      </c>
      <c r="AB284" s="451">
        <v>257851</v>
      </c>
      <c r="AC284" s="451">
        <v>206280</v>
      </c>
      <c r="AD284" s="451">
        <v>46413</v>
      </c>
      <c r="AE284" s="451">
        <v>5157</v>
      </c>
      <c r="AF284" s="451">
        <v>515701</v>
      </c>
      <c r="AG284" s="451">
        <v>263837</v>
      </c>
      <c r="AH284" s="451">
        <v>211070</v>
      </c>
      <c r="AI284" s="451">
        <v>47491</v>
      </c>
      <c r="AJ284" s="451">
        <v>5277</v>
      </c>
      <c r="AK284" s="451">
        <v>527675</v>
      </c>
      <c r="AL284" s="451">
        <v>215000</v>
      </c>
      <c r="AM284" s="451">
        <v>172000</v>
      </c>
      <c r="AN284" s="451">
        <v>38700</v>
      </c>
      <c r="AO284" s="451">
        <v>4300</v>
      </c>
      <c r="AP284" s="451">
        <v>430000</v>
      </c>
      <c r="AQ284" s="451">
        <v>-155409</v>
      </c>
      <c r="AR284" s="451">
        <v>-124326</v>
      </c>
      <c r="AS284" s="451">
        <v>-27973</v>
      </c>
      <c r="AT284" s="451">
        <v>-3108</v>
      </c>
      <c r="AU284" s="451">
        <v>-310816</v>
      </c>
      <c r="AV284" s="451">
        <v>59591</v>
      </c>
      <c r="AW284" s="451">
        <v>47674</v>
      </c>
      <c r="AX284" s="451">
        <v>10727</v>
      </c>
      <c r="AY284" s="451">
        <v>1192</v>
      </c>
      <c r="AZ284" s="451">
        <v>119184</v>
      </c>
      <c r="BA284" s="451">
        <v>0</v>
      </c>
      <c r="BB284" s="451">
        <v>0</v>
      </c>
      <c r="BC284" s="451">
        <v>0</v>
      </c>
      <c r="BD284" s="451">
        <v>0</v>
      </c>
      <c r="BE284" s="451">
        <v>0</v>
      </c>
      <c r="BF284" s="451">
        <v>236500</v>
      </c>
      <c r="BG284" s="451">
        <v>189200</v>
      </c>
      <c r="BH284" s="451">
        <v>42570</v>
      </c>
      <c r="BI284" s="451">
        <v>4730</v>
      </c>
      <c r="BJ284" s="451">
        <v>473000</v>
      </c>
      <c r="BK284" s="451">
        <v>236500</v>
      </c>
      <c r="BL284" s="451">
        <v>189200</v>
      </c>
      <c r="BM284" s="451">
        <v>42570</v>
      </c>
      <c r="BN284" s="451">
        <v>4730</v>
      </c>
      <c r="BO284" s="451">
        <v>473000</v>
      </c>
      <c r="BP284" s="451">
        <v>0</v>
      </c>
      <c r="BQ284" s="451">
        <v>0</v>
      </c>
      <c r="BR284" s="451">
        <v>0</v>
      </c>
      <c r="BS284" s="451">
        <v>0</v>
      </c>
      <c r="BT284" s="451">
        <v>0</v>
      </c>
      <c r="BU284" s="451">
        <v>552500</v>
      </c>
      <c r="BV284" s="451">
        <v>442000</v>
      </c>
      <c r="BW284" s="451">
        <v>99450</v>
      </c>
      <c r="BX284" s="451">
        <v>11050</v>
      </c>
      <c r="BY284" s="451">
        <v>1105000</v>
      </c>
      <c r="BZ284" s="451">
        <v>552500</v>
      </c>
      <c r="CA284" s="451">
        <v>442000</v>
      </c>
      <c r="CB284" s="451">
        <v>99450</v>
      </c>
      <c r="CC284" s="451">
        <v>11050</v>
      </c>
      <c r="CD284" s="451">
        <v>1105000</v>
      </c>
      <c r="CE284" s="104"/>
      <c r="CF284" s="104"/>
      <c r="CG284" s="104"/>
    </row>
    <row r="285" spans="1:85" ht="12.75" x14ac:dyDescent="0.2">
      <c r="A285" s="446">
        <v>278</v>
      </c>
      <c r="B285" s="447" t="s">
        <v>439</v>
      </c>
      <c r="C285" s="448" t="s">
        <v>1093</v>
      </c>
      <c r="D285" s="449" t="s">
        <v>1094</v>
      </c>
      <c r="E285" s="450" t="s">
        <v>438</v>
      </c>
      <c r="F285" s="451">
        <v>22020428</v>
      </c>
      <c r="G285" s="451">
        <v>17616342</v>
      </c>
      <c r="H285" s="451">
        <v>3963677</v>
      </c>
      <c r="I285" s="451">
        <v>440409</v>
      </c>
      <c r="J285" s="451">
        <v>44040856</v>
      </c>
      <c r="K285" s="451">
        <v>0</v>
      </c>
      <c r="L285" s="451">
        <v>0</v>
      </c>
      <c r="M285" s="451">
        <v>22020428</v>
      </c>
      <c r="N285" s="451">
        <v>44040856</v>
      </c>
      <c r="O285" s="451">
        <v>183929</v>
      </c>
      <c r="P285" s="451">
        <v>183929</v>
      </c>
      <c r="Q285" s="451">
        <v>0</v>
      </c>
      <c r="R285" s="451">
        <v>0</v>
      </c>
      <c r="S285" s="451">
        <v>0</v>
      </c>
      <c r="T285" s="451">
        <v>0</v>
      </c>
      <c r="U285" s="451">
        <v>0</v>
      </c>
      <c r="V285" s="451">
        <v>0</v>
      </c>
      <c r="W285" s="451">
        <v>0</v>
      </c>
      <c r="X285" s="451">
        <v>0</v>
      </c>
      <c r="Y285" s="451">
        <v>0</v>
      </c>
      <c r="Z285" s="451">
        <v>0</v>
      </c>
      <c r="AA285" s="451">
        <v>0</v>
      </c>
      <c r="AB285" s="451">
        <v>1678981</v>
      </c>
      <c r="AC285" s="451">
        <v>1343185</v>
      </c>
      <c r="AD285" s="451">
        <v>302217</v>
      </c>
      <c r="AE285" s="451">
        <v>33580</v>
      </c>
      <c r="AF285" s="451">
        <v>3357963</v>
      </c>
      <c r="AG285" s="451">
        <v>530042</v>
      </c>
      <c r="AH285" s="451">
        <v>424033</v>
      </c>
      <c r="AI285" s="451">
        <v>95407</v>
      </c>
      <c r="AJ285" s="451">
        <v>10601</v>
      </c>
      <c r="AK285" s="451">
        <v>1060083</v>
      </c>
      <c r="AL285" s="451">
        <v>526776</v>
      </c>
      <c r="AM285" s="451">
        <v>421421</v>
      </c>
      <c r="AN285" s="451">
        <v>94820</v>
      </c>
      <c r="AO285" s="451">
        <v>10536</v>
      </c>
      <c r="AP285" s="451">
        <v>1053553</v>
      </c>
      <c r="AQ285" s="451">
        <v>-101638</v>
      </c>
      <c r="AR285" s="451">
        <v>-81311</v>
      </c>
      <c r="AS285" s="451">
        <v>-18295</v>
      </c>
      <c r="AT285" s="451">
        <v>-2033</v>
      </c>
      <c r="AU285" s="451">
        <v>-203277</v>
      </c>
      <c r="AV285" s="451">
        <v>425138</v>
      </c>
      <c r="AW285" s="451">
        <v>340110</v>
      </c>
      <c r="AX285" s="451">
        <v>76525</v>
      </c>
      <c r="AY285" s="451">
        <v>8503</v>
      </c>
      <c r="AZ285" s="451">
        <v>850276</v>
      </c>
      <c r="BA285" s="451">
        <v>0</v>
      </c>
      <c r="BB285" s="451">
        <v>0</v>
      </c>
      <c r="BC285" s="451">
        <v>0</v>
      </c>
      <c r="BD285" s="451">
        <v>0</v>
      </c>
      <c r="BE285" s="451">
        <v>0</v>
      </c>
      <c r="BF285" s="451">
        <v>449777</v>
      </c>
      <c r="BG285" s="451">
        <v>359822</v>
      </c>
      <c r="BH285" s="451">
        <v>80960</v>
      </c>
      <c r="BI285" s="451">
        <v>8996</v>
      </c>
      <c r="BJ285" s="451">
        <v>899555</v>
      </c>
      <c r="BK285" s="451">
        <v>449777</v>
      </c>
      <c r="BL285" s="451">
        <v>359822</v>
      </c>
      <c r="BM285" s="451">
        <v>80960</v>
      </c>
      <c r="BN285" s="451">
        <v>8996</v>
      </c>
      <c r="BO285" s="451">
        <v>899555</v>
      </c>
      <c r="BP285" s="451">
        <v>0</v>
      </c>
      <c r="BQ285" s="451">
        <v>0</v>
      </c>
      <c r="BR285" s="451">
        <v>0</v>
      </c>
      <c r="BS285" s="451">
        <v>0</v>
      </c>
      <c r="BT285" s="451">
        <v>0</v>
      </c>
      <c r="BU285" s="451">
        <v>1367645</v>
      </c>
      <c r="BV285" s="451">
        <v>1094116</v>
      </c>
      <c r="BW285" s="451">
        <v>246176</v>
      </c>
      <c r="BX285" s="451">
        <v>27353</v>
      </c>
      <c r="BY285" s="451">
        <v>2735290</v>
      </c>
      <c r="BZ285" s="451">
        <v>1367645</v>
      </c>
      <c r="CA285" s="451">
        <v>1094116</v>
      </c>
      <c r="CB285" s="451">
        <v>246176</v>
      </c>
      <c r="CC285" s="451">
        <v>27353</v>
      </c>
      <c r="CD285" s="451">
        <v>2735290</v>
      </c>
      <c r="CE285" s="104"/>
      <c r="CF285" s="104"/>
      <c r="CG285" s="104"/>
    </row>
    <row r="286" spans="1:85" ht="12.75" x14ac:dyDescent="0.2">
      <c r="A286" s="446">
        <v>279</v>
      </c>
      <c r="B286" s="447" t="s">
        <v>441</v>
      </c>
      <c r="C286" s="448" t="s">
        <v>1093</v>
      </c>
      <c r="D286" s="449" t="s">
        <v>1102</v>
      </c>
      <c r="E286" s="450" t="s">
        <v>440</v>
      </c>
      <c r="F286" s="451">
        <v>16187854</v>
      </c>
      <c r="G286" s="451">
        <v>12950283</v>
      </c>
      <c r="H286" s="451">
        <v>3237571</v>
      </c>
      <c r="I286" s="451">
        <v>0</v>
      </c>
      <c r="J286" s="451">
        <v>32375708</v>
      </c>
      <c r="K286" s="451">
        <v>0</v>
      </c>
      <c r="L286" s="451">
        <v>0</v>
      </c>
      <c r="M286" s="451">
        <v>16187854</v>
      </c>
      <c r="N286" s="451">
        <v>32375708</v>
      </c>
      <c r="O286" s="451">
        <v>124701</v>
      </c>
      <c r="P286" s="451">
        <v>124701</v>
      </c>
      <c r="Q286" s="451">
        <v>0</v>
      </c>
      <c r="R286" s="451">
        <v>0</v>
      </c>
      <c r="S286" s="451">
        <v>0</v>
      </c>
      <c r="T286" s="451">
        <v>0</v>
      </c>
      <c r="U286" s="451">
        <v>0</v>
      </c>
      <c r="V286" s="451">
        <v>0</v>
      </c>
      <c r="W286" s="451">
        <v>0</v>
      </c>
      <c r="X286" s="451">
        <v>0</v>
      </c>
      <c r="Y286" s="451">
        <v>0</v>
      </c>
      <c r="Z286" s="451">
        <v>0</v>
      </c>
      <c r="AA286" s="451">
        <v>0</v>
      </c>
      <c r="AB286" s="451">
        <v>443459.85</v>
      </c>
      <c r="AC286" s="451">
        <v>354768</v>
      </c>
      <c r="AD286" s="451">
        <v>88692</v>
      </c>
      <c r="AE286" s="451">
        <v>0</v>
      </c>
      <c r="AF286" s="451">
        <v>886919.85</v>
      </c>
      <c r="AG286" s="451">
        <v>-177877.63</v>
      </c>
      <c r="AH286" s="451">
        <v>-142303</v>
      </c>
      <c r="AI286" s="451">
        <v>-35576</v>
      </c>
      <c r="AJ286" s="451">
        <v>0</v>
      </c>
      <c r="AK286" s="451">
        <v>-355756.63</v>
      </c>
      <c r="AL286" s="451">
        <v>95500</v>
      </c>
      <c r="AM286" s="451">
        <v>76400</v>
      </c>
      <c r="AN286" s="451">
        <v>19100</v>
      </c>
      <c r="AO286" s="451">
        <v>0</v>
      </c>
      <c r="AP286" s="451">
        <v>191000</v>
      </c>
      <c r="AQ286" s="451">
        <v>13000</v>
      </c>
      <c r="AR286" s="451">
        <v>10400</v>
      </c>
      <c r="AS286" s="451">
        <v>2600</v>
      </c>
      <c r="AT286" s="451">
        <v>0</v>
      </c>
      <c r="AU286" s="451">
        <v>26000</v>
      </c>
      <c r="AV286" s="451">
        <v>108500</v>
      </c>
      <c r="AW286" s="451">
        <v>86800</v>
      </c>
      <c r="AX286" s="451">
        <v>21700</v>
      </c>
      <c r="AY286" s="451">
        <v>0</v>
      </c>
      <c r="AZ286" s="451">
        <v>217000</v>
      </c>
      <c r="BA286" s="451">
        <v>0</v>
      </c>
      <c r="BB286" s="451">
        <v>0</v>
      </c>
      <c r="BC286" s="451">
        <v>0</v>
      </c>
      <c r="BD286" s="451">
        <v>0</v>
      </c>
      <c r="BE286" s="451">
        <v>0</v>
      </c>
      <c r="BF286" s="451">
        <v>182935</v>
      </c>
      <c r="BG286" s="451">
        <v>146348</v>
      </c>
      <c r="BH286" s="451">
        <v>36587</v>
      </c>
      <c r="BI286" s="451">
        <v>0</v>
      </c>
      <c r="BJ286" s="451">
        <v>365870</v>
      </c>
      <c r="BK286" s="451">
        <v>182935</v>
      </c>
      <c r="BL286" s="451">
        <v>146348</v>
      </c>
      <c r="BM286" s="451">
        <v>36587</v>
      </c>
      <c r="BN286" s="451">
        <v>0</v>
      </c>
      <c r="BO286" s="451">
        <v>365870</v>
      </c>
      <c r="BP286" s="451">
        <v>0</v>
      </c>
      <c r="BQ286" s="451">
        <v>0</v>
      </c>
      <c r="BR286" s="451">
        <v>0</v>
      </c>
      <c r="BS286" s="451">
        <v>0</v>
      </c>
      <c r="BT286" s="451">
        <v>0</v>
      </c>
      <c r="BU286" s="451">
        <v>1283033</v>
      </c>
      <c r="BV286" s="451">
        <v>1026426</v>
      </c>
      <c r="BW286" s="451">
        <v>256607</v>
      </c>
      <c r="BX286" s="451">
        <v>0</v>
      </c>
      <c r="BY286" s="451">
        <v>2566066</v>
      </c>
      <c r="BZ286" s="451">
        <v>1283033</v>
      </c>
      <c r="CA286" s="451">
        <v>1026426</v>
      </c>
      <c r="CB286" s="451">
        <v>256607</v>
      </c>
      <c r="CC286" s="451">
        <v>0</v>
      </c>
      <c r="CD286" s="451">
        <v>2566066</v>
      </c>
      <c r="CE286" s="104"/>
      <c r="CF286" s="104"/>
      <c r="CG286" s="104"/>
    </row>
    <row r="287" spans="1:85" ht="12.75" x14ac:dyDescent="0.2">
      <c r="A287" s="446">
        <v>280</v>
      </c>
      <c r="B287" s="447" t="s">
        <v>443</v>
      </c>
      <c r="C287" s="448" t="s">
        <v>1093</v>
      </c>
      <c r="D287" s="449" t="s">
        <v>1094</v>
      </c>
      <c r="E287" s="450" t="s">
        <v>442</v>
      </c>
      <c r="F287" s="451">
        <v>14977572</v>
      </c>
      <c r="G287" s="451">
        <v>11982058</v>
      </c>
      <c r="H287" s="451">
        <v>2695963</v>
      </c>
      <c r="I287" s="451">
        <v>299551</v>
      </c>
      <c r="J287" s="451">
        <v>29955144</v>
      </c>
      <c r="K287" s="451">
        <v>0</v>
      </c>
      <c r="L287" s="451">
        <v>0</v>
      </c>
      <c r="M287" s="451">
        <v>14977572</v>
      </c>
      <c r="N287" s="451">
        <v>29955144</v>
      </c>
      <c r="O287" s="451">
        <v>191907</v>
      </c>
      <c r="P287" s="451">
        <v>191907</v>
      </c>
      <c r="Q287" s="451">
        <v>0</v>
      </c>
      <c r="R287" s="451">
        <v>0</v>
      </c>
      <c r="S287" s="451">
        <v>0</v>
      </c>
      <c r="T287" s="451">
        <v>0</v>
      </c>
      <c r="U287" s="451">
        <v>0</v>
      </c>
      <c r="V287" s="451">
        <v>0</v>
      </c>
      <c r="W287" s="451">
        <v>0</v>
      </c>
      <c r="X287" s="451">
        <v>0</v>
      </c>
      <c r="Y287" s="451">
        <v>0</v>
      </c>
      <c r="Z287" s="451">
        <v>0</v>
      </c>
      <c r="AA287" s="451">
        <v>0</v>
      </c>
      <c r="AB287" s="451">
        <v>1036825</v>
      </c>
      <c r="AC287" s="451">
        <v>829460</v>
      </c>
      <c r="AD287" s="451">
        <v>186628</v>
      </c>
      <c r="AE287" s="451">
        <v>20736</v>
      </c>
      <c r="AF287" s="451">
        <v>2073649</v>
      </c>
      <c r="AG287" s="451">
        <v>684532</v>
      </c>
      <c r="AH287" s="451">
        <v>547626</v>
      </c>
      <c r="AI287" s="451">
        <v>123216</v>
      </c>
      <c r="AJ287" s="451">
        <v>13691</v>
      </c>
      <c r="AK287" s="451">
        <v>1369065</v>
      </c>
      <c r="AL287" s="451">
        <v>571061</v>
      </c>
      <c r="AM287" s="451">
        <v>456848</v>
      </c>
      <c r="AN287" s="451">
        <v>102791</v>
      </c>
      <c r="AO287" s="451">
        <v>11421</v>
      </c>
      <c r="AP287" s="451">
        <v>1142121</v>
      </c>
      <c r="AQ287" s="451">
        <v>-28728</v>
      </c>
      <c r="AR287" s="451">
        <v>-22983</v>
      </c>
      <c r="AS287" s="451">
        <v>-5171</v>
      </c>
      <c r="AT287" s="451">
        <v>-575</v>
      </c>
      <c r="AU287" s="451">
        <v>-57457</v>
      </c>
      <c r="AV287" s="451">
        <v>542333</v>
      </c>
      <c r="AW287" s="451">
        <v>433865</v>
      </c>
      <c r="AX287" s="451">
        <v>97620</v>
      </c>
      <c r="AY287" s="451">
        <v>10846</v>
      </c>
      <c r="AZ287" s="451">
        <v>1084664</v>
      </c>
      <c r="BA287" s="451">
        <v>0</v>
      </c>
      <c r="BB287" s="451">
        <v>0</v>
      </c>
      <c r="BC287" s="451">
        <v>0</v>
      </c>
      <c r="BD287" s="451">
        <v>0</v>
      </c>
      <c r="BE287" s="451">
        <v>0</v>
      </c>
      <c r="BF287" s="451">
        <v>186931</v>
      </c>
      <c r="BG287" s="451">
        <v>149546</v>
      </c>
      <c r="BH287" s="451">
        <v>33648</v>
      </c>
      <c r="BI287" s="451">
        <v>3739</v>
      </c>
      <c r="BJ287" s="451">
        <v>373864</v>
      </c>
      <c r="BK287" s="451">
        <v>186931</v>
      </c>
      <c r="BL287" s="451">
        <v>149546</v>
      </c>
      <c r="BM287" s="451">
        <v>33648</v>
      </c>
      <c r="BN287" s="451">
        <v>3739</v>
      </c>
      <c r="BO287" s="451">
        <v>373864</v>
      </c>
      <c r="BP287" s="451">
        <v>0</v>
      </c>
      <c r="BQ287" s="451">
        <v>0</v>
      </c>
      <c r="BR287" s="451">
        <v>0</v>
      </c>
      <c r="BS287" s="451">
        <v>0</v>
      </c>
      <c r="BT287" s="451">
        <v>0</v>
      </c>
      <c r="BU287" s="451">
        <v>67209</v>
      </c>
      <c r="BV287" s="451">
        <v>53767</v>
      </c>
      <c r="BW287" s="451">
        <v>12098</v>
      </c>
      <c r="BX287" s="451">
        <v>1344</v>
      </c>
      <c r="BY287" s="451">
        <v>134418</v>
      </c>
      <c r="BZ287" s="451">
        <v>67209</v>
      </c>
      <c r="CA287" s="451">
        <v>53767</v>
      </c>
      <c r="CB287" s="451">
        <v>12098</v>
      </c>
      <c r="CC287" s="451">
        <v>1344</v>
      </c>
      <c r="CD287" s="451">
        <v>134418</v>
      </c>
      <c r="CE287" s="104"/>
      <c r="CF287" s="104"/>
      <c r="CG287" s="104"/>
    </row>
    <row r="288" spans="1:85" ht="12.75" x14ac:dyDescent="0.2">
      <c r="A288" s="446">
        <v>281</v>
      </c>
      <c r="B288" s="447" t="s">
        <v>445</v>
      </c>
      <c r="C288" s="448" t="s">
        <v>1093</v>
      </c>
      <c r="D288" s="449" t="s">
        <v>1097</v>
      </c>
      <c r="E288" s="450" t="s">
        <v>444</v>
      </c>
      <c r="F288" s="451">
        <v>12642027</v>
      </c>
      <c r="G288" s="451">
        <v>10113622</v>
      </c>
      <c r="H288" s="451">
        <v>2528406</v>
      </c>
      <c r="I288" s="451">
        <v>0</v>
      </c>
      <c r="J288" s="451">
        <v>25284055</v>
      </c>
      <c r="K288" s="451">
        <v>0</v>
      </c>
      <c r="L288" s="451">
        <v>0</v>
      </c>
      <c r="M288" s="451">
        <v>12642027</v>
      </c>
      <c r="N288" s="451">
        <v>25284055</v>
      </c>
      <c r="O288" s="451">
        <v>101285</v>
      </c>
      <c r="P288" s="451">
        <v>101285</v>
      </c>
      <c r="Q288" s="451">
        <v>0</v>
      </c>
      <c r="R288" s="451">
        <v>0</v>
      </c>
      <c r="S288" s="451">
        <v>0</v>
      </c>
      <c r="T288" s="451">
        <v>0</v>
      </c>
      <c r="U288" s="451">
        <v>0</v>
      </c>
      <c r="V288" s="451">
        <v>0</v>
      </c>
      <c r="W288" s="451">
        <v>0</v>
      </c>
      <c r="X288" s="451">
        <v>0</v>
      </c>
      <c r="Y288" s="451">
        <v>0</v>
      </c>
      <c r="Z288" s="451">
        <v>0</v>
      </c>
      <c r="AA288" s="451">
        <v>0</v>
      </c>
      <c r="AB288" s="451">
        <v>921231</v>
      </c>
      <c r="AC288" s="451">
        <v>736985</v>
      </c>
      <c r="AD288" s="451">
        <v>184246</v>
      </c>
      <c r="AE288" s="451">
        <v>0</v>
      </c>
      <c r="AF288" s="451">
        <v>1842462</v>
      </c>
      <c r="AG288" s="451">
        <v>-663792</v>
      </c>
      <c r="AH288" s="451">
        <v>-531033</v>
      </c>
      <c r="AI288" s="451">
        <v>-132758</v>
      </c>
      <c r="AJ288" s="451">
        <v>0</v>
      </c>
      <c r="AK288" s="451">
        <v>-1327583</v>
      </c>
      <c r="AL288" s="451">
        <v>471000</v>
      </c>
      <c r="AM288" s="451">
        <v>376800</v>
      </c>
      <c r="AN288" s="451">
        <v>94200</v>
      </c>
      <c r="AO288" s="451">
        <v>0</v>
      </c>
      <c r="AP288" s="451">
        <v>942000</v>
      </c>
      <c r="AQ288" s="451">
        <v>30500</v>
      </c>
      <c r="AR288" s="451">
        <v>24400</v>
      </c>
      <c r="AS288" s="451">
        <v>6100</v>
      </c>
      <c r="AT288" s="451">
        <v>0</v>
      </c>
      <c r="AU288" s="451">
        <v>61000</v>
      </c>
      <c r="AV288" s="451">
        <v>501500</v>
      </c>
      <c r="AW288" s="451">
        <v>401200</v>
      </c>
      <c r="AX288" s="451">
        <v>100300</v>
      </c>
      <c r="AY288" s="451">
        <v>0</v>
      </c>
      <c r="AZ288" s="451">
        <v>1003000</v>
      </c>
      <c r="BA288" s="451">
        <v>0</v>
      </c>
      <c r="BB288" s="451">
        <v>0</v>
      </c>
      <c r="BC288" s="451">
        <v>0</v>
      </c>
      <c r="BD288" s="451">
        <v>0</v>
      </c>
      <c r="BE288" s="451">
        <v>0</v>
      </c>
      <c r="BF288" s="451">
        <v>177821</v>
      </c>
      <c r="BG288" s="451">
        <v>142256</v>
      </c>
      <c r="BH288" s="451">
        <v>35564</v>
      </c>
      <c r="BI288" s="451">
        <v>0</v>
      </c>
      <c r="BJ288" s="451">
        <v>355641</v>
      </c>
      <c r="BK288" s="451">
        <v>177821</v>
      </c>
      <c r="BL288" s="451">
        <v>142256</v>
      </c>
      <c r="BM288" s="451">
        <v>35564</v>
      </c>
      <c r="BN288" s="451">
        <v>0</v>
      </c>
      <c r="BO288" s="451">
        <v>355641</v>
      </c>
      <c r="BP288" s="451">
        <v>0</v>
      </c>
      <c r="BQ288" s="451">
        <v>0</v>
      </c>
      <c r="BR288" s="451">
        <v>0</v>
      </c>
      <c r="BS288" s="451">
        <v>0</v>
      </c>
      <c r="BT288" s="451">
        <v>0</v>
      </c>
      <c r="BU288" s="451">
        <v>465933</v>
      </c>
      <c r="BV288" s="451">
        <v>372746</v>
      </c>
      <c r="BW288" s="451">
        <v>93187</v>
      </c>
      <c r="BX288" s="451">
        <v>0</v>
      </c>
      <c r="BY288" s="451">
        <v>931866</v>
      </c>
      <c r="BZ288" s="451">
        <v>465933</v>
      </c>
      <c r="CA288" s="451">
        <v>372746</v>
      </c>
      <c r="CB288" s="451">
        <v>93187</v>
      </c>
      <c r="CC288" s="451">
        <v>0</v>
      </c>
      <c r="CD288" s="451">
        <v>931866</v>
      </c>
      <c r="CE288" s="104"/>
      <c r="CF288" s="104"/>
      <c r="CG288" s="104"/>
    </row>
    <row r="289" spans="1:85" ht="12.75" x14ac:dyDescent="0.2">
      <c r="A289" s="446">
        <v>282</v>
      </c>
      <c r="B289" s="447" t="s">
        <v>447</v>
      </c>
      <c r="C289" s="448" t="s">
        <v>794</v>
      </c>
      <c r="D289" s="449" t="s">
        <v>1097</v>
      </c>
      <c r="E289" s="450" t="s">
        <v>751</v>
      </c>
      <c r="F289" s="451">
        <v>49072206</v>
      </c>
      <c r="G289" s="451">
        <v>48090761</v>
      </c>
      <c r="H289" s="451">
        <v>0</v>
      </c>
      <c r="I289" s="451">
        <v>981444</v>
      </c>
      <c r="J289" s="451">
        <v>98144411</v>
      </c>
      <c r="K289" s="451">
        <v>0</v>
      </c>
      <c r="L289" s="451">
        <v>0</v>
      </c>
      <c r="M289" s="451">
        <v>49072206</v>
      </c>
      <c r="N289" s="451">
        <v>98144411</v>
      </c>
      <c r="O289" s="451">
        <v>222500</v>
      </c>
      <c r="P289" s="451">
        <v>222500</v>
      </c>
      <c r="Q289" s="451">
        <v>0</v>
      </c>
      <c r="R289" s="451">
        <v>0</v>
      </c>
      <c r="S289" s="451">
        <v>0</v>
      </c>
      <c r="T289" s="451">
        <v>0</v>
      </c>
      <c r="U289" s="451">
        <v>0</v>
      </c>
      <c r="V289" s="451">
        <v>0</v>
      </c>
      <c r="W289" s="451">
        <v>0</v>
      </c>
      <c r="X289" s="451">
        <v>0</v>
      </c>
      <c r="Y289" s="451">
        <v>0</v>
      </c>
      <c r="Z289" s="451">
        <v>0</v>
      </c>
      <c r="AA289" s="451">
        <v>0</v>
      </c>
      <c r="AB289" s="451">
        <v>1184132</v>
      </c>
      <c r="AC289" s="451">
        <v>1160450</v>
      </c>
      <c r="AD289" s="451">
        <v>0</v>
      </c>
      <c r="AE289" s="451">
        <v>23683</v>
      </c>
      <c r="AF289" s="451">
        <v>2368265</v>
      </c>
      <c r="AG289" s="451">
        <v>64432</v>
      </c>
      <c r="AH289" s="451">
        <v>63144</v>
      </c>
      <c r="AI289" s="451">
        <v>0</v>
      </c>
      <c r="AJ289" s="451">
        <v>1289</v>
      </c>
      <c r="AK289" s="451">
        <v>128865</v>
      </c>
      <c r="AL289" s="451">
        <v>0</v>
      </c>
      <c r="AM289" s="451">
        <v>0</v>
      </c>
      <c r="AN289" s="451">
        <v>0</v>
      </c>
      <c r="AO289" s="451">
        <v>0</v>
      </c>
      <c r="AP289" s="451">
        <v>0</v>
      </c>
      <c r="AQ289" s="451">
        <v>131424</v>
      </c>
      <c r="AR289" s="451">
        <v>128795</v>
      </c>
      <c r="AS289" s="451">
        <v>0</v>
      </c>
      <c r="AT289" s="451">
        <v>2628</v>
      </c>
      <c r="AU289" s="451">
        <v>262847</v>
      </c>
      <c r="AV289" s="451">
        <v>131424</v>
      </c>
      <c r="AW289" s="451">
        <v>128795</v>
      </c>
      <c r="AX289" s="451">
        <v>0</v>
      </c>
      <c r="AY289" s="451">
        <v>2628</v>
      </c>
      <c r="AZ289" s="451">
        <v>262847</v>
      </c>
      <c r="BA289" s="451">
        <v>0</v>
      </c>
      <c r="BB289" s="451">
        <v>0</v>
      </c>
      <c r="BC289" s="451">
        <v>0</v>
      </c>
      <c r="BD289" s="451">
        <v>0</v>
      </c>
      <c r="BE289" s="451">
        <v>0</v>
      </c>
      <c r="BF289" s="451">
        <v>1910548</v>
      </c>
      <c r="BG289" s="451">
        <v>1872338</v>
      </c>
      <c r="BH289" s="451">
        <v>0</v>
      </c>
      <c r="BI289" s="451">
        <v>38211</v>
      </c>
      <c r="BJ289" s="451">
        <v>3821097</v>
      </c>
      <c r="BK289" s="451">
        <v>1910548</v>
      </c>
      <c r="BL289" s="451">
        <v>1872338</v>
      </c>
      <c r="BM289" s="451">
        <v>0</v>
      </c>
      <c r="BN289" s="451">
        <v>38211</v>
      </c>
      <c r="BO289" s="451">
        <v>3821097</v>
      </c>
      <c r="BP289" s="451">
        <v>0</v>
      </c>
      <c r="BQ289" s="451">
        <v>0</v>
      </c>
      <c r="BR289" s="451">
        <v>0</v>
      </c>
      <c r="BS289" s="451">
        <v>0</v>
      </c>
      <c r="BT289" s="451">
        <v>0</v>
      </c>
      <c r="BU289" s="451">
        <v>4587989</v>
      </c>
      <c r="BV289" s="451">
        <v>4496229</v>
      </c>
      <c r="BW289" s="451">
        <v>0</v>
      </c>
      <c r="BX289" s="451">
        <v>91760</v>
      </c>
      <c r="BY289" s="451">
        <v>9175978</v>
      </c>
      <c r="BZ289" s="451">
        <v>4587989</v>
      </c>
      <c r="CA289" s="451">
        <v>4496229</v>
      </c>
      <c r="CB289" s="451">
        <v>0</v>
      </c>
      <c r="CC289" s="451">
        <v>91760</v>
      </c>
      <c r="CD289" s="451">
        <v>9175978</v>
      </c>
      <c r="CE289" s="104" t="s">
        <v>1120</v>
      </c>
      <c r="CF289" s="104"/>
      <c r="CG289" s="104"/>
    </row>
    <row r="290" spans="1:85" ht="12.75" x14ac:dyDescent="0.2">
      <c r="A290" s="446">
        <v>283</v>
      </c>
      <c r="B290" s="447" t="s">
        <v>449</v>
      </c>
      <c r="C290" s="448" t="s">
        <v>1093</v>
      </c>
      <c r="D290" s="449" t="s">
        <v>1094</v>
      </c>
      <c r="E290" s="450" t="s">
        <v>752</v>
      </c>
      <c r="F290" s="451">
        <v>24558214</v>
      </c>
      <c r="G290" s="451">
        <v>19646572</v>
      </c>
      <c r="H290" s="451">
        <v>4420479</v>
      </c>
      <c r="I290" s="451">
        <v>491164</v>
      </c>
      <c r="J290" s="451">
        <v>49116429</v>
      </c>
      <c r="K290" s="451">
        <v>0</v>
      </c>
      <c r="L290" s="451">
        <v>0</v>
      </c>
      <c r="M290" s="451">
        <v>24558214</v>
      </c>
      <c r="N290" s="451">
        <v>49116429</v>
      </c>
      <c r="O290" s="451">
        <v>168018</v>
      </c>
      <c r="P290" s="451">
        <v>168018</v>
      </c>
      <c r="Q290" s="451">
        <v>0</v>
      </c>
      <c r="R290" s="451">
        <v>0</v>
      </c>
      <c r="S290" s="451">
        <v>0</v>
      </c>
      <c r="T290" s="451">
        <v>0</v>
      </c>
      <c r="U290" s="451">
        <v>0</v>
      </c>
      <c r="V290" s="451">
        <v>0</v>
      </c>
      <c r="W290" s="451">
        <v>0</v>
      </c>
      <c r="X290" s="451">
        <v>0</v>
      </c>
      <c r="Y290" s="451">
        <v>0</v>
      </c>
      <c r="Z290" s="451">
        <v>0</v>
      </c>
      <c r="AA290" s="451">
        <v>0</v>
      </c>
      <c r="AB290" s="451">
        <v>861119</v>
      </c>
      <c r="AC290" s="451">
        <v>688894</v>
      </c>
      <c r="AD290" s="451">
        <v>155001</v>
      </c>
      <c r="AE290" s="451">
        <v>17222</v>
      </c>
      <c r="AF290" s="451">
        <v>1722236</v>
      </c>
      <c r="AG290" s="451">
        <v>979528</v>
      </c>
      <c r="AH290" s="451">
        <v>783623</v>
      </c>
      <c r="AI290" s="451">
        <v>176315</v>
      </c>
      <c r="AJ290" s="451">
        <v>19591</v>
      </c>
      <c r="AK290" s="451">
        <v>1959057</v>
      </c>
      <c r="AL290" s="451">
        <v>165000</v>
      </c>
      <c r="AM290" s="451">
        <v>132000</v>
      </c>
      <c r="AN290" s="451">
        <v>29700</v>
      </c>
      <c r="AO290" s="451">
        <v>3300</v>
      </c>
      <c r="AP290" s="451">
        <v>330000</v>
      </c>
      <c r="AQ290" s="451">
        <v>40000</v>
      </c>
      <c r="AR290" s="451">
        <v>32000</v>
      </c>
      <c r="AS290" s="451">
        <v>7200</v>
      </c>
      <c r="AT290" s="451">
        <v>800</v>
      </c>
      <c r="AU290" s="451">
        <v>80000</v>
      </c>
      <c r="AV290" s="451">
        <v>205000</v>
      </c>
      <c r="AW290" s="451">
        <v>164000</v>
      </c>
      <c r="AX290" s="451">
        <v>36900</v>
      </c>
      <c r="AY290" s="451">
        <v>4100</v>
      </c>
      <c r="AZ290" s="451">
        <v>410000</v>
      </c>
      <c r="BA290" s="451">
        <v>0</v>
      </c>
      <c r="BB290" s="451">
        <v>0</v>
      </c>
      <c r="BC290" s="451">
        <v>0</v>
      </c>
      <c r="BD290" s="451">
        <v>0</v>
      </c>
      <c r="BE290" s="451">
        <v>0</v>
      </c>
      <c r="BF290" s="451">
        <v>267500</v>
      </c>
      <c r="BG290" s="451">
        <v>214000</v>
      </c>
      <c r="BH290" s="451">
        <v>48150</v>
      </c>
      <c r="BI290" s="451">
        <v>5350</v>
      </c>
      <c r="BJ290" s="451">
        <v>535000</v>
      </c>
      <c r="BK290" s="451">
        <v>267500</v>
      </c>
      <c r="BL290" s="451">
        <v>214000</v>
      </c>
      <c r="BM290" s="451">
        <v>48150</v>
      </c>
      <c r="BN290" s="451">
        <v>5350</v>
      </c>
      <c r="BO290" s="451">
        <v>535000</v>
      </c>
      <c r="BP290" s="451">
        <v>0</v>
      </c>
      <c r="BQ290" s="451">
        <v>0</v>
      </c>
      <c r="BR290" s="451">
        <v>0</v>
      </c>
      <c r="BS290" s="451">
        <v>0</v>
      </c>
      <c r="BT290" s="451">
        <v>0</v>
      </c>
      <c r="BU290" s="451">
        <v>802500</v>
      </c>
      <c r="BV290" s="451">
        <v>642000</v>
      </c>
      <c r="BW290" s="451">
        <v>144450</v>
      </c>
      <c r="BX290" s="451">
        <v>16050</v>
      </c>
      <c r="BY290" s="451">
        <v>1605000</v>
      </c>
      <c r="BZ290" s="451">
        <v>802500</v>
      </c>
      <c r="CA290" s="451">
        <v>642000</v>
      </c>
      <c r="CB290" s="451">
        <v>144450</v>
      </c>
      <c r="CC290" s="451">
        <v>16050</v>
      </c>
      <c r="CD290" s="451">
        <v>1605000</v>
      </c>
      <c r="CE290" s="104"/>
      <c r="CF290" s="104"/>
      <c r="CG290" s="104"/>
    </row>
    <row r="291" spans="1:85" ht="12.75" x14ac:dyDescent="0.2">
      <c r="A291" s="446">
        <v>284</v>
      </c>
      <c r="B291" s="447" t="s">
        <v>451</v>
      </c>
      <c r="C291" s="448" t="s">
        <v>794</v>
      </c>
      <c r="D291" s="449" t="s">
        <v>1102</v>
      </c>
      <c r="E291" s="450" t="s">
        <v>753</v>
      </c>
      <c r="F291" s="451">
        <v>16309385</v>
      </c>
      <c r="G291" s="451">
        <v>15983198</v>
      </c>
      <c r="H291" s="451">
        <v>0</v>
      </c>
      <c r="I291" s="451">
        <v>326188</v>
      </c>
      <c r="J291" s="451">
        <v>32618771</v>
      </c>
      <c r="K291" s="451">
        <v>0</v>
      </c>
      <c r="L291" s="451">
        <v>0</v>
      </c>
      <c r="M291" s="451">
        <v>16309385</v>
      </c>
      <c r="N291" s="451">
        <v>32618771</v>
      </c>
      <c r="O291" s="451">
        <v>206989</v>
      </c>
      <c r="P291" s="451">
        <v>206989</v>
      </c>
      <c r="Q291" s="451">
        <v>0</v>
      </c>
      <c r="R291" s="451">
        <v>0</v>
      </c>
      <c r="S291" s="451">
        <v>0</v>
      </c>
      <c r="T291" s="451">
        <v>0</v>
      </c>
      <c r="U291" s="451">
        <v>0</v>
      </c>
      <c r="V291" s="451">
        <v>0</v>
      </c>
      <c r="W291" s="451">
        <v>0</v>
      </c>
      <c r="X291" s="451">
        <v>0</v>
      </c>
      <c r="Y291" s="451">
        <v>0</v>
      </c>
      <c r="Z291" s="451">
        <v>0</v>
      </c>
      <c r="AA291" s="451">
        <v>0</v>
      </c>
      <c r="AB291" s="451">
        <v>774653</v>
      </c>
      <c r="AC291" s="451">
        <v>759159</v>
      </c>
      <c r="AD291" s="451">
        <v>0</v>
      </c>
      <c r="AE291" s="451">
        <v>15493</v>
      </c>
      <c r="AF291" s="451">
        <v>1549305</v>
      </c>
      <c r="AG291" s="451">
        <v>-208548.65</v>
      </c>
      <c r="AH291" s="451">
        <v>-204377</v>
      </c>
      <c r="AI291" s="451">
        <v>0</v>
      </c>
      <c r="AJ291" s="451">
        <v>-4171</v>
      </c>
      <c r="AK291" s="451">
        <v>-417096.65</v>
      </c>
      <c r="AL291" s="451">
        <v>332791</v>
      </c>
      <c r="AM291" s="451">
        <v>326135</v>
      </c>
      <c r="AN291" s="451">
        <v>0</v>
      </c>
      <c r="AO291" s="451">
        <v>6656</v>
      </c>
      <c r="AP291" s="451">
        <v>665582</v>
      </c>
      <c r="AQ291" s="451">
        <v>123042</v>
      </c>
      <c r="AR291" s="451">
        <v>120582</v>
      </c>
      <c r="AS291" s="451">
        <v>0</v>
      </c>
      <c r="AT291" s="451">
        <v>2461</v>
      </c>
      <c r="AU291" s="451">
        <v>246085</v>
      </c>
      <c r="AV291" s="451">
        <v>455833</v>
      </c>
      <c r="AW291" s="451">
        <v>446717</v>
      </c>
      <c r="AX291" s="451">
        <v>0</v>
      </c>
      <c r="AY291" s="451">
        <v>9117</v>
      </c>
      <c r="AZ291" s="451">
        <v>911667</v>
      </c>
      <c r="BA291" s="451">
        <v>0</v>
      </c>
      <c r="BB291" s="451">
        <v>0</v>
      </c>
      <c r="BC291" s="451">
        <v>0</v>
      </c>
      <c r="BD291" s="451">
        <v>0</v>
      </c>
      <c r="BE291" s="451">
        <v>0</v>
      </c>
      <c r="BF291" s="451">
        <v>360377</v>
      </c>
      <c r="BG291" s="451">
        <v>353170</v>
      </c>
      <c r="BH291" s="451">
        <v>0</v>
      </c>
      <c r="BI291" s="451">
        <v>7208</v>
      </c>
      <c r="BJ291" s="451">
        <v>720755</v>
      </c>
      <c r="BK291" s="451">
        <v>360377</v>
      </c>
      <c r="BL291" s="451">
        <v>353170</v>
      </c>
      <c r="BM291" s="451">
        <v>0</v>
      </c>
      <c r="BN291" s="451">
        <v>7208</v>
      </c>
      <c r="BO291" s="451">
        <v>720755</v>
      </c>
      <c r="BP291" s="451">
        <v>0</v>
      </c>
      <c r="BQ291" s="451">
        <v>0</v>
      </c>
      <c r="BR291" s="451">
        <v>0</v>
      </c>
      <c r="BS291" s="451">
        <v>0</v>
      </c>
      <c r="BT291" s="451">
        <v>0</v>
      </c>
      <c r="BU291" s="451">
        <v>903202</v>
      </c>
      <c r="BV291" s="451">
        <v>885137</v>
      </c>
      <c r="BW291" s="451">
        <v>0</v>
      </c>
      <c r="BX291" s="451">
        <v>18064</v>
      </c>
      <c r="BY291" s="451">
        <v>1806403</v>
      </c>
      <c r="BZ291" s="451">
        <v>903202</v>
      </c>
      <c r="CA291" s="451">
        <v>885137</v>
      </c>
      <c r="CB291" s="451">
        <v>0</v>
      </c>
      <c r="CC291" s="451">
        <v>18064</v>
      </c>
      <c r="CD291" s="451">
        <v>1806403</v>
      </c>
      <c r="CE291" s="104"/>
      <c r="CF291" s="104"/>
      <c r="CG291" s="104"/>
    </row>
    <row r="292" spans="1:85" ht="12.75" x14ac:dyDescent="0.2">
      <c r="A292" s="446">
        <v>285</v>
      </c>
      <c r="B292" s="447" t="s">
        <v>453</v>
      </c>
      <c r="C292" s="448" t="s">
        <v>1093</v>
      </c>
      <c r="D292" s="449" t="s">
        <v>1102</v>
      </c>
      <c r="E292" s="450" t="s">
        <v>452</v>
      </c>
      <c r="F292" s="451">
        <v>4837019</v>
      </c>
      <c r="G292" s="451">
        <v>3869615</v>
      </c>
      <c r="H292" s="451">
        <v>870663</v>
      </c>
      <c r="I292" s="451">
        <v>96740</v>
      </c>
      <c r="J292" s="451">
        <v>9674037</v>
      </c>
      <c r="K292" s="451">
        <v>0</v>
      </c>
      <c r="L292" s="451">
        <v>0</v>
      </c>
      <c r="M292" s="451">
        <v>4837019</v>
      </c>
      <c r="N292" s="451">
        <v>9674037</v>
      </c>
      <c r="O292" s="451">
        <v>121660</v>
      </c>
      <c r="P292" s="451">
        <v>121660</v>
      </c>
      <c r="Q292" s="451">
        <v>0</v>
      </c>
      <c r="R292" s="451">
        <v>0</v>
      </c>
      <c r="S292" s="451">
        <v>0</v>
      </c>
      <c r="T292" s="451">
        <v>0</v>
      </c>
      <c r="U292" s="451">
        <v>51309</v>
      </c>
      <c r="V292" s="451">
        <v>0</v>
      </c>
      <c r="W292" s="451">
        <v>51309</v>
      </c>
      <c r="X292" s="451">
        <v>0</v>
      </c>
      <c r="Y292" s="451">
        <v>0</v>
      </c>
      <c r="Z292" s="451">
        <v>0</v>
      </c>
      <c r="AA292" s="451">
        <v>0</v>
      </c>
      <c r="AB292" s="451">
        <v>166034</v>
      </c>
      <c r="AC292" s="451">
        <v>132827</v>
      </c>
      <c r="AD292" s="451">
        <v>29886</v>
      </c>
      <c r="AE292" s="451">
        <v>3321</v>
      </c>
      <c r="AF292" s="451">
        <v>332068</v>
      </c>
      <c r="AG292" s="451">
        <v>68080</v>
      </c>
      <c r="AH292" s="451">
        <v>54465</v>
      </c>
      <c r="AI292" s="451">
        <v>12255</v>
      </c>
      <c r="AJ292" s="451">
        <v>1362</v>
      </c>
      <c r="AK292" s="451">
        <v>136162</v>
      </c>
      <c r="AL292" s="451">
        <v>37367</v>
      </c>
      <c r="AM292" s="451">
        <v>29893</v>
      </c>
      <c r="AN292" s="451">
        <v>6726</v>
      </c>
      <c r="AO292" s="451">
        <v>747</v>
      </c>
      <c r="AP292" s="451">
        <v>74733</v>
      </c>
      <c r="AQ292" s="451">
        <v>17340</v>
      </c>
      <c r="AR292" s="451">
        <v>13872</v>
      </c>
      <c r="AS292" s="451">
        <v>3121</v>
      </c>
      <c r="AT292" s="451">
        <v>347</v>
      </c>
      <c r="AU292" s="451">
        <v>34680</v>
      </c>
      <c r="AV292" s="451">
        <v>54707</v>
      </c>
      <c r="AW292" s="451">
        <v>43765</v>
      </c>
      <c r="AX292" s="451">
        <v>9847</v>
      </c>
      <c r="AY292" s="451">
        <v>1094</v>
      </c>
      <c r="AZ292" s="451">
        <v>109413</v>
      </c>
      <c r="BA292" s="451">
        <v>0</v>
      </c>
      <c r="BB292" s="451">
        <v>0</v>
      </c>
      <c r="BC292" s="451">
        <v>0</v>
      </c>
      <c r="BD292" s="451">
        <v>0</v>
      </c>
      <c r="BE292" s="451">
        <v>0</v>
      </c>
      <c r="BF292" s="451">
        <v>84078</v>
      </c>
      <c r="BG292" s="451">
        <v>67262</v>
      </c>
      <c r="BH292" s="451">
        <v>15134</v>
      </c>
      <c r="BI292" s="451">
        <v>1682</v>
      </c>
      <c r="BJ292" s="451">
        <v>168156</v>
      </c>
      <c r="BK292" s="451">
        <v>84078</v>
      </c>
      <c r="BL292" s="451">
        <v>67262</v>
      </c>
      <c r="BM292" s="451">
        <v>15134</v>
      </c>
      <c r="BN292" s="451">
        <v>1682</v>
      </c>
      <c r="BO292" s="451">
        <v>168156</v>
      </c>
      <c r="BP292" s="451">
        <v>0</v>
      </c>
      <c r="BQ292" s="451">
        <v>0</v>
      </c>
      <c r="BR292" s="451">
        <v>0</v>
      </c>
      <c r="BS292" s="451">
        <v>0</v>
      </c>
      <c r="BT292" s="451">
        <v>0</v>
      </c>
      <c r="BU292" s="451">
        <v>232999</v>
      </c>
      <c r="BV292" s="451">
        <v>186399</v>
      </c>
      <c r="BW292" s="451">
        <v>41940</v>
      </c>
      <c r="BX292" s="451">
        <v>4660</v>
      </c>
      <c r="BY292" s="451">
        <v>465998</v>
      </c>
      <c r="BZ292" s="451">
        <v>232999</v>
      </c>
      <c r="CA292" s="451">
        <v>186399</v>
      </c>
      <c r="CB292" s="451">
        <v>41940</v>
      </c>
      <c r="CC292" s="451">
        <v>4660</v>
      </c>
      <c r="CD292" s="451">
        <v>465998</v>
      </c>
      <c r="CE292" s="104"/>
      <c r="CF292" s="104"/>
      <c r="CG292" s="104"/>
    </row>
    <row r="293" spans="1:85" ht="12.75" x14ac:dyDescent="0.2">
      <c r="A293" s="446">
        <v>286</v>
      </c>
      <c r="B293" s="447" t="s">
        <v>455</v>
      </c>
      <c r="C293" s="448" t="s">
        <v>1104</v>
      </c>
      <c r="D293" s="449" t="s">
        <v>1099</v>
      </c>
      <c r="E293" s="450" t="s">
        <v>454</v>
      </c>
      <c r="F293" s="451">
        <v>160430926</v>
      </c>
      <c r="G293" s="451">
        <v>96258556</v>
      </c>
      <c r="H293" s="451">
        <v>64172371</v>
      </c>
      <c r="I293" s="451">
        <v>0</v>
      </c>
      <c r="J293" s="451">
        <v>320861853</v>
      </c>
      <c r="K293" s="451">
        <v>0</v>
      </c>
      <c r="L293" s="451">
        <v>0</v>
      </c>
      <c r="M293" s="451">
        <v>160430926</v>
      </c>
      <c r="N293" s="451">
        <v>320861853</v>
      </c>
      <c r="O293" s="451">
        <v>944275</v>
      </c>
      <c r="P293" s="451">
        <v>944275</v>
      </c>
      <c r="Q293" s="451">
        <v>0</v>
      </c>
      <c r="R293" s="451">
        <v>0</v>
      </c>
      <c r="S293" s="451">
        <v>0</v>
      </c>
      <c r="T293" s="451">
        <v>0</v>
      </c>
      <c r="U293" s="451">
        <v>0</v>
      </c>
      <c r="V293" s="451">
        <v>0</v>
      </c>
      <c r="W293" s="451">
        <v>0</v>
      </c>
      <c r="X293" s="451">
        <v>0</v>
      </c>
      <c r="Y293" s="451">
        <v>0</v>
      </c>
      <c r="Z293" s="451">
        <v>0</v>
      </c>
      <c r="AA293" s="451">
        <v>0</v>
      </c>
      <c r="AB293" s="451">
        <v>6218382</v>
      </c>
      <c r="AC293" s="451">
        <v>3731029</v>
      </c>
      <c r="AD293" s="451">
        <v>2487353</v>
      </c>
      <c r="AE293" s="451">
        <v>0</v>
      </c>
      <c r="AF293" s="451">
        <v>12436764</v>
      </c>
      <c r="AG293" s="451">
        <v>11474601</v>
      </c>
      <c r="AH293" s="451">
        <v>6884761</v>
      </c>
      <c r="AI293" s="451">
        <v>4589840</v>
      </c>
      <c r="AJ293" s="451">
        <v>0</v>
      </c>
      <c r="AK293" s="451">
        <v>22949202</v>
      </c>
      <c r="AL293" s="451">
        <v>0</v>
      </c>
      <c r="AM293" s="451">
        <v>0</v>
      </c>
      <c r="AN293" s="451">
        <v>0</v>
      </c>
      <c r="AO293" s="451">
        <v>0</v>
      </c>
      <c r="AP293" s="451">
        <v>0</v>
      </c>
      <c r="AQ293" s="451">
        <v>1391939</v>
      </c>
      <c r="AR293" s="451">
        <v>835163</v>
      </c>
      <c r="AS293" s="451">
        <v>556776</v>
      </c>
      <c r="AT293" s="451">
        <v>0</v>
      </c>
      <c r="AU293" s="451">
        <v>2783878</v>
      </c>
      <c r="AV293" s="451">
        <v>1391939</v>
      </c>
      <c r="AW293" s="451">
        <v>835163</v>
      </c>
      <c r="AX293" s="451">
        <v>556776</v>
      </c>
      <c r="AY293" s="451">
        <v>0</v>
      </c>
      <c r="AZ293" s="451">
        <v>2783878</v>
      </c>
      <c r="BA293" s="451">
        <v>0</v>
      </c>
      <c r="BB293" s="451">
        <v>0</v>
      </c>
      <c r="BC293" s="451">
        <v>0</v>
      </c>
      <c r="BD293" s="451">
        <v>0</v>
      </c>
      <c r="BE293" s="451">
        <v>0</v>
      </c>
      <c r="BF293" s="451">
        <v>3750000</v>
      </c>
      <c r="BG293" s="451">
        <v>2250000</v>
      </c>
      <c r="BH293" s="451">
        <v>1500000</v>
      </c>
      <c r="BI293" s="451">
        <v>0</v>
      </c>
      <c r="BJ293" s="451">
        <v>7500000</v>
      </c>
      <c r="BK293" s="451">
        <v>3750000</v>
      </c>
      <c r="BL293" s="451">
        <v>2250000</v>
      </c>
      <c r="BM293" s="451">
        <v>1500000</v>
      </c>
      <c r="BN293" s="451">
        <v>0</v>
      </c>
      <c r="BO293" s="451">
        <v>7500000</v>
      </c>
      <c r="BP293" s="451">
        <v>0</v>
      </c>
      <c r="BQ293" s="451">
        <v>0</v>
      </c>
      <c r="BR293" s="451">
        <v>0</v>
      </c>
      <c r="BS293" s="451">
        <v>0</v>
      </c>
      <c r="BT293" s="451">
        <v>0</v>
      </c>
      <c r="BU293" s="451">
        <v>10000000</v>
      </c>
      <c r="BV293" s="451">
        <v>6000000</v>
      </c>
      <c r="BW293" s="451">
        <v>4000000</v>
      </c>
      <c r="BX293" s="451">
        <v>0</v>
      </c>
      <c r="BY293" s="451">
        <v>20000000</v>
      </c>
      <c r="BZ293" s="451">
        <v>10000000</v>
      </c>
      <c r="CA293" s="451">
        <v>6000000</v>
      </c>
      <c r="CB293" s="451">
        <v>4000000</v>
      </c>
      <c r="CC293" s="451">
        <v>0</v>
      </c>
      <c r="CD293" s="451">
        <v>20000000</v>
      </c>
      <c r="CE293" s="104"/>
      <c r="CF293" s="104"/>
      <c r="CG293" s="104"/>
    </row>
    <row r="294" spans="1:85" ht="12.75" x14ac:dyDescent="0.2">
      <c r="A294" s="446">
        <v>287</v>
      </c>
      <c r="B294" s="447" t="s">
        <v>457</v>
      </c>
      <c r="C294" s="448" t="s">
        <v>1100</v>
      </c>
      <c r="D294" s="449" t="s">
        <v>1095</v>
      </c>
      <c r="E294" s="450" t="s">
        <v>456</v>
      </c>
      <c r="F294" s="451">
        <v>59968148</v>
      </c>
      <c r="G294" s="451">
        <v>58768786</v>
      </c>
      <c r="H294" s="451">
        <v>0</v>
      </c>
      <c r="I294" s="451">
        <v>1199363</v>
      </c>
      <c r="J294" s="451">
        <v>119936297</v>
      </c>
      <c r="K294" s="451">
        <v>0</v>
      </c>
      <c r="L294" s="451">
        <v>0</v>
      </c>
      <c r="M294" s="451">
        <v>59968148</v>
      </c>
      <c r="N294" s="451">
        <v>119936297</v>
      </c>
      <c r="O294" s="451">
        <v>452163</v>
      </c>
      <c r="P294" s="451">
        <v>452163</v>
      </c>
      <c r="Q294" s="451">
        <v>0</v>
      </c>
      <c r="R294" s="451">
        <v>0</v>
      </c>
      <c r="S294" s="451">
        <v>0</v>
      </c>
      <c r="T294" s="451">
        <v>0</v>
      </c>
      <c r="U294" s="451">
        <v>73476</v>
      </c>
      <c r="V294" s="451">
        <v>0</v>
      </c>
      <c r="W294" s="451">
        <v>73476</v>
      </c>
      <c r="X294" s="451">
        <v>0</v>
      </c>
      <c r="Y294" s="451">
        <v>0</v>
      </c>
      <c r="Z294" s="451">
        <v>0</v>
      </c>
      <c r="AA294" s="451">
        <v>0</v>
      </c>
      <c r="AB294" s="451">
        <v>3138621.69</v>
      </c>
      <c r="AC294" s="451">
        <v>3075848</v>
      </c>
      <c r="AD294" s="451">
        <v>0</v>
      </c>
      <c r="AE294" s="451">
        <v>62772</v>
      </c>
      <c r="AF294" s="451">
        <v>6277241.6900000004</v>
      </c>
      <c r="AG294" s="451">
        <v>2464223.77</v>
      </c>
      <c r="AH294" s="451">
        <v>2414938</v>
      </c>
      <c r="AI294" s="451">
        <v>0</v>
      </c>
      <c r="AJ294" s="451">
        <v>49284</v>
      </c>
      <c r="AK294" s="451">
        <v>4928445.7699999996</v>
      </c>
      <c r="AL294" s="451">
        <v>1770777.63</v>
      </c>
      <c r="AM294" s="451">
        <v>1735362</v>
      </c>
      <c r="AN294" s="451">
        <v>0</v>
      </c>
      <c r="AO294" s="451">
        <v>35416</v>
      </c>
      <c r="AP294" s="451">
        <v>3541555.63</v>
      </c>
      <c r="AQ294" s="451">
        <v>74190.78</v>
      </c>
      <c r="AR294" s="451">
        <v>72707</v>
      </c>
      <c r="AS294" s="451">
        <v>0</v>
      </c>
      <c r="AT294" s="451">
        <v>1484</v>
      </c>
      <c r="AU294" s="451">
        <v>148381.78</v>
      </c>
      <c r="AV294" s="451">
        <v>1844968.41</v>
      </c>
      <c r="AW294" s="451">
        <v>1808069</v>
      </c>
      <c r="AX294" s="451">
        <v>0</v>
      </c>
      <c r="AY294" s="451">
        <v>36900</v>
      </c>
      <c r="AZ294" s="451">
        <v>3689937.41</v>
      </c>
      <c r="BA294" s="451">
        <v>0</v>
      </c>
      <c r="BB294" s="451">
        <v>0</v>
      </c>
      <c r="BC294" s="451">
        <v>0</v>
      </c>
      <c r="BD294" s="451">
        <v>0</v>
      </c>
      <c r="BE294" s="451">
        <v>0</v>
      </c>
      <c r="BF294" s="451">
        <v>4705390</v>
      </c>
      <c r="BG294" s="451">
        <v>4611282</v>
      </c>
      <c r="BH294" s="451">
        <v>0</v>
      </c>
      <c r="BI294" s="451">
        <v>94108</v>
      </c>
      <c r="BJ294" s="451">
        <v>9410780</v>
      </c>
      <c r="BK294" s="451">
        <v>4705390</v>
      </c>
      <c r="BL294" s="451">
        <v>4611282</v>
      </c>
      <c r="BM294" s="451">
        <v>0</v>
      </c>
      <c r="BN294" s="451">
        <v>94108</v>
      </c>
      <c r="BO294" s="451">
        <v>9410780</v>
      </c>
      <c r="BP294" s="451">
        <v>0</v>
      </c>
      <c r="BQ294" s="451">
        <v>0</v>
      </c>
      <c r="BR294" s="451">
        <v>0</v>
      </c>
      <c r="BS294" s="451">
        <v>0</v>
      </c>
      <c r="BT294" s="451">
        <v>0</v>
      </c>
      <c r="BU294" s="451">
        <v>13706050</v>
      </c>
      <c r="BV294" s="451">
        <v>13431929</v>
      </c>
      <c r="BW294" s="451">
        <v>0</v>
      </c>
      <c r="BX294" s="451">
        <v>274121</v>
      </c>
      <c r="BY294" s="451">
        <v>27412100</v>
      </c>
      <c r="BZ294" s="451">
        <v>13706050</v>
      </c>
      <c r="CA294" s="451">
        <v>13431929</v>
      </c>
      <c r="CB294" s="451">
        <v>0</v>
      </c>
      <c r="CC294" s="451">
        <v>274121</v>
      </c>
      <c r="CD294" s="451">
        <v>27412100</v>
      </c>
      <c r="CE294" s="104"/>
      <c r="CF294" s="104"/>
      <c r="CG294" s="104"/>
    </row>
    <row r="295" spans="1:85" ht="12.75" x14ac:dyDescent="0.2">
      <c r="A295" s="446">
        <v>288</v>
      </c>
      <c r="B295" s="447" t="s">
        <v>459</v>
      </c>
      <c r="C295" s="448" t="s">
        <v>1093</v>
      </c>
      <c r="D295" s="449" t="s">
        <v>1094</v>
      </c>
      <c r="E295" s="450" t="s">
        <v>458</v>
      </c>
      <c r="F295" s="451">
        <v>23828402</v>
      </c>
      <c r="G295" s="451">
        <v>19062722</v>
      </c>
      <c r="H295" s="451">
        <v>4289112</v>
      </c>
      <c r="I295" s="451">
        <v>476568</v>
      </c>
      <c r="J295" s="451">
        <v>47656804</v>
      </c>
      <c r="K295" s="451">
        <v>0</v>
      </c>
      <c r="L295" s="451">
        <v>0</v>
      </c>
      <c r="M295" s="451">
        <v>23828402</v>
      </c>
      <c r="N295" s="451">
        <v>47656804</v>
      </c>
      <c r="O295" s="451">
        <v>181431</v>
      </c>
      <c r="P295" s="451">
        <v>181431</v>
      </c>
      <c r="Q295" s="451">
        <v>0</v>
      </c>
      <c r="R295" s="451">
        <v>0</v>
      </c>
      <c r="S295" s="451">
        <v>0</v>
      </c>
      <c r="T295" s="451">
        <v>0</v>
      </c>
      <c r="U295" s="451">
        <v>0</v>
      </c>
      <c r="V295" s="451">
        <v>0</v>
      </c>
      <c r="W295" s="451">
        <v>0</v>
      </c>
      <c r="X295" s="451">
        <v>0</v>
      </c>
      <c r="Y295" s="451">
        <v>0</v>
      </c>
      <c r="Z295" s="451">
        <v>0</v>
      </c>
      <c r="AA295" s="451">
        <v>0</v>
      </c>
      <c r="AB295" s="451">
        <v>1023075</v>
      </c>
      <c r="AC295" s="451">
        <v>818460</v>
      </c>
      <c r="AD295" s="451">
        <v>184153</v>
      </c>
      <c r="AE295" s="451">
        <v>20461</v>
      </c>
      <c r="AF295" s="451">
        <v>2046149</v>
      </c>
      <c r="AG295" s="451">
        <v>487655</v>
      </c>
      <c r="AH295" s="451">
        <v>390124</v>
      </c>
      <c r="AI295" s="451">
        <v>87778</v>
      </c>
      <c r="AJ295" s="451">
        <v>9753</v>
      </c>
      <c r="AK295" s="451">
        <v>975310</v>
      </c>
      <c r="AL295" s="451">
        <v>733469</v>
      </c>
      <c r="AM295" s="451">
        <v>586776</v>
      </c>
      <c r="AN295" s="451">
        <v>132025</v>
      </c>
      <c r="AO295" s="451">
        <v>14669</v>
      </c>
      <c r="AP295" s="451">
        <v>1466939</v>
      </c>
      <c r="AQ295" s="451">
        <v>217059</v>
      </c>
      <c r="AR295" s="451">
        <v>173648</v>
      </c>
      <c r="AS295" s="451">
        <v>39071</v>
      </c>
      <c r="AT295" s="451">
        <v>4341</v>
      </c>
      <c r="AU295" s="451">
        <v>434119</v>
      </c>
      <c r="AV295" s="451">
        <v>950528</v>
      </c>
      <c r="AW295" s="451">
        <v>760424</v>
      </c>
      <c r="AX295" s="451">
        <v>171096</v>
      </c>
      <c r="AY295" s="451">
        <v>19010</v>
      </c>
      <c r="AZ295" s="451">
        <v>1901058</v>
      </c>
      <c r="BA295" s="451">
        <v>0</v>
      </c>
      <c r="BB295" s="451">
        <v>0</v>
      </c>
      <c r="BC295" s="451">
        <v>0</v>
      </c>
      <c r="BD295" s="451">
        <v>0</v>
      </c>
      <c r="BE295" s="451">
        <v>0</v>
      </c>
      <c r="BF295" s="451">
        <v>279466</v>
      </c>
      <c r="BG295" s="451">
        <v>223573</v>
      </c>
      <c r="BH295" s="451">
        <v>50304</v>
      </c>
      <c r="BI295" s="451">
        <v>5589</v>
      </c>
      <c r="BJ295" s="451">
        <v>558932</v>
      </c>
      <c r="BK295" s="451">
        <v>279466</v>
      </c>
      <c r="BL295" s="451">
        <v>223573</v>
      </c>
      <c r="BM295" s="451">
        <v>50304</v>
      </c>
      <c r="BN295" s="451">
        <v>5589</v>
      </c>
      <c r="BO295" s="451">
        <v>558932</v>
      </c>
      <c r="BP295" s="451">
        <v>0</v>
      </c>
      <c r="BQ295" s="451">
        <v>0</v>
      </c>
      <c r="BR295" s="451">
        <v>0</v>
      </c>
      <c r="BS295" s="451">
        <v>0</v>
      </c>
      <c r="BT295" s="451">
        <v>0</v>
      </c>
      <c r="BU295" s="451">
        <v>597874</v>
      </c>
      <c r="BV295" s="451">
        <v>478298</v>
      </c>
      <c r="BW295" s="451">
        <v>107617</v>
      </c>
      <c r="BX295" s="451">
        <v>11957</v>
      </c>
      <c r="BY295" s="451">
        <v>1195746</v>
      </c>
      <c r="BZ295" s="451">
        <v>597874</v>
      </c>
      <c r="CA295" s="451">
        <v>478298</v>
      </c>
      <c r="CB295" s="451">
        <v>107617</v>
      </c>
      <c r="CC295" s="451">
        <v>11957</v>
      </c>
      <c r="CD295" s="451">
        <v>1195746</v>
      </c>
      <c r="CE295" s="104"/>
      <c r="CF295" s="104"/>
      <c r="CG295" s="104"/>
    </row>
    <row r="296" spans="1:85" ht="12.75" x14ac:dyDescent="0.2">
      <c r="A296" s="446">
        <v>289</v>
      </c>
      <c r="B296" s="447" t="s">
        <v>461</v>
      </c>
      <c r="C296" s="448" t="s">
        <v>1093</v>
      </c>
      <c r="D296" s="449" t="s">
        <v>1097</v>
      </c>
      <c r="E296" s="450" t="s">
        <v>460</v>
      </c>
      <c r="F296" s="451">
        <v>14458674</v>
      </c>
      <c r="G296" s="451">
        <v>11566938</v>
      </c>
      <c r="H296" s="451">
        <v>2602561</v>
      </c>
      <c r="I296" s="451">
        <v>289173</v>
      </c>
      <c r="J296" s="451">
        <v>28917346</v>
      </c>
      <c r="K296" s="451">
        <v>0</v>
      </c>
      <c r="L296" s="451">
        <v>0</v>
      </c>
      <c r="M296" s="451">
        <v>14458674</v>
      </c>
      <c r="N296" s="451">
        <v>28917346</v>
      </c>
      <c r="O296" s="451">
        <v>138241</v>
      </c>
      <c r="P296" s="451">
        <v>138241</v>
      </c>
      <c r="Q296" s="451">
        <v>0</v>
      </c>
      <c r="R296" s="451">
        <v>0</v>
      </c>
      <c r="S296" s="451">
        <v>0</v>
      </c>
      <c r="T296" s="451">
        <v>0</v>
      </c>
      <c r="U296" s="451">
        <v>0</v>
      </c>
      <c r="V296" s="451">
        <v>0</v>
      </c>
      <c r="W296" s="451">
        <v>0</v>
      </c>
      <c r="X296" s="451">
        <v>0</v>
      </c>
      <c r="Y296" s="451">
        <v>0</v>
      </c>
      <c r="Z296" s="451">
        <v>0</v>
      </c>
      <c r="AA296" s="451">
        <v>0</v>
      </c>
      <c r="AB296" s="451">
        <v>434307</v>
      </c>
      <c r="AC296" s="451">
        <v>347446</v>
      </c>
      <c r="AD296" s="451">
        <v>78175</v>
      </c>
      <c r="AE296" s="451">
        <v>8686</v>
      </c>
      <c r="AF296" s="451">
        <v>868614</v>
      </c>
      <c r="AG296" s="451">
        <v>185691</v>
      </c>
      <c r="AH296" s="451">
        <v>148553</v>
      </c>
      <c r="AI296" s="451">
        <v>33424</v>
      </c>
      <c r="AJ296" s="451">
        <v>3714</v>
      </c>
      <c r="AK296" s="451">
        <v>371382</v>
      </c>
      <c r="AL296" s="451">
        <v>195037</v>
      </c>
      <c r="AM296" s="451">
        <v>156030</v>
      </c>
      <c r="AN296" s="451">
        <v>35107</v>
      </c>
      <c r="AO296" s="451">
        <v>3901</v>
      </c>
      <c r="AP296" s="451">
        <v>390075</v>
      </c>
      <c r="AQ296" s="451">
        <v>-2115</v>
      </c>
      <c r="AR296" s="451">
        <v>-1692</v>
      </c>
      <c r="AS296" s="451">
        <v>-381</v>
      </c>
      <c r="AT296" s="451">
        <v>-42</v>
      </c>
      <c r="AU296" s="451">
        <v>-4230</v>
      </c>
      <c r="AV296" s="451">
        <v>192922</v>
      </c>
      <c r="AW296" s="451">
        <v>154338</v>
      </c>
      <c r="AX296" s="451">
        <v>34726</v>
      </c>
      <c r="AY296" s="451">
        <v>3859</v>
      </c>
      <c r="AZ296" s="451">
        <v>385845</v>
      </c>
      <c r="BA296" s="451">
        <v>0</v>
      </c>
      <c r="BB296" s="451">
        <v>0</v>
      </c>
      <c r="BC296" s="451">
        <v>0</v>
      </c>
      <c r="BD296" s="451">
        <v>0</v>
      </c>
      <c r="BE296" s="451">
        <v>0</v>
      </c>
      <c r="BF296" s="451">
        <v>1598948</v>
      </c>
      <c r="BG296" s="451">
        <v>1279158</v>
      </c>
      <c r="BH296" s="451">
        <v>287811</v>
      </c>
      <c r="BI296" s="451">
        <v>31979</v>
      </c>
      <c r="BJ296" s="451">
        <v>3197896</v>
      </c>
      <c r="BK296" s="451">
        <v>1598948</v>
      </c>
      <c r="BL296" s="451">
        <v>1279158</v>
      </c>
      <c r="BM296" s="451">
        <v>287811</v>
      </c>
      <c r="BN296" s="451">
        <v>31979</v>
      </c>
      <c r="BO296" s="451">
        <v>3197896</v>
      </c>
      <c r="BP296" s="451">
        <v>0</v>
      </c>
      <c r="BQ296" s="451">
        <v>0</v>
      </c>
      <c r="BR296" s="451">
        <v>0</v>
      </c>
      <c r="BS296" s="451">
        <v>0</v>
      </c>
      <c r="BT296" s="451">
        <v>0</v>
      </c>
      <c r="BU296" s="451">
        <v>4163343</v>
      </c>
      <c r="BV296" s="451">
        <v>3330675</v>
      </c>
      <c r="BW296" s="451">
        <v>749402</v>
      </c>
      <c r="BX296" s="451">
        <v>83267</v>
      </c>
      <c r="BY296" s="451">
        <v>8326687</v>
      </c>
      <c r="BZ296" s="451">
        <v>4163343</v>
      </c>
      <c r="CA296" s="451">
        <v>3330675</v>
      </c>
      <c r="CB296" s="451">
        <v>749402</v>
      </c>
      <c r="CC296" s="451">
        <v>83267</v>
      </c>
      <c r="CD296" s="451">
        <v>8326687</v>
      </c>
      <c r="CE296" s="104"/>
      <c r="CF296" s="104"/>
      <c r="CG296" s="104"/>
    </row>
    <row r="297" spans="1:85" ht="12.75" x14ac:dyDescent="0.2">
      <c r="A297" s="446">
        <v>290</v>
      </c>
      <c r="B297" s="447" t="s">
        <v>463</v>
      </c>
      <c r="C297" s="448" t="s">
        <v>1093</v>
      </c>
      <c r="D297" s="449" t="s">
        <v>1094</v>
      </c>
      <c r="E297" s="450" t="s">
        <v>462</v>
      </c>
      <c r="F297" s="451">
        <v>23228030</v>
      </c>
      <c r="G297" s="451">
        <v>18582424</v>
      </c>
      <c r="H297" s="451">
        <v>4645606</v>
      </c>
      <c r="I297" s="451">
        <v>0</v>
      </c>
      <c r="J297" s="451">
        <v>46456060</v>
      </c>
      <c r="K297" s="451">
        <v>268150</v>
      </c>
      <c r="L297" s="451">
        <v>268150</v>
      </c>
      <c r="M297" s="451">
        <v>22959880</v>
      </c>
      <c r="N297" s="451">
        <v>46187910</v>
      </c>
      <c r="O297" s="451">
        <v>189424</v>
      </c>
      <c r="P297" s="451">
        <v>189424</v>
      </c>
      <c r="Q297" s="451">
        <v>0</v>
      </c>
      <c r="R297" s="451">
        <v>0</v>
      </c>
      <c r="S297" s="451">
        <v>0</v>
      </c>
      <c r="T297" s="451">
        <v>0</v>
      </c>
      <c r="U297" s="451">
        <v>0</v>
      </c>
      <c r="V297" s="451">
        <v>0</v>
      </c>
      <c r="W297" s="451">
        <v>0</v>
      </c>
      <c r="X297" s="451">
        <v>268150</v>
      </c>
      <c r="Y297" s="451">
        <v>0</v>
      </c>
      <c r="Z297" s="451">
        <v>0</v>
      </c>
      <c r="AA297" s="451">
        <v>268150</v>
      </c>
      <c r="AB297" s="451">
        <v>622643</v>
      </c>
      <c r="AC297" s="451">
        <v>498114</v>
      </c>
      <c r="AD297" s="451">
        <v>124529</v>
      </c>
      <c r="AE297" s="451">
        <v>0</v>
      </c>
      <c r="AF297" s="451">
        <v>1245286</v>
      </c>
      <c r="AG297" s="451">
        <v>165838</v>
      </c>
      <c r="AH297" s="451">
        <v>132671</v>
      </c>
      <c r="AI297" s="451">
        <v>33168</v>
      </c>
      <c r="AJ297" s="451">
        <v>0</v>
      </c>
      <c r="AK297" s="451">
        <v>331677</v>
      </c>
      <c r="AL297" s="451">
        <v>342790</v>
      </c>
      <c r="AM297" s="451">
        <v>274232</v>
      </c>
      <c r="AN297" s="451">
        <v>68558</v>
      </c>
      <c r="AO297" s="451">
        <v>0</v>
      </c>
      <c r="AP297" s="451">
        <v>685580</v>
      </c>
      <c r="AQ297" s="451">
        <v>-62850</v>
      </c>
      <c r="AR297" s="451">
        <v>-50280</v>
      </c>
      <c r="AS297" s="451">
        <v>-12570</v>
      </c>
      <c r="AT297" s="451">
        <v>0</v>
      </c>
      <c r="AU297" s="451">
        <v>-125700</v>
      </c>
      <c r="AV297" s="451">
        <v>279940</v>
      </c>
      <c r="AW297" s="451">
        <v>223952</v>
      </c>
      <c r="AX297" s="451">
        <v>55988</v>
      </c>
      <c r="AY297" s="451">
        <v>0</v>
      </c>
      <c r="AZ297" s="451">
        <v>559880</v>
      </c>
      <c r="BA297" s="451">
        <v>0</v>
      </c>
      <c r="BB297" s="451">
        <v>0</v>
      </c>
      <c r="BC297" s="451">
        <v>0</v>
      </c>
      <c r="BD297" s="451">
        <v>0</v>
      </c>
      <c r="BE297" s="451">
        <v>0</v>
      </c>
      <c r="BF297" s="451">
        <v>539978</v>
      </c>
      <c r="BG297" s="451">
        <v>431983</v>
      </c>
      <c r="BH297" s="451">
        <v>107996</v>
      </c>
      <c r="BI297" s="451">
        <v>0</v>
      </c>
      <c r="BJ297" s="451">
        <v>1079957</v>
      </c>
      <c r="BK297" s="451">
        <v>539978</v>
      </c>
      <c r="BL297" s="451">
        <v>431983</v>
      </c>
      <c r="BM297" s="451">
        <v>107996</v>
      </c>
      <c r="BN297" s="451">
        <v>0</v>
      </c>
      <c r="BO297" s="451">
        <v>1079957</v>
      </c>
      <c r="BP297" s="451">
        <v>0</v>
      </c>
      <c r="BQ297" s="451">
        <v>0</v>
      </c>
      <c r="BR297" s="451">
        <v>0</v>
      </c>
      <c r="BS297" s="451">
        <v>0</v>
      </c>
      <c r="BT297" s="451">
        <v>0</v>
      </c>
      <c r="BU297" s="451">
        <v>2390415</v>
      </c>
      <c r="BV297" s="451">
        <v>1912332</v>
      </c>
      <c r="BW297" s="451">
        <v>478083</v>
      </c>
      <c r="BX297" s="451">
        <v>0</v>
      </c>
      <c r="BY297" s="451">
        <v>4780830</v>
      </c>
      <c r="BZ297" s="451">
        <v>2390415</v>
      </c>
      <c r="CA297" s="451">
        <v>1912332</v>
      </c>
      <c r="CB297" s="451">
        <v>478083</v>
      </c>
      <c r="CC297" s="451">
        <v>0</v>
      </c>
      <c r="CD297" s="451">
        <v>4780830</v>
      </c>
      <c r="CE297" s="104"/>
      <c r="CF297" s="104"/>
      <c r="CG297" s="104"/>
    </row>
    <row r="298" spans="1:85" ht="12.75" x14ac:dyDescent="0.2">
      <c r="A298" s="446">
        <v>291</v>
      </c>
      <c r="B298" s="447" t="s">
        <v>465</v>
      </c>
      <c r="C298" s="448" t="s">
        <v>1100</v>
      </c>
      <c r="D298" s="449" t="s">
        <v>1101</v>
      </c>
      <c r="E298" s="450" t="s">
        <v>464</v>
      </c>
      <c r="F298" s="451">
        <v>56581625</v>
      </c>
      <c r="G298" s="451">
        <v>55449993</v>
      </c>
      <c r="H298" s="451">
        <v>0</v>
      </c>
      <c r="I298" s="451">
        <v>1131633</v>
      </c>
      <c r="J298" s="451">
        <v>113163251</v>
      </c>
      <c r="K298" s="451">
        <v>0</v>
      </c>
      <c r="L298" s="451">
        <v>0</v>
      </c>
      <c r="M298" s="451">
        <v>56581625</v>
      </c>
      <c r="N298" s="451">
        <v>113163251</v>
      </c>
      <c r="O298" s="451">
        <v>457961</v>
      </c>
      <c r="P298" s="451">
        <v>457961</v>
      </c>
      <c r="Q298" s="451">
        <v>0</v>
      </c>
      <c r="R298" s="451">
        <v>0</v>
      </c>
      <c r="S298" s="451">
        <v>0</v>
      </c>
      <c r="T298" s="451">
        <v>0</v>
      </c>
      <c r="U298" s="451">
        <v>0</v>
      </c>
      <c r="V298" s="451">
        <v>0</v>
      </c>
      <c r="W298" s="451">
        <v>0</v>
      </c>
      <c r="X298" s="451">
        <v>0</v>
      </c>
      <c r="Y298" s="451">
        <v>0</v>
      </c>
      <c r="Z298" s="451">
        <v>0</v>
      </c>
      <c r="AA298" s="451">
        <v>0</v>
      </c>
      <c r="AB298" s="451">
        <v>822415.43</v>
      </c>
      <c r="AC298" s="451">
        <v>805966</v>
      </c>
      <c r="AD298" s="451">
        <v>0</v>
      </c>
      <c r="AE298" s="451">
        <v>16448</v>
      </c>
      <c r="AF298" s="451">
        <v>1644829.43</v>
      </c>
      <c r="AG298" s="451">
        <v>534430.53</v>
      </c>
      <c r="AH298" s="451">
        <v>523743</v>
      </c>
      <c r="AI298" s="451">
        <v>0</v>
      </c>
      <c r="AJ298" s="451">
        <v>10689</v>
      </c>
      <c r="AK298" s="451">
        <v>1068862.53</v>
      </c>
      <c r="AL298" s="451">
        <v>702268.02</v>
      </c>
      <c r="AM298" s="451">
        <v>688223</v>
      </c>
      <c r="AN298" s="451">
        <v>0</v>
      </c>
      <c r="AO298" s="451">
        <v>14045</v>
      </c>
      <c r="AP298" s="451">
        <v>1404536.02</v>
      </c>
      <c r="AQ298" s="451">
        <v>-192268.02</v>
      </c>
      <c r="AR298" s="451">
        <v>-188423</v>
      </c>
      <c r="AS298" s="451">
        <v>0</v>
      </c>
      <c r="AT298" s="451">
        <v>-3845</v>
      </c>
      <c r="AU298" s="451">
        <v>-384536.02</v>
      </c>
      <c r="AV298" s="451">
        <v>510000</v>
      </c>
      <c r="AW298" s="451">
        <v>499800</v>
      </c>
      <c r="AX298" s="451">
        <v>0</v>
      </c>
      <c r="AY298" s="451">
        <v>10200</v>
      </c>
      <c r="AZ298" s="451">
        <v>1020000</v>
      </c>
      <c r="BA298" s="451">
        <v>0</v>
      </c>
      <c r="BB298" s="451">
        <v>0</v>
      </c>
      <c r="BC298" s="451">
        <v>0</v>
      </c>
      <c r="BD298" s="451">
        <v>0</v>
      </c>
      <c r="BE298" s="451">
        <v>0</v>
      </c>
      <c r="BF298" s="451">
        <v>559082</v>
      </c>
      <c r="BG298" s="451">
        <v>547901</v>
      </c>
      <c r="BH298" s="451">
        <v>0</v>
      </c>
      <c r="BI298" s="451">
        <v>11182</v>
      </c>
      <c r="BJ298" s="451">
        <v>1118165</v>
      </c>
      <c r="BK298" s="451">
        <v>559082</v>
      </c>
      <c r="BL298" s="451">
        <v>547901</v>
      </c>
      <c r="BM298" s="451">
        <v>0</v>
      </c>
      <c r="BN298" s="451">
        <v>11182</v>
      </c>
      <c r="BO298" s="451">
        <v>1118165</v>
      </c>
      <c r="BP298" s="451">
        <v>0</v>
      </c>
      <c r="BQ298" s="451">
        <v>0</v>
      </c>
      <c r="BR298" s="451">
        <v>0</v>
      </c>
      <c r="BS298" s="451">
        <v>0</v>
      </c>
      <c r="BT298" s="451">
        <v>0</v>
      </c>
      <c r="BU298" s="451">
        <v>1602435</v>
      </c>
      <c r="BV298" s="451">
        <v>1570387</v>
      </c>
      <c r="BW298" s="451">
        <v>0</v>
      </c>
      <c r="BX298" s="451">
        <v>32049</v>
      </c>
      <c r="BY298" s="451">
        <v>3204871</v>
      </c>
      <c r="BZ298" s="451">
        <v>1602435</v>
      </c>
      <c r="CA298" s="451">
        <v>1570387</v>
      </c>
      <c r="CB298" s="451">
        <v>0</v>
      </c>
      <c r="CC298" s="451">
        <v>32049</v>
      </c>
      <c r="CD298" s="451">
        <v>3204871</v>
      </c>
      <c r="CE298" s="104"/>
      <c r="CF298" s="104"/>
      <c r="CG298" s="104"/>
    </row>
    <row r="299" spans="1:85" ht="12.75" x14ac:dyDescent="0.2">
      <c r="A299" s="446">
        <v>292</v>
      </c>
      <c r="B299" s="447" t="s">
        <v>467</v>
      </c>
      <c r="C299" s="448" t="s">
        <v>1100</v>
      </c>
      <c r="D299" s="449" t="s">
        <v>1103</v>
      </c>
      <c r="E299" s="450" t="s">
        <v>466</v>
      </c>
      <c r="F299" s="451">
        <v>32033825</v>
      </c>
      <c r="G299" s="451">
        <v>31393148</v>
      </c>
      <c r="H299" s="451">
        <v>0</v>
      </c>
      <c r="I299" s="451">
        <v>640676</v>
      </c>
      <c r="J299" s="451">
        <v>64067649</v>
      </c>
      <c r="K299" s="451">
        <v>0</v>
      </c>
      <c r="L299" s="451">
        <v>0</v>
      </c>
      <c r="M299" s="451">
        <v>32033825</v>
      </c>
      <c r="N299" s="451">
        <v>64067649</v>
      </c>
      <c r="O299" s="451">
        <v>344295</v>
      </c>
      <c r="P299" s="451">
        <v>344295</v>
      </c>
      <c r="Q299" s="451">
        <v>30666</v>
      </c>
      <c r="R299" s="451">
        <v>30666</v>
      </c>
      <c r="S299" s="451">
        <v>0</v>
      </c>
      <c r="T299" s="451">
        <v>0</v>
      </c>
      <c r="U299" s="451">
        <v>0</v>
      </c>
      <c r="V299" s="451">
        <v>0</v>
      </c>
      <c r="W299" s="451">
        <v>0</v>
      </c>
      <c r="X299" s="451">
        <v>0</v>
      </c>
      <c r="Y299" s="451">
        <v>0</v>
      </c>
      <c r="Z299" s="451">
        <v>0</v>
      </c>
      <c r="AA299" s="451">
        <v>0</v>
      </c>
      <c r="AB299" s="451">
        <v>3086627</v>
      </c>
      <c r="AC299" s="451">
        <v>3024894</v>
      </c>
      <c r="AD299" s="451">
        <v>0</v>
      </c>
      <c r="AE299" s="451">
        <v>61733</v>
      </c>
      <c r="AF299" s="451">
        <v>6173254</v>
      </c>
      <c r="AG299" s="451">
        <v>754608</v>
      </c>
      <c r="AH299" s="451">
        <v>739515</v>
      </c>
      <c r="AI299" s="451">
        <v>0</v>
      </c>
      <c r="AJ299" s="451">
        <v>15092</v>
      </c>
      <c r="AK299" s="451">
        <v>1509215</v>
      </c>
      <c r="AL299" s="451">
        <v>1257002</v>
      </c>
      <c r="AM299" s="451">
        <v>1231861</v>
      </c>
      <c r="AN299" s="451">
        <v>0</v>
      </c>
      <c r="AO299" s="451">
        <v>25140</v>
      </c>
      <c r="AP299" s="451">
        <v>2514003</v>
      </c>
      <c r="AQ299" s="451">
        <v>95147</v>
      </c>
      <c r="AR299" s="451">
        <v>93245</v>
      </c>
      <c r="AS299" s="451">
        <v>0</v>
      </c>
      <c r="AT299" s="451">
        <v>1903</v>
      </c>
      <c r="AU299" s="451">
        <v>190295</v>
      </c>
      <c r="AV299" s="451">
        <v>1352149</v>
      </c>
      <c r="AW299" s="451">
        <v>1325106</v>
      </c>
      <c r="AX299" s="451">
        <v>0</v>
      </c>
      <c r="AY299" s="451">
        <v>27043</v>
      </c>
      <c r="AZ299" s="451">
        <v>2704298</v>
      </c>
      <c r="BA299" s="451">
        <v>0</v>
      </c>
      <c r="BB299" s="451">
        <v>0</v>
      </c>
      <c r="BC299" s="451">
        <v>0</v>
      </c>
      <c r="BD299" s="451">
        <v>0</v>
      </c>
      <c r="BE299" s="451">
        <v>0</v>
      </c>
      <c r="BF299" s="451">
        <v>507537</v>
      </c>
      <c r="BG299" s="451">
        <v>497387</v>
      </c>
      <c r="BH299" s="451">
        <v>0</v>
      </c>
      <c r="BI299" s="451">
        <v>10151</v>
      </c>
      <c r="BJ299" s="451">
        <v>1015075</v>
      </c>
      <c r="BK299" s="451">
        <v>507537</v>
      </c>
      <c r="BL299" s="451">
        <v>497387</v>
      </c>
      <c r="BM299" s="451">
        <v>0</v>
      </c>
      <c r="BN299" s="451">
        <v>10151</v>
      </c>
      <c r="BO299" s="451">
        <v>1015075</v>
      </c>
      <c r="BP299" s="451">
        <v>0</v>
      </c>
      <c r="BQ299" s="451">
        <v>0</v>
      </c>
      <c r="BR299" s="451">
        <v>0</v>
      </c>
      <c r="BS299" s="451">
        <v>0</v>
      </c>
      <c r="BT299" s="451">
        <v>0</v>
      </c>
      <c r="BU299" s="451">
        <v>1406234</v>
      </c>
      <c r="BV299" s="451">
        <v>1378110</v>
      </c>
      <c r="BW299" s="451">
        <v>0</v>
      </c>
      <c r="BX299" s="451">
        <v>28125</v>
      </c>
      <c r="BY299" s="451">
        <v>2812469</v>
      </c>
      <c r="BZ299" s="451">
        <v>1406234</v>
      </c>
      <c r="CA299" s="451">
        <v>1378110</v>
      </c>
      <c r="CB299" s="451">
        <v>0</v>
      </c>
      <c r="CC299" s="451">
        <v>28125</v>
      </c>
      <c r="CD299" s="451">
        <v>2812469</v>
      </c>
      <c r="CE299" s="104"/>
      <c r="CF299" s="104"/>
      <c r="CG299" s="104"/>
    </row>
    <row r="300" spans="1:85" ht="12.75" x14ac:dyDescent="0.2">
      <c r="A300" s="446">
        <v>293</v>
      </c>
      <c r="B300" s="447" t="s">
        <v>469</v>
      </c>
      <c r="C300" s="448" t="s">
        <v>1098</v>
      </c>
      <c r="D300" s="449" t="s">
        <v>1099</v>
      </c>
      <c r="E300" s="450" t="s">
        <v>468</v>
      </c>
      <c r="F300" s="451">
        <v>27362306</v>
      </c>
      <c r="G300" s="451">
        <v>16417383</v>
      </c>
      <c r="H300" s="451">
        <v>10944922</v>
      </c>
      <c r="I300" s="451">
        <v>0</v>
      </c>
      <c r="J300" s="451">
        <v>54724611</v>
      </c>
      <c r="K300" s="451">
        <v>0</v>
      </c>
      <c r="L300" s="451">
        <v>0</v>
      </c>
      <c r="M300" s="451">
        <v>27362306</v>
      </c>
      <c r="N300" s="451">
        <v>54724611</v>
      </c>
      <c r="O300" s="451">
        <v>292541</v>
      </c>
      <c r="P300" s="451">
        <v>292541</v>
      </c>
      <c r="Q300" s="451">
        <v>0</v>
      </c>
      <c r="R300" s="451">
        <v>0</v>
      </c>
      <c r="S300" s="451">
        <v>0</v>
      </c>
      <c r="T300" s="451">
        <v>0</v>
      </c>
      <c r="U300" s="451">
        <v>0</v>
      </c>
      <c r="V300" s="451">
        <v>0</v>
      </c>
      <c r="W300" s="451">
        <v>0</v>
      </c>
      <c r="X300" s="451">
        <v>0</v>
      </c>
      <c r="Y300" s="451">
        <v>0</v>
      </c>
      <c r="Z300" s="451">
        <v>0</v>
      </c>
      <c r="AA300" s="451">
        <v>0</v>
      </c>
      <c r="AB300" s="451">
        <v>3247041</v>
      </c>
      <c r="AC300" s="451">
        <v>1948225</v>
      </c>
      <c r="AD300" s="451">
        <v>1298817</v>
      </c>
      <c r="AE300" s="451">
        <v>0</v>
      </c>
      <c r="AF300" s="451">
        <v>6494083</v>
      </c>
      <c r="AG300" s="451">
        <v>878347</v>
      </c>
      <c r="AH300" s="451">
        <v>527008</v>
      </c>
      <c r="AI300" s="451">
        <v>351339</v>
      </c>
      <c r="AJ300" s="451">
        <v>0</v>
      </c>
      <c r="AK300" s="451">
        <v>1756694</v>
      </c>
      <c r="AL300" s="451">
        <v>1221149</v>
      </c>
      <c r="AM300" s="451">
        <v>732690</v>
      </c>
      <c r="AN300" s="451">
        <v>488460</v>
      </c>
      <c r="AO300" s="451">
        <v>0</v>
      </c>
      <c r="AP300" s="451">
        <v>2442299</v>
      </c>
      <c r="AQ300" s="451">
        <v>532794</v>
      </c>
      <c r="AR300" s="451">
        <v>319676</v>
      </c>
      <c r="AS300" s="451">
        <v>213117</v>
      </c>
      <c r="AT300" s="451">
        <v>0</v>
      </c>
      <c r="AU300" s="451">
        <v>1065587</v>
      </c>
      <c r="AV300" s="451">
        <v>1753943</v>
      </c>
      <c r="AW300" s="451">
        <v>1052366</v>
      </c>
      <c r="AX300" s="451">
        <v>701577</v>
      </c>
      <c r="AY300" s="451">
        <v>0</v>
      </c>
      <c r="AZ300" s="451">
        <v>3507886</v>
      </c>
      <c r="BA300" s="451">
        <v>0</v>
      </c>
      <c r="BB300" s="451">
        <v>0</v>
      </c>
      <c r="BC300" s="451">
        <v>0</v>
      </c>
      <c r="BD300" s="451">
        <v>0</v>
      </c>
      <c r="BE300" s="451">
        <v>0</v>
      </c>
      <c r="BF300" s="451">
        <v>244657</v>
      </c>
      <c r="BG300" s="451">
        <v>146794</v>
      </c>
      <c r="BH300" s="451">
        <v>97863</v>
      </c>
      <c r="BI300" s="451">
        <v>0</v>
      </c>
      <c r="BJ300" s="451">
        <v>489314</v>
      </c>
      <c r="BK300" s="451">
        <v>244657</v>
      </c>
      <c r="BL300" s="451">
        <v>146794</v>
      </c>
      <c r="BM300" s="451">
        <v>97863</v>
      </c>
      <c r="BN300" s="451">
        <v>0</v>
      </c>
      <c r="BO300" s="451">
        <v>489314</v>
      </c>
      <c r="BP300" s="451">
        <v>0</v>
      </c>
      <c r="BQ300" s="451">
        <v>0</v>
      </c>
      <c r="BR300" s="451">
        <v>0</v>
      </c>
      <c r="BS300" s="451">
        <v>0</v>
      </c>
      <c r="BT300" s="451">
        <v>0</v>
      </c>
      <c r="BU300" s="451">
        <v>236407</v>
      </c>
      <c r="BV300" s="451">
        <v>141844</v>
      </c>
      <c r="BW300" s="451">
        <v>94563</v>
      </c>
      <c r="BX300" s="451">
        <v>0</v>
      </c>
      <c r="BY300" s="451">
        <v>472814</v>
      </c>
      <c r="BZ300" s="451">
        <v>236407</v>
      </c>
      <c r="CA300" s="451">
        <v>141844</v>
      </c>
      <c r="CB300" s="451">
        <v>94563</v>
      </c>
      <c r="CC300" s="451">
        <v>0</v>
      </c>
      <c r="CD300" s="451">
        <v>472814</v>
      </c>
      <c r="CE300" s="104"/>
      <c r="CF300" s="104"/>
      <c r="CG300" s="104"/>
    </row>
    <row r="301" spans="1:85" ht="12.75" x14ac:dyDescent="0.2">
      <c r="A301" s="446">
        <v>294</v>
      </c>
      <c r="B301" s="447" t="s">
        <v>471</v>
      </c>
      <c r="C301" s="448" t="s">
        <v>1104</v>
      </c>
      <c r="D301" s="449" t="s">
        <v>1099</v>
      </c>
      <c r="E301" s="450" t="s">
        <v>470</v>
      </c>
      <c r="F301" s="451">
        <v>47526429</v>
      </c>
      <c r="G301" s="451">
        <v>28515858</v>
      </c>
      <c r="H301" s="451">
        <v>19010572</v>
      </c>
      <c r="I301" s="451">
        <v>0</v>
      </c>
      <c r="J301" s="451">
        <v>95052859</v>
      </c>
      <c r="K301" s="451">
        <v>0</v>
      </c>
      <c r="L301" s="451">
        <v>0</v>
      </c>
      <c r="M301" s="451">
        <v>47526429</v>
      </c>
      <c r="N301" s="451">
        <v>95052859</v>
      </c>
      <c r="O301" s="451">
        <v>484461</v>
      </c>
      <c r="P301" s="451">
        <v>484461</v>
      </c>
      <c r="Q301" s="451">
        <v>0</v>
      </c>
      <c r="R301" s="451">
        <v>0</v>
      </c>
      <c r="S301" s="451">
        <v>0</v>
      </c>
      <c r="T301" s="451">
        <v>0</v>
      </c>
      <c r="U301" s="451">
        <v>0</v>
      </c>
      <c r="V301" s="451">
        <v>0</v>
      </c>
      <c r="W301" s="451">
        <v>0</v>
      </c>
      <c r="X301" s="451">
        <v>0</v>
      </c>
      <c r="Y301" s="451">
        <v>0</v>
      </c>
      <c r="Z301" s="451">
        <v>0</v>
      </c>
      <c r="AA301" s="451">
        <v>0</v>
      </c>
      <c r="AB301" s="451">
        <v>1922674</v>
      </c>
      <c r="AC301" s="451">
        <v>1153605</v>
      </c>
      <c r="AD301" s="451">
        <v>769070</v>
      </c>
      <c r="AE301" s="451">
        <v>0</v>
      </c>
      <c r="AF301" s="451">
        <v>3845349</v>
      </c>
      <c r="AG301" s="451">
        <v>669094</v>
      </c>
      <c r="AH301" s="451">
        <v>401457</v>
      </c>
      <c r="AI301" s="451">
        <v>267638</v>
      </c>
      <c r="AJ301" s="451">
        <v>0</v>
      </c>
      <c r="AK301" s="451">
        <v>1338189</v>
      </c>
      <c r="AL301" s="451">
        <v>1048000</v>
      </c>
      <c r="AM301" s="451">
        <v>628800</v>
      </c>
      <c r="AN301" s="451">
        <v>419200</v>
      </c>
      <c r="AO301" s="451">
        <v>0</v>
      </c>
      <c r="AP301" s="451">
        <v>2096000</v>
      </c>
      <c r="AQ301" s="451">
        <v>246500</v>
      </c>
      <c r="AR301" s="451">
        <v>147900</v>
      </c>
      <c r="AS301" s="451">
        <v>98600</v>
      </c>
      <c r="AT301" s="451">
        <v>0</v>
      </c>
      <c r="AU301" s="451">
        <v>493000</v>
      </c>
      <c r="AV301" s="451">
        <v>1294500</v>
      </c>
      <c r="AW301" s="451">
        <v>776700</v>
      </c>
      <c r="AX301" s="451">
        <v>517800</v>
      </c>
      <c r="AY301" s="451">
        <v>0</v>
      </c>
      <c r="AZ301" s="451">
        <v>2589000</v>
      </c>
      <c r="BA301" s="451">
        <v>0</v>
      </c>
      <c r="BB301" s="451">
        <v>0</v>
      </c>
      <c r="BC301" s="451">
        <v>0</v>
      </c>
      <c r="BD301" s="451">
        <v>0</v>
      </c>
      <c r="BE301" s="451">
        <v>0</v>
      </c>
      <c r="BF301" s="451">
        <v>735934</v>
      </c>
      <c r="BG301" s="451">
        <v>441560</v>
      </c>
      <c r="BH301" s="451">
        <v>294373</v>
      </c>
      <c r="BI301" s="451">
        <v>0</v>
      </c>
      <c r="BJ301" s="451">
        <v>1471867</v>
      </c>
      <c r="BK301" s="451">
        <v>735934</v>
      </c>
      <c r="BL301" s="451">
        <v>441560</v>
      </c>
      <c r="BM301" s="451">
        <v>294373</v>
      </c>
      <c r="BN301" s="451">
        <v>0</v>
      </c>
      <c r="BO301" s="451">
        <v>1471867</v>
      </c>
      <c r="BP301" s="451">
        <v>0</v>
      </c>
      <c r="BQ301" s="451">
        <v>0</v>
      </c>
      <c r="BR301" s="451">
        <v>0</v>
      </c>
      <c r="BS301" s="451">
        <v>0</v>
      </c>
      <c r="BT301" s="451">
        <v>0</v>
      </c>
      <c r="BU301" s="451">
        <v>2221306</v>
      </c>
      <c r="BV301" s="451">
        <v>1332784</v>
      </c>
      <c r="BW301" s="451">
        <v>888522</v>
      </c>
      <c r="BX301" s="451">
        <v>0</v>
      </c>
      <c r="BY301" s="451">
        <v>4442612</v>
      </c>
      <c r="BZ301" s="451">
        <v>2221306</v>
      </c>
      <c r="CA301" s="451">
        <v>1332784</v>
      </c>
      <c r="CB301" s="451">
        <v>888522</v>
      </c>
      <c r="CC301" s="451">
        <v>0</v>
      </c>
      <c r="CD301" s="451">
        <v>4442612</v>
      </c>
      <c r="CE301" s="104"/>
      <c r="CF301" s="104"/>
      <c r="CG301" s="104"/>
    </row>
    <row r="302" spans="1:85" ht="12.75" x14ac:dyDescent="0.2">
      <c r="A302" s="446">
        <v>295</v>
      </c>
      <c r="B302" s="447" t="s">
        <v>473</v>
      </c>
      <c r="C302" s="448" t="s">
        <v>794</v>
      </c>
      <c r="D302" s="449" t="s">
        <v>1095</v>
      </c>
      <c r="E302" s="450" t="s">
        <v>754</v>
      </c>
      <c r="F302" s="451">
        <v>48177038</v>
      </c>
      <c r="G302" s="451">
        <v>47213497</v>
      </c>
      <c r="H302" s="451">
        <v>0</v>
      </c>
      <c r="I302" s="451">
        <v>963541</v>
      </c>
      <c r="J302" s="451">
        <v>96354076</v>
      </c>
      <c r="K302" s="451">
        <v>0</v>
      </c>
      <c r="L302" s="451">
        <v>0</v>
      </c>
      <c r="M302" s="451">
        <v>48177038</v>
      </c>
      <c r="N302" s="451">
        <v>96354076</v>
      </c>
      <c r="O302" s="451">
        <v>308145</v>
      </c>
      <c r="P302" s="451">
        <v>308145</v>
      </c>
      <c r="Q302" s="451">
        <v>0</v>
      </c>
      <c r="R302" s="451">
        <v>0</v>
      </c>
      <c r="S302" s="451">
        <v>0</v>
      </c>
      <c r="T302" s="451">
        <v>0</v>
      </c>
      <c r="U302" s="451">
        <v>0</v>
      </c>
      <c r="V302" s="451">
        <v>0</v>
      </c>
      <c r="W302" s="451">
        <v>0</v>
      </c>
      <c r="X302" s="451">
        <v>0</v>
      </c>
      <c r="Y302" s="451">
        <v>0</v>
      </c>
      <c r="Z302" s="451">
        <v>0</v>
      </c>
      <c r="AA302" s="451">
        <v>0</v>
      </c>
      <c r="AB302" s="451">
        <v>5469626.79</v>
      </c>
      <c r="AC302" s="451">
        <v>5360234</v>
      </c>
      <c r="AD302" s="451">
        <v>0</v>
      </c>
      <c r="AE302" s="451">
        <v>109393</v>
      </c>
      <c r="AF302" s="451">
        <v>10939253.699999999</v>
      </c>
      <c r="AG302" s="451">
        <v>-773806.42</v>
      </c>
      <c r="AH302" s="451">
        <v>-758330</v>
      </c>
      <c r="AI302" s="451">
        <v>0</v>
      </c>
      <c r="AJ302" s="451">
        <v>-15476</v>
      </c>
      <c r="AK302" s="451">
        <v>-1547612.4</v>
      </c>
      <c r="AL302" s="451">
        <v>2146660</v>
      </c>
      <c r="AM302" s="451">
        <v>2103727</v>
      </c>
      <c r="AN302" s="451">
        <v>0</v>
      </c>
      <c r="AO302" s="451">
        <v>42933</v>
      </c>
      <c r="AP302" s="451">
        <v>4293320</v>
      </c>
      <c r="AQ302" s="451">
        <v>1335890.0900000001</v>
      </c>
      <c r="AR302" s="451">
        <v>1309172</v>
      </c>
      <c r="AS302" s="451">
        <v>0</v>
      </c>
      <c r="AT302" s="451">
        <v>26718</v>
      </c>
      <c r="AU302" s="451">
        <v>2671780.09</v>
      </c>
      <c r="AV302" s="451">
        <v>3482550.09</v>
      </c>
      <c r="AW302" s="451">
        <v>3412899</v>
      </c>
      <c r="AX302" s="451">
        <v>0</v>
      </c>
      <c r="AY302" s="451">
        <v>69651</v>
      </c>
      <c r="AZ302" s="451">
        <v>6965100.0899999999</v>
      </c>
      <c r="BA302" s="451">
        <v>0</v>
      </c>
      <c r="BB302" s="451">
        <v>0</v>
      </c>
      <c r="BC302" s="451">
        <v>0</v>
      </c>
      <c r="BD302" s="451">
        <v>0</v>
      </c>
      <c r="BE302" s="451">
        <v>0</v>
      </c>
      <c r="BF302" s="451">
        <v>0</v>
      </c>
      <c r="BG302" s="451">
        <v>0</v>
      </c>
      <c r="BH302" s="451">
        <v>0</v>
      </c>
      <c r="BI302" s="451">
        <v>0</v>
      </c>
      <c r="BJ302" s="451">
        <v>0</v>
      </c>
      <c r="BK302" s="451">
        <v>0</v>
      </c>
      <c r="BL302" s="451">
        <v>0</v>
      </c>
      <c r="BM302" s="451">
        <v>0</v>
      </c>
      <c r="BN302" s="451">
        <v>0</v>
      </c>
      <c r="BO302" s="451">
        <v>0</v>
      </c>
      <c r="BP302" s="451">
        <v>0</v>
      </c>
      <c r="BQ302" s="451">
        <v>0</v>
      </c>
      <c r="BR302" s="451">
        <v>0</v>
      </c>
      <c r="BS302" s="451">
        <v>0</v>
      </c>
      <c r="BT302" s="451">
        <v>0</v>
      </c>
      <c r="BU302" s="451">
        <v>2065092</v>
      </c>
      <c r="BV302" s="451">
        <v>2023791</v>
      </c>
      <c r="BW302" s="451">
        <v>0</v>
      </c>
      <c r="BX302" s="451">
        <v>41302</v>
      </c>
      <c r="BY302" s="451">
        <v>4130185</v>
      </c>
      <c r="BZ302" s="451">
        <v>2065092</v>
      </c>
      <c r="CA302" s="451">
        <v>2023791</v>
      </c>
      <c r="CB302" s="451">
        <v>0</v>
      </c>
      <c r="CC302" s="451">
        <v>41302</v>
      </c>
      <c r="CD302" s="451">
        <v>4130185</v>
      </c>
      <c r="CE302" s="104"/>
      <c r="CF302" s="104"/>
      <c r="CG302" s="104"/>
    </row>
    <row r="303" spans="1:85" ht="12.75" x14ac:dyDescent="0.2">
      <c r="A303" s="446">
        <v>296</v>
      </c>
      <c r="B303" s="447" t="s">
        <v>475</v>
      </c>
      <c r="C303" s="448" t="s">
        <v>1093</v>
      </c>
      <c r="D303" s="449" t="s">
        <v>1103</v>
      </c>
      <c r="E303" s="450" t="s">
        <v>474</v>
      </c>
      <c r="F303" s="451">
        <v>30039279</v>
      </c>
      <c r="G303" s="451">
        <v>24031424</v>
      </c>
      <c r="H303" s="451">
        <v>6007856</v>
      </c>
      <c r="I303" s="451">
        <v>0</v>
      </c>
      <c r="J303" s="451">
        <v>60078559</v>
      </c>
      <c r="K303" s="451">
        <v>0</v>
      </c>
      <c r="L303" s="451">
        <v>0</v>
      </c>
      <c r="M303" s="451">
        <v>30039279</v>
      </c>
      <c r="N303" s="451">
        <v>60078559</v>
      </c>
      <c r="O303" s="451">
        <v>212678</v>
      </c>
      <c r="P303" s="451">
        <v>212678</v>
      </c>
      <c r="Q303" s="451">
        <v>0</v>
      </c>
      <c r="R303" s="451">
        <v>0</v>
      </c>
      <c r="S303" s="451">
        <v>0</v>
      </c>
      <c r="T303" s="451">
        <v>0</v>
      </c>
      <c r="U303" s="451">
        <v>0</v>
      </c>
      <c r="V303" s="451">
        <v>0</v>
      </c>
      <c r="W303" s="451">
        <v>0</v>
      </c>
      <c r="X303" s="451">
        <v>0</v>
      </c>
      <c r="Y303" s="451">
        <v>0</v>
      </c>
      <c r="Z303" s="451">
        <v>0</v>
      </c>
      <c r="AA303" s="451">
        <v>0</v>
      </c>
      <c r="AB303" s="451">
        <v>573617</v>
      </c>
      <c r="AC303" s="451">
        <v>458894</v>
      </c>
      <c r="AD303" s="451">
        <v>114724</v>
      </c>
      <c r="AE303" s="451">
        <v>0</v>
      </c>
      <c r="AF303" s="451">
        <v>1147235</v>
      </c>
      <c r="AG303" s="451">
        <v>367627.54</v>
      </c>
      <c r="AH303" s="451">
        <v>294102</v>
      </c>
      <c r="AI303" s="451">
        <v>73526</v>
      </c>
      <c r="AJ303" s="451">
        <v>0</v>
      </c>
      <c r="AK303" s="451">
        <v>735255.54</v>
      </c>
      <c r="AL303" s="451">
        <v>375000</v>
      </c>
      <c r="AM303" s="451">
        <v>300000</v>
      </c>
      <c r="AN303" s="451">
        <v>75000</v>
      </c>
      <c r="AO303" s="451">
        <v>0</v>
      </c>
      <c r="AP303" s="451">
        <v>750000</v>
      </c>
      <c r="AQ303" s="451">
        <v>0</v>
      </c>
      <c r="AR303" s="451">
        <v>0</v>
      </c>
      <c r="AS303" s="451">
        <v>0</v>
      </c>
      <c r="AT303" s="451">
        <v>0</v>
      </c>
      <c r="AU303" s="451">
        <v>0</v>
      </c>
      <c r="AV303" s="451">
        <v>375000</v>
      </c>
      <c r="AW303" s="451">
        <v>300000</v>
      </c>
      <c r="AX303" s="451">
        <v>75000</v>
      </c>
      <c r="AY303" s="451">
        <v>0</v>
      </c>
      <c r="AZ303" s="451">
        <v>750000</v>
      </c>
      <c r="BA303" s="451">
        <v>0</v>
      </c>
      <c r="BB303" s="451">
        <v>0</v>
      </c>
      <c r="BC303" s="451">
        <v>0</v>
      </c>
      <c r="BD303" s="451">
        <v>0</v>
      </c>
      <c r="BE303" s="451">
        <v>0</v>
      </c>
      <c r="BF303" s="451">
        <v>964437</v>
      </c>
      <c r="BG303" s="451">
        <v>771549</v>
      </c>
      <c r="BH303" s="451">
        <v>192887</v>
      </c>
      <c r="BI303" s="451">
        <v>0</v>
      </c>
      <c r="BJ303" s="451">
        <v>1928873</v>
      </c>
      <c r="BK303" s="451">
        <v>964437</v>
      </c>
      <c r="BL303" s="451">
        <v>771549</v>
      </c>
      <c r="BM303" s="451">
        <v>192887</v>
      </c>
      <c r="BN303" s="451">
        <v>0</v>
      </c>
      <c r="BO303" s="451">
        <v>1928873</v>
      </c>
      <c r="BP303" s="451">
        <v>0</v>
      </c>
      <c r="BQ303" s="451">
        <v>0</v>
      </c>
      <c r="BR303" s="451">
        <v>0</v>
      </c>
      <c r="BS303" s="451">
        <v>0</v>
      </c>
      <c r="BT303" s="451">
        <v>0</v>
      </c>
      <c r="BU303" s="451">
        <v>2312142</v>
      </c>
      <c r="BV303" s="451">
        <v>1849713</v>
      </c>
      <c r="BW303" s="451">
        <v>462428</v>
      </c>
      <c r="BX303" s="451">
        <v>0</v>
      </c>
      <c r="BY303" s="451">
        <v>4624283</v>
      </c>
      <c r="BZ303" s="451">
        <v>2312142</v>
      </c>
      <c r="CA303" s="451">
        <v>1849713</v>
      </c>
      <c r="CB303" s="451">
        <v>462428</v>
      </c>
      <c r="CC303" s="451">
        <v>0</v>
      </c>
      <c r="CD303" s="451">
        <v>4624283</v>
      </c>
      <c r="CE303" s="104"/>
      <c r="CF303" s="104"/>
      <c r="CG303" s="104"/>
    </row>
    <row r="304" spans="1:85" ht="12.75" x14ac:dyDescent="0.2">
      <c r="A304" s="446">
        <v>297</v>
      </c>
      <c r="B304" s="447" t="s">
        <v>477</v>
      </c>
      <c r="C304" s="448" t="s">
        <v>1093</v>
      </c>
      <c r="D304" s="449" t="s">
        <v>1097</v>
      </c>
      <c r="E304" s="450" t="s">
        <v>476</v>
      </c>
      <c r="F304" s="451">
        <v>27559994</v>
      </c>
      <c r="G304" s="451">
        <v>22047995</v>
      </c>
      <c r="H304" s="451">
        <v>5511999</v>
      </c>
      <c r="I304" s="451">
        <v>0</v>
      </c>
      <c r="J304" s="451">
        <v>55119988</v>
      </c>
      <c r="K304" s="451">
        <v>0</v>
      </c>
      <c r="L304" s="451">
        <v>0</v>
      </c>
      <c r="M304" s="451">
        <v>27559994</v>
      </c>
      <c r="N304" s="451">
        <v>55119988</v>
      </c>
      <c r="O304" s="451">
        <v>205695</v>
      </c>
      <c r="P304" s="451">
        <v>205695</v>
      </c>
      <c r="Q304" s="451">
        <v>0</v>
      </c>
      <c r="R304" s="451">
        <v>0</v>
      </c>
      <c r="S304" s="451">
        <v>0</v>
      </c>
      <c r="T304" s="451">
        <v>0</v>
      </c>
      <c r="U304" s="451">
        <v>0</v>
      </c>
      <c r="V304" s="451">
        <v>0</v>
      </c>
      <c r="W304" s="451">
        <v>0</v>
      </c>
      <c r="X304" s="451">
        <v>0</v>
      </c>
      <c r="Y304" s="451">
        <v>0</v>
      </c>
      <c r="Z304" s="451">
        <v>0</v>
      </c>
      <c r="AA304" s="451">
        <v>0</v>
      </c>
      <c r="AB304" s="451">
        <v>2451989</v>
      </c>
      <c r="AC304" s="451">
        <v>1961591</v>
      </c>
      <c r="AD304" s="451">
        <v>490398</v>
      </c>
      <c r="AE304" s="451">
        <v>0</v>
      </c>
      <c r="AF304" s="451">
        <v>4903978</v>
      </c>
      <c r="AG304" s="451">
        <v>-1132380</v>
      </c>
      <c r="AH304" s="451">
        <v>-905904</v>
      </c>
      <c r="AI304" s="451">
        <v>-226476</v>
      </c>
      <c r="AJ304" s="451">
        <v>0</v>
      </c>
      <c r="AK304" s="451">
        <v>-2264760</v>
      </c>
      <c r="AL304" s="451">
        <v>955000</v>
      </c>
      <c r="AM304" s="451">
        <v>764000</v>
      </c>
      <c r="AN304" s="451">
        <v>191000</v>
      </c>
      <c r="AO304" s="451">
        <v>0</v>
      </c>
      <c r="AP304" s="451">
        <v>1910000</v>
      </c>
      <c r="AQ304" s="451">
        <v>67000</v>
      </c>
      <c r="AR304" s="451">
        <v>53600</v>
      </c>
      <c r="AS304" s="451">
        <v>13400</v>
      </c>
      <c r="AT304" s="451">
        <v>0</v>
      </c>
      <c r="AU304" s="451">
        <v>134000</v>
      </c>
      <c r="AV304" s="451">
        <v>1022000</v>
      </c>
      <c r="AW304" s="451">
        <v>817600</v>
      </c>
      <c r="AX304" s="451">
        <v>204400</v>
      </c>
      <c r="AY304" s="451">
        <v>0</v>
      </c>
      <c r="AZ304" s="451">
        <v>2044000</v>
      </c>
      <c r="BA304" s="451">
        <v>0</v>
      </c>
      <c r="BB304" s="451">
        <v>0</v>
      </c>
      <c r="BC304" s="451">
        <v>0</v>
      </c>
      <c r="BD304" s="451">
        <v>0</v>
      </c>
      <c r="BE304" s="451">
        <v>0</v>
      </c>
      <c r="BF304" s="451">
        <v>802632</v>
      </c>
      <c r="BG304" s="451">
        <v>642105</v>
      </c>
      <c r="BH304" s="451">
        <v>160526</v>
      </c>
      <c r="BI304" s="451">
        <v>0</v>
      </c>
      <c r="BJ304" s="451">
        <v>1605263</v>
      </c>
      <c r="BK304" s="451">
        <v>802632</v>
      </c>
      <c r="BL304" s="451">
        <v>642105</v>
      </c>
      <c r="BM304" s="451">
        <v>160526</v>
      </c>
      <c r="BN304" s="451">
        <v>0</v>
      </c>
      <c r="BO304" s="451">
        <v>1605263</v>
      </c>
      <c r="BP304" s="451">
        <v>0</v>
      </c>
      <c r="BQ304" s="451">
        <v>0</v>
      </c>
      <c r="BR304" s="451">
        <v>0</v>
      </c>
      <c r="BS304" s="451">
        <v>0</v>
      </c>
      <c r="BT304" s="451">
        <v>0</v>
      </c>
      <c r="BU304" s="451">
        <v>2216949</v>
      </c>
      <c r="BV304" s="451">
        <v>1773559</v>
      </c>
      <c r="BW304" s="451">
        <v>443390</v>
      </c>
      <c r="BX304" s="451">
        <v>0</v>
      </c>
      <c r="BY304" s="451">
        <v>4433898</v>
      </c>
      <c r="BZ304" s="451">
        <v>2216949</v>
      </c>
      <c r="CA304" s="451">
        <v>1773559</v>
      </c>
      <c r="CB304" s="451">
        <v>443390</v>
      </c>
      <c r="CC304" s="451">
        <v>0</v>
      </c>
      <c r="CD304" s="451">
        <v>4433898</v>
      </c>
      <c r="CE304" s="104"/>
      <c r="CF304" s="104"/>
      <c r="CG304" s="104"/>
    </row>
    <row r="305" spans="1:85" ht="12.75" x14ac:dyDescent="0.2">
      <c r="A305" s="446">
        <v>298</v>
      </c>
      <c r="B305" s="447" t="s">
        <v>479</v>
      </c>
      <c r="C305" s="448" t="s">
        <v>1093</v>
      </c>
      <c r="D305" s="449" t="s">
        <v>1097</v>
      </c>
      <c r="E305" s="450" t="s">
        <v>478</v>
      </c>
      <c r="F305" s="451">
        <v>12757902</v>
      </c>
      <c r="G305" s="451">
        <v>10206322</v>
      </c>
      <c r="H305" s="451">
        <v>2551580</v>
      </c>
      <c r="I305" s="451">
        <v>0</v>
      </c>
      <c r="J305" s="451">
        <v>25515804</v>
      </c>
      <c r="K305" s="451">
        <v>0</v>
      </c>
      <c r="L305" s="451">
        <v>0</v>
      </c>
      <c r="M305" s="451">
        <v>12757902</v>
      </c>
      <c r="N305" s="451">
        <v>25515804</v>
      </c>
      <c r="O305" s="451">
        <v>204116</v>
      </c>
      <c r="P305" s="451">
        <v>204116</v>
      </c>
      <c r="Q305" s="451">
        <v>0</v>
      </c>
      <c r="R305" s="451">
        <v>0</v>
      </c>
      <c r="S305" s="451">
        <v>0</v>
      </c>
      <c r="T305" s="451">
        <v>0</v>
      </c>
      <c r="U305" s="451">
        <v>0</v>
      </c>
      <c r="V305" s="451">
        <v>0</v>
      </c>
      <c r="W305" s="451">
        <v>0</v>
      </c>
      <c r="X305" s="451">
        <v>0</v>
      </c>
      <c r="Y305" s="451">
        <v>0</v>
      </c>
      <c r="Z305" s="451">
        <v>0</v>
      </c>
      <c r="AA305" s="451">
        <v>0</v>
      </c>
      <c r="AB305" s="451">
        <v>591727.66</v>
      </c>
      <c r="AC305" s="451">
        <v>473382</v>
      </c>
      <c r="AD305" s="451">
        <v>118345</v>
      </c>
      <c r="AE305" s="451">
        <v>0</v>
      </c>
      <c r="AF305" s="451">
        <v>1183454.6599999999</v>
      </c>
      <c r="AG305" s="451">
        <v>-321452</v>
      </c>
      <c r="AH305" s="451">
        <v>-257162</v>
      </c>
      <c r="AI305" s="451">
        <v>-64290</v>
      </c>
      <c r="AJ305" s="451">
        <v>0</v>
      </c>
      <c r="AK305" s="451">
        <v>-642904</v>
      </c>
      <c r="AL305" s="451">
        <v>137000</v>
      </c>
      <c r="AM305" s="451">
        <v>109600</v>
      </c>
      <c r="AN305" s="451">
        <v>27400</v>
      </c>
      <c r="AO305" s="451">
        <v>0</v>
      </c>
      <c r="AP305" s="451">
        <v>274000</v>
      </c>
      <c r="AQ305" s="451">
        <v>152500</v>
      </c>
      <c r="AR305" s="451">
        <v>122000</v>
      </c>
      <c r="AS305" s="451">
        <v>30500</v>
      </c>
      <c r="AT305" s="451">
        <v>0</v>
      </c>
      <c r="AU305" s="451">
        <v>305000</v>
      </c>
      <c r="AV305" s="451">
        <v>289500</v>
      </c>
      <c r="AW305" s="451">
        <v>231600</v>
      </c>
      <c r="AX305" s="451">
        <v>57900</v>
      </c>
      <c r="AY305" s="451">
        <v>0</v>
      </c>
      <c r="AZ305" s="451">
        <v>579000</v>
      </c>
      <c r="BA305" s="451">
        <v>0</v>
      </c>
      <c r="BB305" s="451">
        <v>0</v>
      </c>
      <c r="BC305" s="451">
        <v>0</v>
      </c>
      <c r="BD305" s="451">
        <v>0</v>
      </c>
      <c r="BE305" s="451">
        <v>0</v>
      </c>
      <c r="BF305" s="451">
        <v>2004</v>
      </c>
      <c r="BG305" s="451">
        <v>1603</v>
      </c>
      <c r="BH305" s="451">
        <v>401</v>
      </c>
      <c r="BI305" s="451">
        <v>0</v>
      </c>
      <c r="BJ305" s="451">
        <v>4008</v>
      </c>
      <c r="BK305" s="451">
        <v>2004</v>
      </c>
      <c r="BL305" s="451">
        <v>1603</v>
      </c>
      <c r="BM305" s="451">
        <v>401</v>
      </c>
      <c r="BN305" s="451">
        <v>0</v>
      </c>
      <c r="BO305" s="451">
        <v>4008</v>
      </c>
      <c r="BP305" s="451">
        <v>0</v>
      </c>
      <c r="BQ305" s="451">
        <v>0</v>
      </c>
      <c r="BR305" s="451">
        <v>0</v>
      </c>
      <c r="BS305" s="451">
        <v>0</v>
      </c>
      <c r="BT305" s="451">
        <v>0</v>
      </c>
      <c r="BU305" s="451">
        <v>560648</v>
      </c>
      <c r="BV305" s="451">
        <v>448518</v>
      </c>
      <c r="BW305" s="451">
        <v>112130</v>
      </c>
      <c r="BX305" s="451">
        <v>0</v>
      </c>
      <c r="BY305" s="451">
        <v>1121296</v>
      </c>
      <c r="BZ305" s="451">
        <v>560648</v>
      </c>
      <c r="CA305" s="451">
        <v>448518</v>
      </c>
      <c r="CB305" s="451">
        <v>112130</v>
      </c>
      <c r="CC305" s="451">
        <v>0</v>
      </c>
      <c r="CD305" s="451">
        <v>1121296</v>
      </c>
      <c r="CE305" s="104"/>
      <c r="CF305" s="104"/>
      <c r="CG305" s="104"/>
    </row>
    <row r="306" spans="1:85" ht="12.75" x14ac:dyDescent="0.2">
      <c r="A306" s="446">
        <v>299</v>
      </c>
      <c r="B306" s="447" t="s">
        <v>481</v>
      </c>
      <c r="C306" s="448" t="s">
        <v>1093</v>
      </c>
      <c r="D306" s="449" t="s">
        <v>1094</v>
      </c>
      <c r="E306" s="450" t="s">
        <v>480</v>
      </c>
      <c r="F306" s="451">
        <v>17558322</v>
      </c>
      <c r="G306" s="451">
        <v>14046658</v>
      </c>
      <c r="H306" s="451">
        <v>3511664</v>
      </c>
      <c r="I306" s="451">
        <v>0</v>
      </c>
      <c r="J306" s="451">
        <v>35116644</v>
      </c>
      <c r="K306" s="451">
        <v>0</v>
      </c>
      <c r="L306" s="451">
        <v>0</v>
      </c>
      <c r="M306" s="451">
        <v>17558322</v>
      </c>
      <c r="N306" s="451">
        <v>35116644</v>
      </c>
      <c r="O306" s="451">
        <v>181490</v>
      </c>
      <c r="P306" s="451">
        <v>181490</v>
      </c>
      <c r="Q306" s="451">
        <v>0</v>
      </c>
      <c r="R306" s="451">
        <v>0</v>
      </c>
      <c r="S306" s="451">
        <v>0</v>
      </c>
      <c r="T306" s="451">
        <v>0</v>
      </c>
      <c r="U306" s="451">
        <v>0</v>
      </c>
      <c r="V306" s="451">
        <v>0</v>
      </c>
      <c r="W306" s="451">
        <v>0</v>
      </c>
      <c r="X306" s="451">
        <v>0</v>
      </c>
      <c r="Y306" s="451">
        <v>0</v>
      </c>
      <c r="Z306" s="451">
        <v>0</v>
      </c>
      <c r="AA306" s="451">
        <v>0</v>
      </c>
      <c r="AB306" s="451">
        <v>1101187.8999999999</v>
      </c>
      <c r="AC306" s="451">
        <v>880950</v>
      </c>
      <c r="AD306" s="451">
        <v>220237</v>
      </c>
      <c r="AE306" s="451">
        <v>0</v>
      </c>
      <c r="AF306" s="451">
        <v>2202374.9</v>
      </c>
      <c r="AG306" s="451">
        <v>388602.63</v>
      </c>
      <c r="AH306" s="451">
        <v>310882</v>
      </c>
      <c r="AI306" s="451">
        <v>77721</v>
      </c>
      <c r="AJ306" s="451">
        <v>0</v>
      </c>
      <c r="AK306" s="451">
        <v>777205.63</v>
      </c>
      <c r="AL306" s="451">
        <v>115000</v>
      </c>
      <c r="AM306" s="451">
        <v>92000</v>
      </c>
      <c r="AN306" s="451">
        <v>23000</v>
      </c>
      <c r="AO306" s="451">
        <v>0</v>
      </c>
      <c r="AP306" s="451">
        <v>230000</v>
      </c>
      <c r="AQ306" s="451">
        <v>69687</v>
      </c>
      <c r="AR306" s="451">
        <v>55749</v>
      </c>
      <c r="AS306" s="451">
        <v>13937</v>
      </c>
      <c r="AT306" s="451">
        <v>0</v>
      </c>
      <c r="AU306" s="451">
        <v>139373</v>
      </c>
      <c r="AV306" s="451">
        <v>184687</v>
      </c>
      <c r="AW306" s="451">
        <v>147749</v>
      </c>
      <c r="AX306" s="451">
        <v>36937</v>
      </c>
      <c r="AY306" s="451">
        <v>0</v>
      </c>
      <c r="AZ306" s="451">
        <v>369373</v>
      </c>
      <c r="BA306" s="451">
        <v>0</v>
      </c>
      <c r="BB306" s="451">
        <v>0</v>
      </c>
      <c r="BC306" s="451">
        <v>0</v>
      </c>
      <c r="BD306" s="451">
        <v>0</v>
      </c>
      <c r="BE306" s="451">
        <v>0</v>
      </c>
      <c r="BF306" s="451">
        <v>290</v>
      </c>
      <c r="BG306" s="451">
        <v>232</v>
      </c>
      <c r="BH306" s="451">
        <v>58</v>
      </c>
      <c r="BI306" s="451">
        <v>0</v>
      </c>
      <c r="BJ306" s="451">
        <v>580</v>
      </c>
      <c r="BK306" s="451">
        <v>290</v>
      </c>
      <c r="BL306" s="451">
        <v>232</v>
      </c>
      <c r="BM306" s="451">
        <v>58</v>
      </c>
      <c r="BN306" s="451">
        <v>0</v>
      </c>
      <c r="BO306" s="451">
        <v>580</v>
      </c>
      <c r="BP306" s="451">
        <v>0</v>
      </c>
      <c r="BQ306" s="451">
        <v>0</v>
      </c>
      <c r="BR306" s="451">
        <v>0</v>
      </c>
      <c r="BS306" s="451">
        <v>0</v>
      </c>
      <c r="BT306" s="451">
        <v>0</v>
      </c>
      <c r="BU306" s="451">
        <v>269190</v>
      </c>
      <c r="BV306" s="451">
        <v>215352</v>
      </c>
      <c r="BW306" s="451">
        <v>53838</v>
      </c>
      <c r="BX306" s="451">
        <v>0</v>
      </c>
      <c r="BY306" s="451">
        <v>538380</v>
      </c>
      <c r="BZ306" s="451">
        <v>269190</v>
      </c>
      <c r="CA306" s="451">
        <v>215352</v>
      </c>
      <c r="CB306" s="451">
        <v>53838</v>
      </c>
      <c r="CC306" s="451">
        <v>0</v>
      </c>
      <c r="CD306" s="451">
        <v>538380</v>
      </c>
      <c r="CE306" s="104"/>
      <c r="CF306" s="104"/>
      <c r="CG306" s="104"/>
    </row>
    <row r="307" spans="1:85" ht="12.75" x14ac:dyDescent="0.2">
      <c r="A307" s="446">
        <v>300</v>
      </c>
      <c r="B307" s="447" t="s">
        <v>483</v>
      </c>
      <c r="C307" s="448" t="s">
        <v>1093</v>
      </c>
      <c r="D307" s="449" t="s">
        <v>1094</v>
      </c>
      <c r="E307" s="450" t="s">
        <v>482</v>
      </c>
      <c r="F307" s="451">
        <v>13992298</v>
      </c>
      <c r="G307" s="451">
        <v>11193838</v>
      </c>
      <c r="H307" s="451">
        <v>2518614</v>
      </c>
      <c r="I307" s="451">
        <v>279846</v>
      </c>
      <c r="J307" s="451">
        <v>27984596</v>
      </c>
      <c r="K307" s="451">
        <v>0</v>
      </c>
      <c r="L307" s="451">
        <v>0</v>
      </c>
      <c r="M307" s="451">
        <v>13992298</v>
      </c>
      <c r="N307" s="451">
        <v>27984596</v>
      </c>
      <c r="O307" s="451">
        <v>207210</v>
      </c>
      <c r="P307" s="451">
        <v>207210</v>
      </c>
      <c r="Q307" s="451">
        <v>0</v>
      </c>
      <c r="R307" s="451">
        <v>0</v>
      </c>
      <c r="S307" s="451">
        <v>0</v>
      </c>
      <c r="T307" s="451">
        <v>0</v>
      </c>
      <c r="U307" s="451">
        <v>0</v>
      </c>
      <c r="V307" s="451">
        <v>0</v>
      </c>
      <c r="W307" s="451">
        <v>0</v>
      </c>
      <c r="X307" s="451">
        <v>0</v>
      </c>
      <c r="Y307" s="451">
        <v>0</v>
      </c>
      <c r="Z307" s="451">
        <v>0</v>
      </c>
      <c r="AA307" s="451">
        <v>0</v>
      </c>
      <c r="AB307" s="451">
        <v>726078</v>
      </c>
      <c r="AC307" s="451">
        <v>580862</v>
      </c>
      <c r="AD307" s="451">
        <v>130694</v>
      </c>
      <c r="AE307" s="451">
        <v>14522</v>
      </c>
      <c r="AF307" s="451">
        <v>1452156</v>
      </c>
      <c r="AG307" s="451">
        <v>226880</v>
      </c>
      <c r="AH307" s="451">
        <v>181505</v>
      </c>
      <c r="AI307" s="451">
        <v>40839</v>
      </c>
      <c r="AJ307" s="451">
        <v>4538</v>
      </c>
      <c r="AK307" s="451">
        <v>453762</v>
      </c>
      <c r="AL307" s="451">
        <v>433839</v>
      </c>
      <c r="AM307" s="451">
        <v>347071</v>
      </c>
      <c r="AN307" s="451">
        <v>78091</v>
      </c>
      <c r="AO307" s="451">
        <v>8677</v>
      </c>
      <c r="AP307" s="451">
        <v>867678</v>
      </c>
      <c r="AQ307" s="451">
        <v>-300469</v>
      </c>
      <c r="AR307" s="451">
        <v>-240376</v>
      </c>
      <c r="AS307" s="451">
        <v>-54085</v>
      </c>
      <c r="AT307" s="451">
        <v>-6009</v>
      </c>
      <c r="AU307" s="451">
        <v>-600939</v>
      </c>
      <c r="AV307" s="451">
        <v>133370</v>
      </c>
      <c r="AW307" s="451">
        <v>106695</v>
      </c>
      <c r="AX307" s="451">
        <v>24006</v>
      </c>
      <c r="AY307" s="451">
        <v>2668</v>
      </c>
      <c r="AZ307" s="451">
        <v>266739</v>
      </c>
      <c r="BA307" s="451">
        <v>0</v>
      </c>
      <c r="BB307" s="451">
        <v>0</v>
      </c>
      <c r="BC307" s="451">
        <v>0</v>
      </c>
      <c r="BD307" s="451">
        <v>0</v>
      </c>
      <c r="BE307" s="451">
        <v>0</v>
      </c>
      <c r="BF307" s="451">
        <v>119814</v>
      </c>
      <c r="BG307" s="451">
        <v>95851</v>
      </c>
      <c r="BH307" s="451">
        <v>21566</v>
      </c>
      <c r="BI307" s="451">
        <v>2396</v>
      </c>
      <c r="BJ307" s="451">
        <v>239627</v>
      </c>
      <c r="BK307" s="451">
        <v>119814</v>
      </c>
      <c r="BL307" s="451">
        <v>95851</v>
      </c>
      <c r="BM307" s="451">
        <v>21566</v>
      </c>
      <c r="BN307" s="451">
        <v>2396</v>
      </c>
      <c r="BO307" s="451">
        <v>239627</v>
      </c>
      <c r="BP307" s="451">
        <v>0</v>
      </c>
      <c r="BQ307" s="451">
        <v>0</v>
      </c>
      <c r="BR307" s="451">
        <v>0</v>
      </c>
      <c r="BS307" s="451">
        <v>0</v>
      </c>
      <c r="BT307" s="451">
        <v>0</v>
      </c>
      <c r="BU307" s="451">
        <v>311464</v>
      </c>
      <c r="BV307" s="451">
        <v>249171</v>
      </c>
      <c r="BW307" s="451">
        <v>56064</v>
      </c>
      <c r="BX307" s="451">
        <v>6229</v>
      </c>
      <c r="BY307" s="451">
        <v>622928</v>
      </c>
      <c r="BZ307" s="451">
        <v>311464</v>
      </c>
      <c r="CA307" s="451">
        <v>249171</v>
      </c>
      <c r="CB307" s="451">
        <v>56064</v>
      </c>
      <c r="CC307" s="451">
        <v>6229</v>
      </c>
      <c r="CD307" s="451">
        <v>622928</v>
      </c>
      <c r="CE307" s="104"/>
      <c r="CF307" s="104"/>
      <c r="CG307" s="104"/>
    </row>
    <row r="308" spans="1:85" ht="12.75" x14ac:dyDescent="0.2">
      <c r="A308" s="446">
        <v>301</v>
      </c>
      <c r="B308" s="447" t="s">
        <v>485</v>
      </c>
      <c r="C308" s="448" t="s">
        <v>1093</v>
      </c>
      <c r="D308" s="449" t="s">
        <v>1096</v>
      </c>
      <c r="E308" s="450" t="s">
        <v>484</v>
      </c>
      <c r="F308" s="451">
        <v>13854054</v>
      </c>
      <c r="G308" s="451">
        <v>11083243</v>
      </c>
      <c r="H308" s="451">
        <v>2770811</v>
      </c>
      <c r="I308" s="451">
        <v>0</v>
      </c>
      <c r="J308" s="451">
        <v>27708108</v>
      </c>
      <c r="K308" s="451">
        <v>0</v>
      </c>
      <c r="L308" s="451">
        <v>0</v>
      </c>
      <c r="M308" s="451">
        <v>13854054</v>
      </c>
      <c r="N308" s="451">
        <v>27708108</v>
      </c>
      <c r="O308" s="451">
        <v>113391</v>
      </c>
      <c r="P308" s="451">
        <v>113391</v>
      </c>
      <c r="Q308" s="451">
        <v>0</v>
      </c>
      <c r="R308" s="451">
        <v>0</v>
      </c>
      <c r="S308" s="451">
        <v>0</v>
      </c>
      <c r="T308" s="451">
        <v>0</v>
      </c>
      <c r="U308" s="451">
        <v>0</v>
      </c>
      <c r="V308" s="451">
        <v>0</v>
      </c>
      <c r="W308" s="451">
        <v>0</v>
      </c>
      <c r="X308" s="451">
        <v>0</v>
      </c>
      <c r="Y308" s="451">
        <v>0</v>
      </c>
      <c r="Z308" s="451">
        <v>0</v>
      </c>
      <c r="AA308" s="451">
        <v>0</v>
      </c>
      <c r="AB308" s="451">
        <v>299847.58</v>
      </c>
      <c r="AC308" s="451">
        <v>239877</v>
      </c>
      <c r="AD308" s="451">
        <v>59969</v>
      </c>
      <c r="AE308" s="451">
        <v>0</v>
      </c>
      <c r="AF308" s="451">
        <v>599693.57999999996</v>
      </c>
      <c r="AG308" s="451">
        <v>144642</v>
      </c>
      <c r="AH308" s="451">
        <v>115714</v>
      </c>
      <c r="AI308" s="451">
        <v>28928</v>
      </c>
      <c r="AJ308" s="451">
        <v>0</v>
      </c>
      <c r="AK308" s="451">
        <v>289284</v>
      </c>
      <c r="AL308" s="451">
        <v>0</v>
      </c>
      <c r="AM308" s="451">
        <v>0</v>
      </c>
      <c r="AN308" s="451">
        <v>0</v>
      </c>
      <c r="AO308" s="451">
        <v>0</v>
      </c>
      <c r="AP308" s="451">
        <v>0</v>
      </c>
      <c r="AQ308" s="451">
        <v>-6350</v>
      </c>
      <c r="AR308" s="451">
        <v>-5080</v>
      </c>
      <c r="AS308" s="451">
        <v>-1270</v>
      </c>
      <c r="AT308" s="451">
        <v>0</v>
      </c>
      <c r="AU308" s="451">
        <v>-12700</v>
      </c>
      <c r="AV308" s="451">
        <v>-6350</v>
      </c>
      <c r="AW308" s="451">
        <v>-5080</v>
      </c>
      <c r="AX308" s="451">
        <v>-1270</v>
      </c>
      <c r="AY308" s="451">
        <v>0</v>
      </c>
      <c r="AZ308" s="451">
        <v>-12700</v>
      </c>
      <c r="BA308" s="451">
        <v>0</v>
      </c>
      <c r="BB308" s="451">
        <v>0</v>
      </c>
      <c r="BC308" s="451">
        <v>0</v>
      </c>
      <c r="BD308" s="451">
        <v>0</v>
      </c>
      <c r="BE308" s="451">
        <v>0</v>
      </c>
      <c r="BF308" s="451">
        <v>2692.62</v>
      </c>
      <c r="BG308" s="451">
        <v>2155</v>
      </c>
      <c r="BH308" s="451">
        <v>539</v>
      </c>
      <c r="BI308" s="451">
        <v>0</v>
      </c>
      <c r="BJ308" s="451">
        <v>5386.62</v>
      </c>
      <c r="BK308" s="451">
        <v>2692.62</v>
      </c>
      <c r="BL308" s="451">
        <v>2155</v>
      </c>
      <c r="BM308" s="451">
        <v>539</v>
      </c>
      <c r="BN308" s="451">
        <v>0</v>
      </c>
      <c r="BO308" s="451">
        <v>5386.62</v>
      </c>
      <c r="BP308" s="451">
        <v>0</v>
      </c>
      <c r="BQ308" s="451">
        <v>0</v>
      </c>
      <c r="BR308" s="451">
        <v>0</v>
      </c>
      <c r="BS308" s="451">
        <v>0</v>
      </c>
      <c r="BT308" s="451">
        <v>0</v>
      </c>
      <c r="BU308" s="451">
        <v>99629.18</v>
      </c>
      <c r="BV308" s="451">
        <v>79703</v>
      </c>
      <c r="BW308" s="451">
        <v>19926</v>
      </c>
      <c r="BX308" s="451">
        <v>0</v>
      </c>
      <c r="BY308" s="451">
        <v>199258.18</v>
      </c>
      <c r="BZ308" s="451">
        <v>99629.18</v>
      </c>
      <c r="CA308" s="451">
        <v>79703</v>
      </c>
      <c r="CB308" s="451">
        <v>19926</v>
      </c>
      <c r="CC308" s="451">
        <v>0</v>
      </c>
      <c r="CD308" s="451">
        <v>199258.18</v>
      </c>
      <c r="CE308" s="104"/>
      <c r="CF308" s="104"/>
      <c r="CG308" s="104"/>
    </row>
    <row r="309" spans="1:85" ht="12.75" x14ac:dyDescent="0.2">
      <c r="A309" s="446">
        <v>302</v>
      </c>
      <c r="B309" s="447" t="s">
        <v>487</v>
      </c>
      <c r="C309" s="448" t="s">
        <v>1093</v>
      </c>
      <c r="D309" s="449" t="s">
        <v>1097</v>
      </c>
      <c r="E309" s="450" t="s">
        <v>486</v>
      </c>
      <c r="F309" s="451">
        <v>27528886</v>
      </c>
      <c r="G309" s="451">
        <v>22023109</v>
      </c>
      <c r="H309" s="451">
        <v>5505777</v>
      </c>
      <c r="I309" s="451">
        <v>0</v>
      </c>
      <c r="J309" s="451">
        <v>55057772</v>
      </c>
      <c r="K309" s="451">
        <v>0</v>
      </c>
      <c r="L309" s="451">
        <v>0</v>
      </c>
      <c r="M309" s="451">
        <v>27528886</v>
      </c>
      <c r="N309" s="451">
        <v>55057772</v>
      </c>
      <c r="O309" s="451">
        <v>151424</v>
      </c>
      <c r="P309" s="451">
        <v>151424</v>
      </c>
      <c r="Q309" s="451">
        <v>0</v>
      </c>
      <c r="R309" s="451">
        <v>0</v>
      </c>
      <c r="S309" s="451">
        <v>0</v>
      </c>
      <c r="T309" s="451">
        <v>0</v>
      </c>
      <c r="U309" s="451">
        <v>0</v>
      </c>
      <c r="V309" s="451">
        <v>0</v>
      </c>
      <c r="W309" s="451">
        <v>0</v>
      </c>
      <c r="X309" s="451">
        <v>0</v>
      </c>
      <c r="Y309" s="451">
        <v>0</v>
      </c>
      <c r="Z309" s="451">
        <v>0</v>
      </c>
      <c r="AA309" s="451">
        <v>0</v>
      </c>
      <c r="AB309" s="451">
        <v>449275.61</v>
      </c>
      <c r="AC309" s="451">
        <v>359421</v>
      </c>
      <c r="AD309" s="451">
        <v>89855</v>
      </c>
      <c r="AE309" s="451">
        <v>0</v>
      </c>
      <c r="AF309" s="451">
        <v>898551.61</v>
      </c>
      <c r="AG309" s="451">
        <v>5876.33</v>
      </c>
      <c r="AH309" s="451">
        <v>4701</v>
      </c>
      <c r="AI309" s="451">
        <v>1175</v>
      </c>
      <c r="AJ309" s="451">
        <v>0</v>
      </c>
      <c r="AK309" s="451">
        <v>11752.33</v>
      </c>
      <c r="AL309" s="451">
        <v>110309.71</v>
      </c>
      <c r="AM309" s="451">
        <v>88248</v>
      </c>
      <c r="AN309" s="451">
        <v>22062</v>
      </c>
      <c r="AO309" s="451">
        <v>0</v>
      </c>
      <c r="AP309" s="451">
        <v>220619.71</v>
      </c>
      <c r="AQ309" s="451">
        <v>-20262.64</v>
      </c>
      <c r="AR309" s="451">
        <v>-16210</v>
      </c>
      <c r="AS309" s="451">
        <v>-4052</v>
      </c>
      <c r="AT309" s="451">
        <v>0</v>
      </c>
      <c r="AU309" s="451">
        <v>-40524.639999999999</v>
      </c>
      <c r="AV309" s="451">
        <v>90047.07</v>
      </c>
      <c r="AW309" s="451">
        <v>72038</v>
      </c>
      <c r="AX309" s="451">
        <v>18010</v>
      </c>
      <c r="AY309" s="451">
        <v>0</v>
      </c>
      <c r="AZ309" s="451">
        <v>180095.07</v>
      </c>
      <c r="BA309" s="451">
        <v>0</v>
      </c>
      <c r="BB309" s="451">
        <v>0</v>
      </c>
      <c r="BC309" s="451">
        <v>0</v>
      </c>
      <c r="BD309" s="451">
        <v>0</v>
      </c>
      <c r="BE309" s="451">
        <v>0</v>
      </c>
      <c r="BF309" s="451">
        <v>176997.52</v>
      </c>
      <c r="BG309" s="451">
        <v>141597</v>
      </c>
      <c r="BH309" s="451">
        <v>35399</v>
      </c>
      <c r="BI309" s="451">
        <v>0</v>
      </c>
      <c r="BJ309" s="451">
        <v>353993.52</v>
      </c>
      <c r="BK309" s="451">
        <v>176997.52</v>
      </c>
      <c r="BL309" s="451">
        <v>141597</v>
      </c>
      <c r="BM309" s="451">
        <v>35399</v>
      </c>
      <c r="BN309" s="451">
        <v>0</v>
      </c>
      <c r="BO309" s="451">
        <v>353993.52</v>
      </c>
      <c r="BP309" s="451">
        <v>0</v>
      </c>
      <c r="BQ309" s="451">
        <v>0</v>
      </c>
      <c r="BR309" s="451">
        <v>0</v>
      </c>
      <c r="BS309" s="451">
        <v>0</v>
      </c>
      <c r="BT309" s="451">
        <v>0</v>
      </c>
      <c r="BU309" s="451">
        <v>519629.2</v>
      </c>
      <c r="BV309" s="451">
        <v>415704</v>
      </c>
      <c r="BW309" s="451">
        <v>103926</v>
      </c>
      <c r="BX309" s="451">
        <v>0</v>
      </c>
      <c r="BY309" s="451">
        <v>1039259.2</v>
      </c>
      <c r="BZ309" s="451">
        <v>519629.2</v>
      </c>
      <c r="CA309" s="451">
        <v>415704</v>
      </c>
      <c r="CB309" s="451">
        <v>103926</v>
      </c>
      <c r="CC309" s="451">
        <v>0</v>
      </c>
      <c r="CD309" s="451">
        <v>1039259.2</v>
      </c>
      <c r="CE309" s="104"/>
      <c r="CF309" s="104"/>
      <c r="CG309" s="104"/>
    </row>
    <row r="310" spans="1:85" ht="12.75" x14ac:dyDescent="0.2">
      <c r="A310" s="446">
        <v>303</v>
      </c>
      <c r="B310" s="447" t="s">
        <v>489</v>
      </c>
      <c r="C310" s="448" t="s">
        <v>794</v>
      </c>
      <c r="D310" s="449" t="s">
        <v>1094</v>
      </c>
      <c r="E310" s="450" t="s">
        <v>755</v>
      </c>
      <c r="F310" s="451">
        <v>39387015</v>
      </c>
      <c r="G310" s="451">
        <v>38599274</v>
      </c>
      <c r="H310" s="451">
        <v>0</v>
      </c>
      <c r="I310" s="451">
        <v>787740</v>
      </c>
      <c r="J310" s="451">
        <v>78774029</v>
      </c>
      <c r="K310" s="451">
        <v>0</v>
      </c>
      <c r="L310" s="451">
        <v>0</v>
      </c>
      <c r="M310" s="451">
        <v>39387015</v>
      </c>
      <c r="N310" s="451">
        <v>78774029</v>
      </c>
      <c r="O310" s="451">
        <v>257520</v>
      </c>
      <c r="P310" s="451">
        <v>257520</v>
      </c>
      <c r="Q310" s="451">
        <v>0</v>
      </c>
      <c r="R310" s="451">
        <v>0</v>
      </c>
      <c r="S310" s="451">
        <v>0</v>
      </c>
      <c r="T310" s="451">
        <v>0</v>
      </c>
      <c r="U310" s="451">
        <v>0</v>
      </c>
      <c r="V310" s="451">
        <v>0</v>
      </c>
      <c r="W310" s="451">
        <v>0</v>
      </c>
      <c r="X310" s="451">
        <v>0</v>
      </c>
      <c r="Y310" s="451">
        <v>0</v>
      </c>
      <c r="Z310" s="451">
        <v>0</v>
      </c>
      <c r="AA310" s="451">
        <v>0</v>
      </c>
      <c r="AB310" s="451">
        <v>986306</v>
      </c>
      <c r="AC310" s="451">
        <v>966579</v>
      </c>
      <c r="AD310" s="451">
        <v>0</v>
      </c>
      <c r="AE310" s="451">
        <v>19726</v>
      </c>
      <c r="AF310" s="451">
        <v>1972611</v>
      </c>
      <c r="AG310" s="451">
        <v>924758</v>
      </c>
      <c r="AH310" s="451">
        <v>906263</v>
      </c>
      <c r="AI310" s="451">
        <v>0</v>
      </c>
      <c r="AJ310" s="451">
        <v>18495</v>
      </c>
      <c r="AK310" s="451">
        <v>1849516</v>
      </c>
      <c r="AL310" s="451">
        <v>0</v>
      </c>
      <c r="AM310" s="451">
        <v>0</v>
      </c>
      <c r="AN310" s="451">
        <v>0</v>
      </c>
      <c r="AO310" s="451">
        <v>0</v>
      </c>
      <c r="AP310" s="451">
        <v>0</v>
      </c>
      <c r="AQ310" s="451">
        <v>-250000</v>
      </c>
      <c r="AR310" s="451">
        <v>-245000</v>
      </c>
      <c r="AS310" s="451">
        <v>0</v>
      </c>
      <c r="AT310" s="451">
        <v>-5000</v>
      </c>
      <c r="AU310" s="451">
        <v>-500000</v>
      </c>
      <c r="AV310" s="451">
        <v>-250000</v>
      </c>
      <c r="AW310" s="451">
        <v>-245000</v>
      </c>
      <c r="AX310" s="451">
        <v>0</v>
      </c>
      <c r="AY310" s="451">
        <v>-5000</v>
      </c>
      <c r="AZ310" s="451">
        <v>-500000</v>
      </c>
      <c r="BA310" s="451">
        <v>0</v>
      </c>
      <c r="BB310" s="451">
        <v>0</v>
      </c>
      <c r="BC310" s="451">
        <v>0</v>
      </c>
      <c r="BD310" s="451">
        <v>0</v>
      </c>
      <c r="BE310" s="451">
        <v>0</v>
      </c>
      <c r="BF310" s="451">
        <v>150000</v>
      </c>
      <c r="BG310" s="451">
        <v>147000</v>
      </c>
      <c r="BH310" s="451">
        <v>0</v>
      </c>
      <c r="BI310" s="451">
        <v>3000</v>
      </c>
      <c r="BJ310" s="451">
        <v>300000</v>
      </c>
      <c r="BK310" s="451">
        <v>150000</v>
      </c>
      <c r="BL310" s="451">
        <v>147000</v>
      </c>
      <c r="BM310" s="451">
        <v>0</v>
      </c>
      <c r="BN310" s="451">
        <v>3000</v>
      </c>
      <c r="BO310" s="451">
        <v>300000</v>
      </c>
      <c r="BP310" s="451">
        <v>0</v>
      </c>
      <c r="BQ310" s="451">
        <v>0</v>
      </c>
      <c r="BR310" s="451">
        <v>0</v>
      </c>
      <c r="BS310" s="451">
        <v>0</v>
      </c>
      <c r="BT310" s="451">
        <v>0</v>
      </c>
      <c r="BU310" s="451">
        <v>195000</v>
      </c>
      <c r="BV310" s="451">
        <v>191100</v>
      </c>
      <c r="BW310" s="451">
        <v>0</v>
      </c>
      <c r="BX310" s="451">
        <v>3900</v>
      </c>
      <c r="BY310" s="451">
        <v>390000</v>
      </c>
      <c r="BZ310" s="451">
        <v>195000</v>
      </c>
      <c r="CA310" s="451">
        <v>191100</v>
      </c>
      <c r="CB310" s="451">
        <v>0</v>
      </c>
      <c r="CC310" s="451">
        <v>3900</v>
      </c>
      <c r="CD310" s="451">
        <v>390000</v>
      </c>
      <c r="CE310" s="104"/>
      <c r="CF310" s="104"/>
      <c r="CG310" s="104"/>
    </row>
    <row r="311" spans="1:85" ht="12.75" x14ac:dyDescent="0.2">
      <c r="A311" s="446">
        <v>304</v>
      </c>
      <c r="B311" s="447" t="s">
        <v>491</v>
      </c>
      <c r="C311" s="448" t="s">
        <v>1093</v>
      </c>
      <c r="D311" s="449" t="s">
        <v>1102</v>
      </c>
      <c r="E311" s="450" t="s">
        <v>490</v>
      </c>
      <c r="F311" s="451">
        <v>5015583</v>
      </c>
      <c r="G311" s="451">
        <v>4012466</v>
      </c>
      <c r="H311" s="451">
        <v>902805</v>
      </c>
      <c r="I311" s="451">
        <v>100312</v>
      </c>
      <c r="J311" s="451">
        <v>10031166</v>
      </c>
      <c r="K311" s="451">
        <v>0</v>
      </c>
      <c r="L311" s="451">
        <v>0</v>
      </c>
      <c r="M311" s="451">
        <v>5015583</v>
      </c>
      <c r="N311" s="451">
        <v>10031166</v>
      </c>
      <c r="O311" s="451">
        <v>84591</v>
      </c>
      <c r="P311" s="451">
        <v>84591</v>
      </c>
      <c r="Q311" s="451">
        <v>0</v>
      </c>
      <c r="R311" s="451">
        <v>0</v>
      </c>
      <c r="S311" s="451">
        <v>0</v>
      </c>
      <c r="T311" s="451">
        <v>0</v>
      </c>
      <c r="U311" s="451">
        <v>0</v>
      </c>
      <c r="V311" s="451">
        <v>0</v>
      </c>
      <c r="W311" s="451">
        <v>0</v>
      </c>
      <c r="X311" s="451">
        <v>0</v>
      </c>
      <c r="Y311" s="451">
        <v>0</v>
      </c>
      <c r="Z311" s="451">
        <v>0</v>
      </c>
      <c r="AA311" s="451">
        <v>0</v>
      </c>
      <c r="AB311" s="451">
        <v>270333</v>
      </c>
      <c r="AC311" s="451">
        <v>216267</v>
      </c>
      <c r="AD311" s="451">
        <v>48660</v>
      </c>
      <c r="AE311" s="451">
        <v>5407</v>
      </c>
      <c r="AF311" s="451">
        <v>540667</v>
      </c>
      <c r="AG311" s="451">
        <v>11462</v>
      </c>
      <c r="AH311" s="451">
        <v>9169</v>
      </c>
      <c r="AI311" s="451">
        <v>2063</v>
      </c>
      <c r="AJ311" s="451">
        <v>229</v>
      </c>
      <c r="AK311" s="451">
        <v>22923</v>
      </c>
      <c r="AL311" s="451">
        <v>130345</v>
      </c>
      <c r="AM311" s="451">
        <v>104276</v>
      </c>
      <c r="AN311" s="451">
        <v>23462</v>
      </c>
      <c r="AO311" s="451">
        <v>2607</v>
      </c>
      <c r="AP311" s="451">
        <v>260690</v>
      </c>
      <c r="AQ311" s="451">
        <v>-89212</v>
      </c>
      <c r="AR311" s="451">
        <v>-71370</v>
      </c>
      <c r="AS311" s="451">
        <v>-16058</v>
      </c>
      <c r="AT311" s="451">
        <v>-1784</v>
      </c>
      <c r="AU311" s="451">
        <v>-178424</v>
      </c>
      <c r="AV311" s="451">
        <v>41133</v>
      </c>
      <c r="AW311" s="451">
        <v>32906</v>
      </c>
      <c r="AX311" s="451">
        <v>7404</v>
      </c>
      <c r="AY311" s="451">
        <v>823</v>
      </c>
      <c r="AZ311" s="451">
        <v>82266</v>
      </c>
      <c r="BA311" s="451">
        <v>0</v>
      </c>
      <c r="BB311" s="451">
        <v>0</v>
      </c>
      <c r="BC311" s="451">
        <v>0</v>
      </c>
      <c r="BD311" s="451">
        <v>0</v>
      </c>
      <c r="BE311" s="451">
        <v>0</v>
      </c>
      <c r="BF311" s="451">
        <v>44419</v>
      </c>
      <c r="BG311" s="451">
        <v>35535</v>
      </c>
      <c r="BH311" s="451">
        <v>7995</v>
      </c>
      <c r="BI311" s="451">
        <v>888</v>
      </c>
      <c r="BJ311" s="451">
        <v>88837</v>
      </c>
      <c r="BK311" s="451">
        <v>44419</v>
      </c>
      <c r="BL311" s="451">
        <v>35535</v>
      </c>
      <c r="BM311" s="451">
        <v>7995</v>
      </c>
      <c r="BN311" s="451">
        <v>888</v>
      </c>
      <c r="BO311" s="451">
        <v>88837</v>
      </c>
      <c r="BP311" s="451">
        <v>0</v>
      </c>
      <c r="BQ311" s="451">
        <v>0</v>
      </c>
      <c r="BR311" s="451">
        <v>0</v>
      </c>
      <c r="BS311" s="451">
        <v>0</v>
      </c>
      <c r="BT311" s="451">
        <v>0</v>
      </c>
      <c r="BU311" s="451">
        <v>139453</v>
      </c>
      <c r="BV311" s="451">
        <v>111562</v>
      </c>
      <c r="BW311" s="451">
        <v>25101</v>
      </c>
      <c r="BX311" s="451">
        <v>2789</v>
      </c>
      <c r="BY311" s="451">
        <v>278905</v>
      </c>
      <c r="BZ311" s="451">
        <v>139453</v>
      </c>
      <c r="CA311" s="451">
        <v>111562</v>
      </c>
      <c r="CB311" s="451">
        <v>25101</v>
      </c>
      <c r="CC311" s="451">
        <v>2789</v>
      </c>
      <c r="CD311" s="451">
        <v>278905</v>
      </c>
      <c r="CE311" s="104"/>
      <c r="CF311" s="104"/>
      <c r="CG311" s="104"/>
    </row>
    <row r="312" spans="1:85" ht="12.75" x14ac:dyDescent="0.2">
      <c r="A312" s="446">
        <v>305</v>
      </c>
      <c r="B312" s="447" t="s">
        <v>493</v>
      </c>
      <c r="C312" s="448" t="s">
        <v>1093</v>
      </c>
      <c r="D312" s="449" t="s">
        <v>1102</v>
      </c>
      <c r="E312" s="450" t="s">
        <v>492</v>
      </c>
      <c r="F312" s="451">
        <v>13842419</v>
      </c>
      <c r="G312" s="451">
        <v>11073935</v>
      </c>
      <c r="H312" s="451">
        <v>2491635</v>
      </c>
      <c r="I312" s="451">
        <v>276848</v>
      </c>
      <c r="J312" s="451">
        <v>27684837</v>
      </c>
      <c r="K312" s="451">
        <v>0</v>
      </c>
      <c r="L312" s="451">
        <v>0</v>
      </c>
      <c r="M312" s="451">
        <v>13842419</v>
      </c>
      <c r="N312" s="451">
        <v>27684837</v>
      </c>
      <c r="O312" s="451">
        <v>204819</v>
      </c>
      <c r="P312" s="451">
        <v>204819</v>
      </c>
      <c r="Q312" s="451">
        <v>0</v>
      </c>
      <c r="R312" s="451">
        <v>0</v>
      </c>
      <c r="S312" s="451">
        <v>0</v>
      </c>
      <c r="T312" s="451">
        <v>0</v>
      </c>
      <c r="U312" s="451">
        <v>0</v>
      </c>
      <c r="V312" s="451">
        <v>0</v>
      </c>
      <c r="W312" s="451">
        <v>0</v>
      </c>
      <c r="X312" s="451">
        <v>0</v>
      </c>
      <c r="Y312" s="451">
        <v>0</v>
      </c>
      <c r="Z312" s="451">
        <v>0</v>
      </c>
      <c r="AA312" s="451">
        <v>0</v>
      </c>
      <c r="AB312" s="451">
        <v>892708.27</v>
      </c>
      <c r="AC312" s="451">
        <v>714167</v>
      </c>
      <c r="AD312" s="451">
        <v>160688</v>
      </c>
      <c r="AE312" s="451">
        <v>17854</v>
      </c>
      <c r="AF312" s="451">
        <v>1785417.27</v>
      </c>
      <c r="AG312" s="451">
        <v>157975.93</v>
      </c>
      <c r="AH312" s="451">
        <v>126381</v>
      </c>
      <c r="AI312" s="451">
        <v>28436</v>
      </c>
      <c r="AJ312" s="451">
        <v>3160</v>
      </c>
      <c r="AK312" s="451">
        <v>315952.93</v>
      </c>
      <c r="AL312" s="451">
        <v>769000</v>
      </c>
      <c r="AM312" s="451">
        <v>615200</v>
      </c>
      <c r="AN312" s="451">
        <v>138420</v>
      </c>
      <c r="AO312" s="451">
        <v>15380</v>
      </c>
      <c r="AP312" s="451">
        <v>1538000</v>
      </c>
      <c r="AQ312" s="451">
        <v>-38000</v>
      </c>
      <c r="AR312" s="451">
        <v>-30400</v>
      </c>
      <c r="AS312" s="451">
        <v>-6840</v>
      </c>
      <c r="AT312" s="451">
        <v>-760</v>
      </c>
      <c r="AU312" s="451">
        <v>-76000</v>
      </c>
      <c r="AV312" s="451">
        <v>731000</v>
      </c>
      <c r="AW312" s="451">
        <v>584800</v>
      </c>
      <c r="AX312" s="451">
        <v>131580</v>
      </c>
      <c r="AY312" s="451">
        <v>14620</v>
      </c>
      <c r="AZ312" s="451">
        <v>1462000</v>
      </c>
      <c r="BA312" s="451">
        <v>0</v>
      </c>
      <c r="BB312" s="451">
        <v>0</v>
      </c>
      <c r="BC312" s="451">
        <v>0</v>
      </c>
      <c r="BD312" s="451">
        <v>0</v>
      </c>
      <c r="BE312" s="451">
        <v>0</v>
      </c>
      <c r="BF312" s="451">
        <v>203158</v>
      </c>
      <c r="BG312" s="451">
        <v>162527</v>
      </c>
      <c r="BH312" s="451">
        <v>36569</v>
      </c>
      <c r="BI312" s="451">
        <v>4063</v>
      </c>
      <c r="BJ312" s="451">
        <v>406317</v>
      </c>
      <c r="BK312" s="451">
        <v>203158</v>
      </c>
      <c r="BL312" s="451">
        <v>162527</v>
      </c>
      <c r="BM312" s="451">
        <v>36569</v>
      </c>
      <c r="BN312" s="451">
        <v>4063</v>
      </c>
      <c r="BO312" s="451">
        <v>406317</v>
      </c>
      <c r="BP312" s="451">
        <v>0</v>
      </c>
      <c r="BQ312" s="451">
        <v>0</v>
      </c>
      <c r="BR312" s="451">
        <v>0</v>
      </c>
      <c r="BS312" s="451">
        <v>0</v>
      </c>
      <c r="BT312" s="451">
        <v>0</v>
      </c>
      <c r="BU312" s="451">
        <v>578220</v>
      </c>
      <c r="BV312" s="451">
        <v>462576</v>
      </c>
      <c r="BW312" s="451">
        <v>104080</v>
      </c>
      <c r="BX312" s="451">
        <v>11564</v>
      </c>
      <c r="BY312" s="451">
        <v>1156440</v>
      </c>
      <c r="BZ312" s="451">
        <v>578220</v>
      </c>
      <c r="CA312" s="451">
        <v>462576</v>
      </c>
      <c r="CB312" s="451">
        <v>104080</v>
      </c>
      <c r="CC312" s="451">
        <v>11564</v>
      </c>
      <c r="CD312" s="451">
        <v>1156440</v>
      </c>
      <c r="CE312" s="104"/>
      <c r="CF312" s="104"/>
      <c r="CG312" s="104"/>
    </row>
    <row r="313" spans="1:85" ht="12.75" x14ac:dyDescent="0.2">
      <c r="A313" s="446">
        <v>306</v>
      </c>
      <c r="B313" s="447" t="s">
        <v>495</v>
      </c>
      <c r="C313" s="448" t="s">
        <v>1093</v>
      </c>
      <c r="D313" s="449" t="s">
        <v>1095</v>
      </c>
      <c r="E313" s="450" t="s">
        <v>494</v>
      </c>
      <c r="F313" s="451">
        <v>13703425</v>
      </c>
      <c r="G313" s="451">
        <v>10962740</v>
      </c>
      <c r="H313" s="451">
        <v>2466616</v>
      </c>
      <c r="I313" s="451">
        <v>274068</v>
      </c>
      <c r="J313" s="451">
        <v>27406849</v>
      </c>
      <c r="K313" s="451">
        <v>0</v>
      </c>
      <c r="L313" s="451">
        <v>0</v>
      </c>
      <c r="M313" s="451">
        <v>13703425</v>
      </c>
      <c r="N313" s="451">
        <v>27406849</v>
      </c>
      <c r="O313" s="451">
        <v>134046</v>
      </c>
      <c r="P313" s="451">
        <v>134046</v>
      </c>
      <c r="Q313" s="451">
        <v>0</v>
      </c>
      <c r="R313" s="451">
        <v>0</v>
      </c>
      <c r="S313" s="451">
        <v>0</v>
      </c>
      <c r="T313" s="451">
        <v>0</v>
      </c>
      <c r="U313" s="451">
        <v>0</v>
      </c>
      <c r="V313" s="451">
        <v>0</v>
      </c>
      <c r="W313" s="451">
        <v>0</v>
      </c>
      <c r="X313" s="451">
        <v>0</v>
      </c>
      <c r="Y313" s="451">
        <v>0</v>
      </c>
      <c r="Z313" s="451">
        <v>0</v>
      </c>
      <c r="AA313" s="451">
        <v>0</v>
      </c>
      <c r="AB313" s="451">
        <v>2416708</v>
      </c>
      <c r="AC313" s="451">
        <v>1933367</v>
      </c>
      <c r="AD313" s="451">
        <v>435008</v>
      </c>
      <c r="AE313" s="451">
        <v>48334</v>
      </c>
      <c r="AF313" s="451">
        <v>4833417</v>
      </c>
      <c r="AG313" s="451">
        <v>454370</v>
      </c>
      <c r="AH313" s="451">
        <v>363495</v>
      </c>
      <c r="AI313" s="451">
        <v>81786</v>
      </c>
      <c r="AJ313" s="451">
        <v>9087</v>
      </c>
      <c r="AK313" s="451">
        <v>908738</v>
      </c>
      <c r="AL313" s="451">
        <v>500723</v>
      </c>
      <c r="AM313" s="451">
        <v>400578</v>
      </c>
      <c r="AN313" s="451">
        <v>90130</v>
      </c>
      <c r="AO313" s="451">
        <v>10014</v>
      </c>
      <c r="AP313" s="451">
        <v>1001445</v>
      </c>
      <c r="AQ313" s="451">
        <v>207297</v>
      </c>
      <c r="AR313" s="451">
        <v>165838</v>
      </c>
      <c r="AS313" s="451">
        <v>37314</v>
      </c>
      <c r="AT313" s="451">
        <v>4146</v>
      </c>
      <c r="AU313" s="451">
        <v>414595</v>
      </c>
      <c r="AV313" s="451">
        <v>708020</v>
      </c>
      <c r="AW313" s="451">
        <v>566416</v>
      </c>
      <c r="AX313" s="451">
        <v>127444</v>
      </c>
      <c r="AY313" s="451">
        <v>14160</v>
      </c>
      <c r="AZ313" s="451">
        <v>1416040</v>
      </c>
      <c r="BA313" s="451">
        <v>0</v>
      </c>
      <c r="BB313" s="451">
        <v>0</v>
      </c>
      <c r="BC313" s="451">
        <v>0</v>
      </c>
      <c r="BD313" s="451">
        <v>0</v>
      </c>
      <c r="BE313" s="451">
        <v>0</v>
      </c>
      <c r="BF313" s="451">
        <v>278017</v>
      </c>
      <c r="BG313" s="451">
        <v>222414</v>
      </c>
      <c r="BH313" s="451">
        <v>50043</v>
      </c>
      <c r="BI313" s="451">
        <v>5560</v>
      </c>
      <c r="BJ313" s="451">
        <v>556034</v>
      </c>
      <c r="BK313" s="451">
        <v>278017</v>
      </c>
      <c r="BL313" s="451">
        <v>222414</v>
      </c>
      <c r="BM313" s="451">
        <v>50043</v>
      </c>
      <c r="BN313" s="451">
        <v>5560</v>
      </c>
      <c r="BO313" s="451">
        <v>556034</v>
      </c>
      <c r="BP313" s="451">
        <v>0</v>
      </c>
      <c r="BQ313" s="451">
        <v>0</v>
      </c>
      <c r="BR313" s="451">
        <v>0</v>
      </c>
      <c r="BS313" s="451">
        <v>0</v>
      </c>
      <c r="BT313" s="451">
        <v>0</v>
      </c>
      <c r="BU313" s="451">
        <v>794919</v>
      </c>
      <c r="BV313" s="451">
        <v>635936</v>
      </c>
      <c r="BW313" s="451">
        <v>143086</v>
      </c>
      <c r="BX313" s="451">
        <v>15898</v>
      </c>
      <c r="BY313" s="451">
        <v>1589839</v>
      </c>
      <c r="BZ313" s="451">
        <v>794919</v>
      </c>
      <c r="CA313" s="451">
        <v>635936</v>
      </c>
      <c r="CB313" s="451">
        <v>143086</v>
      </c>
      <c r="CC313" s="451">
        <v>15898</v>
      </c>
      <c r="CD313" s="451">
        <v>1589839</v>
      </c>
      <c r="CE313" s="104"/>
      <c r="CF313" s="104"/>
      <c r="CG313" s="104"/>
    </row>
    <row r="314" spans="1:85" ht="12.75" x14ac:dyDescent="0.2">
      <c r="A314" s="446">
        <v>307</v>
      </c>
      <c r="B314" s="447" t="s">
        <v>497</v>
      </c>
      <c r="C314" s="448" t="s">
        <v>1093</v>
      </c>
      <c r="D314" s="449" t="s">
        <v>1096</v>
      </c>
      <c r="E314" s="450" t="s">
        <v>496</v>
      </c>
      <c r="F314" s="451">
        <v>6956187</v>
      </c>
      <c r="G314" s="451">
        <v>5564950</v>
      </c>
      <c r="H314" s="451">
        <v>1391237</v>
      </c>
      <c r="I314" s="451">
        <v>0</v>
      </c>
      <c r="J314" s="451">
        <v>13912374</v>
      </c>
      <c r="K314" s="451">
        <v>0</v>
      </c>
      <c r="L314" s="451">
        <v>0</v>
      </c>
      <c r="M314" s="451">
        <v>6956187</v>
      </c>
      <c r="N314" s="451">
        <v>13912374</v>
      </c>
      <c r="O314" s="451">
        <v>105838</v>
      </c>
      <c r="P314" s="451">
        <v>105838</v>
      </c>
      <c r="Q314" s="451">
        <v>0</v>
      </c>
      <c r="R314" s="451">
        <v>0</v>
      </c>
      <c r="S314" s="451">
        <v>0</v>
      </c>
      <c r="T314" s="451">
        <v>0</v>
      </c>
      <c r="U314" s="451">
        <v>0</v>
      </c>
      <c r="V314" s="451">
        <v>0</v>
      </c>
      <c r="W314" s="451">
        <v>0</v>
      </c>
      <c r="X314" s="451">
        <v>0</v>
      </c>
      <c r="Y314" s="451">
        <v>0</v>
      </c>
      <c r="Z314" s="451">
        <v>0</v>
      </c>
      <c r="AA314" s="451">
        <v>0</v>
      </c>
      <c r="AB314" s="451">
        <v>264952.96999999997</v>
      </c>
      <c r="AC314" s="451">
        <v>211963</v>
      </c>
      <c r="AD314" s="451">
        <v>52991</v>
      </c>
      <c r="AE314" s="451">
        <v>0</v>
      </c>
      <c r="AF314" s="451">
        <v>529906.97</v>
      </c>
      <c r="AG314" s="451">
        <v>228973.63</v>
      </c>
      <c r="AH314" s="451">
        <v>183179</v>
      </c>
      <c r="AI314" s="451">
        <v>45795</v>
      </c>
      <c r="AJ314" s="451">
        <v>0</v>
      </c>
      <c r="AK314" s="451">
        <v>457947.63</v>
      </c>
      <c r="AL314" s="451">
        <v>0</v>
      </c>
      <c r="AM314" s="451">
        <v>0</v>
      </c>
      <c r="AN314" s="451">
        <v>0</v>
      </c>
      <c r="AO314" s="451">
        <v>0</v>
      </c>
      <c r="AP314" s="451">
        <v>0</v>
      </c>
      <c r="AQ314" s="451">
        <v>-4894</v>
      </c>
      <c r="AR314" s="451">
        <v>-3915</v>
      </c>
      <c r="AS314" s="451">
        <v>-979</v>
      </c>
      <c r="AT314" s="451">
        <v>0</v>
      </c>
      <c r="AU314" s="451">
        <v>-9788</v>
      </c>
      <c r="AV314" s="451">
        <v>-4894</v>
      </c>
      <c r="AW314" s="451">
        <v>-3915</v>
      </c>
      <c r="AX314" s="451">
        <v>-979</v>
      </c>
      <c r="AY314" s="451">
        <v>0</v>
      </c>
      <c r="AZ314" s="451">
        <v>-9788</v>
      </c>
      <c r="BA314" s="451">
        <v>0</v>
      </c>
      <c r="BB314" s="451">
        <v>0</v>
      </c>
      <c r="BC314" s="451">
        <v>0</v>
      </c>
      <c r="BD314" s="451">
        <v>0</v>
      </c>
      <c r="BE314" s="451">
        <v>0</v>
      </c>
      <c r="BF314" s="451">
        <v>60218</v>
      </c>
      <c r="BG314" s="451">
        <v>48174</v>
      </c>
      <c r="BH314" s="451">
        <v>12044</v>
      </c>
      <c r="BI314" s="451">
        <v>0</v>
      </c>
      <c r="BJ314" s="451">
        <v>120436</v>
      </c>
      <c r="BK314" s="451">
        <v>60218</v>
      </c>
      <c r="BL314" s="451">
        <v>48174</v>
      </c>
      <c r="BM314" s="451">
        <v>12044</v>
      </c>
      <c r="BN314" s="451">
        <v>0</v>
      </c>
      <c r="BO314" s="451">
        <v>120436</v>
      </c>
      <c r="BP314" s="451">
        <v>0</v>
      </c>
      <c r="BQ314" s="451">
        <v>0</v>
      </c>
      <c r="BR314" s="451">
        <v>0</v>
      </c>
      <c r="BS314" s="451">
        <v>0</v>
      </c>
      <c r="BT314" s="451">
        <v>0</v>
      </c>
      <c r="BU314" s="451">
        <v>186922</v>
      </c>
      <c r="BV314" s="451">
        <v>149537</v>
      </c>
      <c r="BW314" s="451">
        <v>37384</v>
      </c>
      <c r="BX314" s="451">
        <v>0</v>
      </c>
      <c r="BY314" s="451">
        <v>373843</v>
      </c>
      <c r="BZ314" s="451">
        <v>186922</v>
      </c>
      <c r="CA314" s="451">
        <v>149537</v>
      </c>
      <c r="CB314" s="451">
        <v>37384</v>
      </c>
      <c r="CC314" s="451">
        <v>0</v>
      </c>
      <c r="CD314" s="451">
        <v>373843</v>
      </c>
      <c r="CE314" s="104"/>
      <c r="CF314" s="104"/>
      <c r="CG314" s="104"/>
    </row>
    <row r="315" spans="1:85" ht="12.75" x14ac:dyDescent="0.2">
      <c r="A315" s="446">
        <v>308</v>
      </c>
      <c r="B315" s="447" t="s">
        <v>499</v>
      </c>
      <c r="C315" s="448" t="s">
        <v>1093</v>
      </c>
      <c r="D315" s="449" t="s">
        <v>1094</v>
      </c>
      <c r="E315" s="450" t="s">
        <v>498</v>
      </c>
      <c r="F315" s="451">
        <v>15227853</v>
      </c>
      <c r="G315" s="451">
        <v>12182282</v>
      </c>
      <c r="H315" s="451">
        <v>3045571</v>
      </c>
      <c r="I315" s="451">
        <v>0</v>
      </c>
      <c r="J315" s="451">
        <v>30455706</v>
      </c>
      <c r="K315" s="451">
        <v>0</v>
      </c>
      <c r="L315" s="451">
        <v>0</v>
      </c>
      <c r="M315" s="451">
        <v>15227853</v>
      </c>
      <c r="N315" s="451">
        <v>30455706</v>
      </c>
      <c r="O315" s="451">
        <v>163678</v>
      </c>
      <c r="P315" s="451">
        <v>163678</v>
      </c>
      <c r="Q315" s="451">
        <v>0</v>
      </c>
      <c r="R315" s="451">
        <v>0</v>
      </c>
      <c r="S315" s="451">
        <v>0</v>
      </c>
      <c r="T315" s="451">
        <v>0</v>
      </c>
      <c r="U315" s="451">
        <v>0</v>
      </c>
      <c r="V315" s="451">
        <v>0</v>
      </c>
      <c r="W315" s="451">
        <v>0</v>
      </c>
      <c r="X315" s="451">
        <v>0</v>
      </c>
      <c r="Y315" s="451">
        <v>0</v>
      </c>
      <c r="Z315" s="451">
        <v>0</v>
      </c>
      <c r="AA315" s="451">
        <v>0</v>
      </c>
      <c r="AB315" s="451">
        <v>448471.97</v>
      </c>
      <c r="AC315" s="451">
        <v>358777</v>
      </c>
      <c r="AD315" s="451">
        <v>89694</v>
      </c>
      <c r="AE315" s="451">
        <v>0</v>
      </c>
      <c r="AF315" s="451">
        <v>896942.97</v>
      </c>
      <c r="AG315" s="451">
        <v>219883</v>
      </c>
      <c r="AH315" s="451">
        <v>175906</v>
      </c>
      <c r="AI315" s="451">
        <v>43977</v>
      </c>
      <c r="AJ315" s="451">
        <v>0</v>
      </c>
      <c r="AK315" s="451">
        <v>439766</v>
      </c>
      <c r="AL315" s="451">
        <v>0</v>
      </c>
      <c r="AM315" s="451">
        <v>0</v>
      </c>
      <c r="AN315" s="451">
        <v>0</v>
      </c>
      <c r="AO315" s="451">
        <v>0</v>
      </c>
      <c r="AP315" s="451">
        <v>0</v>
      </c>
      <c r="AQ315" s="451">
        <v>49917</v>
      </c>
      <c r="AR315" s="451">
        <v>39934</v>
      </c>
      <c r="AS315" s="451">
        <v>9983</v>
      </c>
      <c r="AT315" s="451">
        <v>0</v>
      </c>
      <c r="AU315" s="451">
        <v>99834</v>
      </c>
      <c r="AV315" s="451">
        <v>49917</v>
      </c>
      <c r="AW315" s="451">
        <v>39934</v>
      </c>
      <c r="AX315" s="451">
        <v>9983</v>
      </c>
      <c r="AY315" s="451">
        <v>0</v>
      </c>
      <c r="AZ315" s="451">
        <v>99834</v>
      </c>
      <c r="BA315" s="451">
        <v>0</v>
      </c>
      <c r="BB315" s="451">
        <v>0</v>
      </c>
      <c r="BC315" s="451">
        <v>0</v>
      </c>
      <c r="BD315" s="451">
        <v>0</v>
      </c>
      <c r="BE315" s="451">
        <v>0</v>
      </c>
      <c r="BF315" s="451">
        <v>154657</v>
      </c>
      <c r="BG315" s="451">
        <v>123725</v>
      </c>
      <c r="BH315" s="451">
        <v>30931</v>
      </c>
      <c r="BI315" s="451">
        <v>0</v>
      </c>
      <c r="BJ315" s="451">
        <v>309313</v>
      </c>
      <c r="BK315" s="451">
        <v>154657</v>
      </c>
      <c r="BL315" s="451">
        <v>123725</v>
      </c>
      <c r="BM315" s="451">
        <v>30931</v>
      </c>
      <c r="BN315" s="451">
        <v>0</v>
      </c>
      <c r="BO315" s="451">
        <v>309313</v>
      </c>
      <c r="BP315" s="451">
        <v>0</v>
      </c>
      <c r="BQ315" s="451">
        <v>0</v>
      </c>
      <c r="BR315" s="451">
        <v>0</v>
      </c>
      <c r="BS315" s="451">
        <v>0</v>
      </c>
      <c r="BT315" s="451">
        <v>0</v>
      </c>
      <c r="BU315" s="451">
        <v>934969</v>
      </c>
      <c r="BV315" s="451">
        <v>747976</v>
      </c>
      <c r="BW315" s="451">
        <v>186994</v>
      </c>
      <c r="BX315" s="451">
        <v>0</v>
      </c>
      <c r="BY315" s="451">
        <v>1869939</v>
      </c>
      <c r="BZ315" s="451">
        <v>934969</v>
      </c>
      <c r="CA315" s="451">
        <v>747976</v>
      </c>
      <c r="CB315" s="451">
        <v>186994</v>
      </c>
      <c r="CC315" s="451">
        <v>0</v>
      </c>
      <c r="CD315" s="451">
        <v>1869939</v>
      </c>
      <c r="CE315" s="104"/>
      <c r="CF315" s="104"/>
      <c r="CG315" s="104"/>
    </row>
    <row r="316" spans="1:85" ht="12.75" x14ac:dyDescent="0.2">
      <c r="A316" s="446">
        <v>309</v>
      </c>
      <c r="B316" s="447" t="s">
        <v>501</v>
      </c>
      <c r="C316" s="448" t="s">
        <v>1093</v>
      </c>
      <c r="D316" s="449" t="s">
        <v>1102</v>
      </c>
      <c r="E316" s="450" t="s">
        <v>500</v>
      </c>
      <c r="F316" s="451">
        <v>5235339</v>
      </c>
      <c r="G316" s="451">
        <v>4188271</v>
      </c>
      <c r="H316" s="451">
        <v>942361</v>
      </c>
      <c r="I316" s="451">
        <v>104707</v>
      </c>
      <c r="J316" s="451">
        <v>10470678</v>
      </c>
      <c r="K316" s="451">
        <v>0</v>
      </c>
      <c r="L316" s="451">
        <v>0</v>
      </c>
      <c r="M316" s="451">
        <v>5235339</v>
      </c>
      <c r="N316" s="451">
        <v>10470678</v>
      </c>
      <c r="O316" s="451">
        <v>74427</v>
      </c>
      <c r="P316" s="451">
        <v>74427</v>
      </c>
      <c r="Q316" s="451">
        <v>0</v>
      </c>
      <c r="R316" s="451">
        <v>0</v>
      </c>
      <c r="S316" s="451">
        <v>0</v>
      </c>
      <c r="T316" s="451">
        <v>0</v>
      </c>
      <c r="U316" s="451">
        <v>0</v>
      </c>
      <c r="V316" s="451">
        <v>0</v>
      </c>
      <c r="W316" s="451">
        <v>0</v>
      </c>
      <c r="X316" s="451">
        <v>0</v>
      </c>
      <c r="Y316" s="451">
        <v>0</v>
      </c>
      <c r="Z316" s="451">
        <v>0</v>
      </c>
      <c r="AA316" s="451">
        <v>0</v>
      </c>
      <c r="AB316" s="451">
        <v>209452</v>
      </c>
      <c r="AC316" s="451">
        <v>167562</v>
      </c>
      <c r="AD316" s="451">
        <v>37701</v>
      </c>
      <c r="AE316" s="451">
        <v>4189</v>
      </c>
      <c r="AF316" s="451">
        <v>418904</v>
      </c>
      <c r="AG316" s="451">
        <v>68336</v>
      </c>
      <c r="AH316" s="451">
        <v>54668</v>
      </c>
      <c r="AI316" s="451">
        <v>12300</v>
      </c>
      <c r="AJ316" s="451">
        <v>1367</v>
      </c>
      <c r="AK316" s="451">
        <v>136671</v>
      </c>
      <c r="AL316" s="451">
        <v>37500</v>
      </c>
      <c r="AM316" s="451">
        <v>30000</v>
      </c>
      <c r="AN316" s="451">
        <v>6750</v>
      </c>
      <c r="AO316" s="451">
        <v>750</v>
      </c>
      <c r="AP316" s="451">
        <v>75000</v>
      </c>
      <c r="AQ316" s="451">
        <v>0</v>
      </c>
      <c r="AR316" s="451">
        <v>0</v>
      </c>
      <c r="AS316" s="451">
        <v>0</v>
      </c>
      <c r="AT316" s="451">
        <v>0</v>
      </c>
      <c r="AU316" s="451">
        <v>0</v>
      </c>
      <c r="AV316" s="451">
        <v>37500</v>
      </c>
      <c r="AW316" s="451">
        <v>30000</v>
      </c>
      <c r="AX316" s="451">
        <v>6750</v>
      </c>
      <c r="AY316" s="451">
        <v>750</v>
      </c>
      <c r="AZ316" s="451">
        <v>75000</v>
      </c>
      <c r="BA316" s="451">
        <v>0</v>
      </c>
      <c r="BB316" s="451">
        <v>0</v>
      </c>
      <c r="BC316" s="451">
        <v>0</v>
      </c>
      <c r="BD316" s="451">
        <v>0</v>
      </c>
      <c r="BE316" s="451">
        <v>0</v>
      </c>
      <c r="BF316" s="451">
        <v>232050</v>
      </c>
      <c r="BG316" s="451">
        <v>185640</v>
      </c>
      <c r="BH316" s="451">
        <v>41769</v>
      </c>
      <c r="BI316" s="451">
        <v>4641</v>
      </c>
      <c r="BJ316" s="451">
        <v>464100</v>
      </c>
      <c r="BK316" s="451">
        <v>232050</v>
      </c>
      <c r="BL316" s="451">
        <v>185640</v>
      </c>
      <c r="BM316" s="451">
        <v>41769</v>
      </c>
      <c r="BN316" s="451">
        <v>4641</v>
      </c>
      <c r="BO316" s="451">
        <v>464100</v>
      </c>
      <c r="BP316" s="451">
        <v>0</v>
      </c>
      <c r="BQ316" s="451">
        <v>0</v>
      </c>
      <c r="BR316" s="451">
        <v>0</v>
      </c>
      <c r="BS316" s="451">
        <v>0</v>
      </c>
      <c r="BT316" s="451">
        <v>0</v>
      </c>
      <c r="BU316" s="451">
        <v>692700</v>
      </c>
      <c r="BV316" s="451">
        <v>554160</v>
      </c>
      <c r="BW316" s="451">
        <v>124686</v>
      </c>
      <c r="BX316" s="451">
        <v>13854</v>
      </c>
      <c r="BY316" s="451">
        <v>1385400</v>
      </c>
      <c r="BZ316" s="451">
        <v>692700</v>
      </c>
      <c r="CA316" s="451">
        <v>554160</v>
      </c>
      <c r="CB316" s="451">
        <v>124686</v>
      </c>
      <c r="CC316" s="451">
        <v>13854</v>
      </c>
      <c r="CD316" s="451">
        <v>1385400</v>
      </c>
      <c r="CE316" s="104"/>
      <c r="CF316" s="104"/>
      <c r="CG316" s="104"/>
    </row>
    <row r="317" spans="1:85" ht="12.75" x14ac:dyDescent="0.2">
      <c r="A317" s="446">
        <v>310</v>
      </c>
      <c r="B317" s="447" t="s">
        <v>503</v>
      </c>
      <c r="C317" s="448" t="s">
        <v>1104</v>
      </c>
      <c r="D317" s="449" t="s">
        <v>1099</v>
      </c>
      <c r="E317" s="450" t="s">
        <v>502</v>
      </c>
      <c r="F317" s="451">
        <v>766742787</v>
      </c>
      <c r="G317" s="451">
        <v>460045672</v>
      </c>
      <c r="H317" s="451">
        <v>306697115</v>
      </c>
      <c r="I317" s="451">
        <v>0</v>
      </c>
      <c r="J317" s="451">
        <v>1533485574</v>
      </c>
      <c r="K317" s="451">
        <v>0</v>
      </c>
      <c r="L317" s="451">
        <v>0</v>
      </c>
      <c r="M317" s="451">
        <v>766742787</v>
      </c>
      <c r="N317" s="451">
        <v>1533485574</v>
      </c>
      <c r="O317" s="451">
        <v>3180114</v>
      </c>
      <c r="P317" s="451">
        <v>3180114</v>
      </c>
      <c r="Q317" s="451">
        <v>0</v>
      </c>
      <c r="R317" s="451">
        <v>0</v>
      </c>
      <c r="S317" s="451">
        <v>0</v>
      </c>
      <c r="T317" s="451">
        <v>0</v>
      </c>
      <c r="U317" s="451">
        <v>0</v>
      </c>
      <c r="V317" s="451">
        <v>0</v>
      </c>
      <c r="W317" s="451">
        <v>0</v>
      </c>
      <c r="X317" s="451">
        <v>0</v>
      </c>
      <c r="Y317" s="451">
        <v>0</v>
      </c>
      <c r="Z317" s="451">
        <v>0</v>
      </c>
      <c r="AA317" s="451">
        <v>0</v>
      </c>
      <c r="AB317" s="451">
        <v>25593196</v>
      </c>
      <c r="AC317" s="451">
        <v>15355917</v>
      </c>
      <c r="AD317" s="451">
        <v>10237278</v>
      </c>
      <c r="AE317" s="451">
        <v>0</v>
      </c>
      <c r="AF317" s="451">
        <v>51186391</v>
      </c>
      <c r="AG317" s="451">
        <v>25429312</v>
      </c>
      <c r="AH317" s="451">
        <v>15257588</v>
      </c>
      <c r="AI317" s="451">
        <v>10171725</v>
      </c>
      <c r="AJ317" s="451">
        <v>0</v>
      </c>
      <c r="AK317" s="451">
        <v>50858625</v>
      </c>
      <c r="AL317" s="451">
        <v>15359822</v>
      </c>
      <c r="AM317" s="451">
        <v>9215894</v>
      </c>
      <c r="AN317" s="451">
        <v>6143929</v>
      </c>
      <c r="AO317" s="451">
        <v>0</v>
      </c>
      <c r="AP317" s="451">
        <v>30719645</v>
      </c>
      <c r="AQ317" s="451">
        <v>710000</v>
      </c>
      <c r="AR317" s="451">
        <v>426000</v>
      </c>
      <c r="AS317" s="451">
        <v>284000</v>
      </c>
      <c r="AT317" s="451">
        <v>0</v>
      </c>
      <c r="AU317" s="451">
        <v>1420000</v>
      </c>
      <c r="AV317" s="451">
        <v>16069822</v>
      </c>
      <c r="AW317" s="451">
        <v>9641894</v>
      </c>
      <c r="AX317" s="451">
        <v>6427929</v>
      </c>
      <c r="AY317" s="451">
        <v>0</v>
      </c>
      <c r="AZ317" s="451">
        <v>32139645</v>
      </c>
      <c r="BA317" s="451">
        <v>0</v>
      </c>
      <c r="BB317" s="451">
        <v>0</v>
      </c>
      <c r="BC317" s="451">
        <v>0</v>
      </c>
      <c r="BD317" s="451">
        <v>0</v>
      </c>
      <c r="BE317" s="451">
        <v>0</v>
      </c>
      <c r="BF317" s="451">
        <v>19147594</v>
      </c>
      <c r="BG317" s="451">
        <v>11488557</v>
      </c>
      <c r="BH317" s="451">
        <v>7659038</v>
      </c>
      <c r="BI317" s="451">
        <v>0</v>
      </c>
      <c r="BJ317" s="451">
        <v>38295189</v>
      </c>
      <c r="BK317" s="451">
        <v>19147594</v>
      </c>
      <c r="BL317" s="451">
        <v>11488557</v>
      </c>
      <c r="BM317" s="451">
        <v>7659038</v>
      </c>
      <c r="BN317" s="451">
        <v>0</v>
      </c>
      <c r="BO317" s="451">
        <v>38295189</v>
      </c>
      <c r="BP317" s="451">
        <v>0</v>
      </c>
      <c r="BQ317" s="451">
        <v>0</v>
      </c>
      <c r="BR317" s="451">
        <v>0</v>
      </c>
      <c r="BS317" s="451">
        <v>0</v>
      </c>
      <c r="BT317" s="451">
        <v>0</v>
      </c>
      <c r="BU317" s="451">
        <v>62444749</v>
      </c>
      <c r="BV317" s="451">
        <v>37466849</v>
      </c>
      <c r="BW317" s="451">
        <v>24977899</v>
      </c>
      <c r="BX317" s="451">
        <v>0</v>
      </c>
      <c r="BY317" s="451">
        <v>124889497</v>
      </c>
      <c r="BZ317" s="451">
        <v>62444749</v>
      </c>
      <c r="CA317" s="451">
        <v>37466849</v>
      </c>
      <c r="CB317" s="451">
        <v>24977899</v>
      </c>
      <c r="CC317" s="451">
        <v>0</v>
      </c>
      <c r="CD317" s="451">
        <v>124889497</v>
      </c>
      <c r="CE317" s="104"/>
      <c r="CF317" s="104"/>
      <c r="CG317" s="104"/>
    </row>
    <row r="318" spans="1:85" ht="12.75" x14ac:dyDescent="0.2">
      <c r="A318" s="446">
        <v>311</v>
      </c>
      <c r="B318" s="447" t="s">
        <v>505</v>
      </c>
      <c r="C318" s="448" t="s">
        <v>1093</v>
      </c>
      <c r="D318" s="449" t="s">
        <v>1102</v>
      </c>
      <c r="E318" s="450" t="s">
        <v>756</v>
      </c>
      <c r="F318" s="451">
        <v>6989175</v>
      </c>
      <c r="G318" s="451">
        <v>5591339</v>
      </c>
      <c r="H318" s="451">
        <v>1258051</v>
      </c>
      <c r="I318" s="451">
        <v>1258051</v>
      </c>
      <c r="J318" s="451">
        <v>13978348</v>
      </c>
      <c r="K318" s="451">
        <v>0</v>
      </c>
      <c r="L318" s="451">
        <v>0</v>
      </c>
      <c r="M318" s="451">
        <v>6989175</v>
      </c>
      <c r="N318" s="451">
        <v>13978348</v>
      </c>
      <c r="O318" s="451">
        <v>107439</v>
      </c>
      <c r="P318" s="451">
        <v>107439</v>
      </c>
      <c r="Q318" s="451">
        <v>0</v>
      </c>
      <c r="R318" s="451">
        <v>0</v>
      </c>
      <c r="S318" s="451">
        <v>0</v>
      </c>
      <c r="T318" s="451">
        <v>0</v>
      </c>
      <c r="U318" s="451">
        <v>0</v>
      </c>
      <c r="V318" s="451">
        <v>0</v>
      </c>
      <c r="W318" s="451">
        <v>0</v>
      </c>
      <c r="X318" s="451">
        <v>0</v>
      </c>
      <c r="Y318" s="451">
        <v>0</v>
      </c>
      <c r="Z318" s="451">
        <v>0</v>
      </c>
      <c r="AA318" s="451">
        <v>0</v>
      </c>
      <c r="AB318" s="451">
        <v>922382.75</v>
      </c>
      <c r="AC318" s="451">
        <v>737907</v>
      </c>
      <c r="AD318" s="451">
        <v>166029</v>
      </c>
      <c r="AE318" s="451">
        <v>18448</v>
      </c>
      <c r="AF318" s="451">
        <v>1844766.75</v>
      </c>
      <c r="AG318" s="451">
        <v>126244.05</v>
      </c>
      <c r="AH318" s="451">
        <v>100996</v>
      </c>
      <c r="AI318" s="451">
        <v>22724</v>
      </c>
      <c r="AJ318" s="451">
        <v>2525</v>
      </c>
      <c r="AK318" s="451">
        <v>252489.05</v>
      </c>
      <c r="AL318" s="451">
        <v>610500</v>
      </c>
      <c r="AM318" s="451">
        <v>488400</v>
      </c>
      <c r="AN318" s="451">
        <v>109890</v>
      </c>
      <c r="AO318" s="451">
        <v>12210</v>
      </c>
      <c r="AP318" s="451">
        <v>1221000</v>
      </c>
      <c r="AQ318" s="451">
        <v>200500</v>
      </c>
      <c r="AR318" s="451">
        <v>160400</v>
      </c>
      <c r="AS318" s="451">
        <v>36090</v>
      </c>
      <c r="AT318" s="451">
        <v>4010</v>
      </c>
      <c r="AU318" s="451">
        <v>401000</v>
      </c>
      <c r="AV318" s="451">
        <v>811000</v>
      </c>
      <c r="AW318" s="451">
        <v>648800</v>
      </c>
      <c r="AX318" s="451">
        <v>145980</v>
      </c>
      <c r="AY318" s="451">
        <v>16220</v>
      </c>
      <c r="AZ318" s="451">
        <v>1622000</v>
      </c>
      <c r="BA318" s="451">
        <v>0</v>
      </c>
      <c r="BB318" s="451">
        <v>0</v>
      </c>
      <c r="BC318" s="451">
        <v>0</v>
      </c>
      <c r="BD318" s="451">
        <v>0</v>
      </c>
      <c r="BE318" s="451">
        <v>0</v>
      </c>
      <c r="BF318" s="451">
        <v>114811</v>
      </c>
      <c r="BG318" s="451">
        <v>91848</v>
      </c>
      <c r="BH318" s="451">
        <v>20666</v>
      </c>
      <c r="BI318" s="451">
        <v>2296</v>
      </c>
      <c r="BJ318" s="451">
        <v>229621</v>
      </c>
      <c r="BK318" s="451">
        <v>114811</v>
      </c>
      <c r="BL318" s="451">
        <v>91848</v>
      </c>
      <c r="BM318" s="451">
        <v>20666</v>
      </c>
      <c r="BN318" s="451">
        <v>2296</v>
      </c>
      <c r="BO318" s="451">
        <v>229621</v>
      </c>
      <c r="BP318" s="451">
        <v>0</v>
      </c>
      <c r="BQ318" s="451">
        <v>0</v>
      </c>
      <c r="BR318" s="451">
        <v>0</v>
      </c>
      <c r="BS318" s="451">
        <v>0</v>
      </c>
      <c r="BT318" s="451">
        <v>0</v>
      </c>
      <c r="BU318" s="451">
        <v>281088</v>
      </c>
      <c r="BV318" s="451">
        <v>224870</v>
      </c>
      <c r="BW318" s="451">
        <v>50596</v>
      </c>
      <c r="BX318" s="451">
        <v>5622</v>
      </c>
      <c r="BY318" s="451">
        <v>562176</v>
      </c>
      <c r="BZ318" s="451">
        <v>281088</v>
      </c>
      <c r="CA318" s="451">
        <v>224870</v>
      </c>
      <c r="CB318" s="451">
        <v>50596</v>
      </c>
      <c r="CC318" s="451">
        <v>5622</v>
      </c>
      <c r="CD318" s="451">
        <v>562176</v>
      </c>
      <c r="CE318" s="104" t="s">
        <v>1120</v>
      </c>
      <c r="CF318" s="104"/>
      <c r="CG318" s="104"/>
    </row>
    <row r="319" spans="1:85" ht="12.75" x14ac:dyDescent="0.2">
      <c r="A319" s="446">
        <v>312</v>
      </c>
      <c r="B319" s="447" t="s">
        <v>507</v>
      </c>
      <c r="C319" s="448" t="s">
        <v>1100</v>
      </c>
      <c r="D319" s="449" t="s">
        <v>1095</v>
      </c>
      <c r="E319" s="450" t="s">
        <v>506</v>
      </c>
      <c r="F319" s="451">
        <v>36531569</v>
      </c>
      <c r="G319" s="451">
        <v>35800938</v>
      </c>
      <c r="H319" s="451">
        <v>0</v>
      </c>
      <c r="I319" s="451">
        <v>730631</v>
      </c>
      <c r="J319" s="451">
        <v>73063138</v>
      </c>
      <c r="K319" s="451">
        <v>0</v>
      </c>
      <c r="L319" s="451">
        <v>0</v>
      </c>
      <c r="M319" s="451">
        <v>36531569</v>
      </c>
      <c r="N319" s="451">
        <v>73063138</v>
      </c>
      <c r="O319" s="451">
        <v>387575</v>
      </c>
      <c r="P319" s="451">
        <v>387575</v>
      </c>
      <c r="Q319" s="451">
        <v>0</v>
      </c>
      <c r="R319" s="451">
        <v>0</v>
      </c>
      <c r="S319" s="451">
        <v>0</v>
      </c>
      <c r="T319" s="451">
        <v>0</v>
      </c>
      <c r="U319" s="451">
        <v>0</v>
      </c>
      <c r="V319" s="451">
        <v>0</v>
      </c>
      <c r="W319" s="451">
        <v>0</v>
      </c>
      <c r="X319" s="451">
        <v>0</v>
      </c>
      <c r="Y319" s="451">
        <v>0</v>
      </c>
      <c r="Z319" s="451">
        <v>0</v>
      </c>
      <c r="AA319" s="451">
        <v>0</v>
      </c>
      <c r="AB319" s="451">
        <v>3535141</v>
      </c>
      <c r="AC319" s="451">
        <v>3464439</v>
      </c>
      <c r="AD319" s="451">
        <v>0</v>
      </c>
      <c r="AE319" s="451">
        <v>70703</v>
      </c>
      <c r="AF319" s="451">
        <v>7070283</v>
      </c>
      <c r="AG319" s="451">
        <v>117989</v>
      </c>
      <c r="AH319" s="451">
        <v>115629</v>
      </c>
      <c r="AI319" s="451">
        <v>0</v>
      </c>
      <c r="AJ319" s="451">
        <v>2360</v>
      </c>
      <c r="AK319" s="451">
        <v>235978</v>
      </c>
      <c r="AL319" s="451">
        <v>2860750</v>
      </c>
      <c r="AM319" s="451">
        <v>0</v>
      </c>
      <c r="AN319" s="451">
        <v>0</v>
      </c>
      <c r="AO319" s="451">
        <v>28896</v>
      </c>
      <c r="AP319" s="451">
        <v>2889646</v>
      </c>
      <c r="AQ319" s="451">
        <v>897530</v>
      </c>
      <c r="AR319" s="451">
        <v>879580</v>
      </c>
      <c r="AS319" s="451">
        <v>0</v>
      </c>
      <c r="AT319" s="451">
        <v>17951</v>
      </c>
      <c r="AU319" s="451">
        <v>1795061</v>
      </c>
      <c r="AV319" s="451">
        <v>3758280</v>
      </c>
      <c r="AW319" s="451">
        <v>879580</v>
      </c>
      <c r="AX319" s="451">
        <v>0</v>
      </c>
      <c r="AY319" s="451">
        <v>46847</v>
      </c>
      <c r="AZ319" s="451">
        <v>4684707</v>
      </c>
      <c r="BA319" s="451">
        <v>0</v>
      </c>
      <c r="BB319" s="451">
        <v>0</v>
      </c>
      <c r="BC319" s="451">
        <v>0</v>
      </c>
      <c r="BD319" s="451">
        <v>0</v>
      </c>
      <c r="BE319" s="451">
        <v>0</v>
      </c>
      <c r="BF319" s="451">
        <v>1080404</v>
      </c>
      <c r="BG319" s="451">
        <v>1058795</v>
      </c>
      <c r="BH319" s="451">
        <v>0</v>
      </c>
      <c r="BI319" s="451">
        <v>21608</v>
      </c>
      <c r="BJ319" s="451">
        <v>2160807</v>
      </c>
      <c r="BK319" s="451">
        <v>1080404</v>
      </c>
      <c r="BL319" s="451">
        <v>1058795</v>
      </c>
      <c r="BM319" s="451">
        <v>0</v>
      </c>
      <c r="BN319" s="451">
        <v>21608</v>
      </c>
      <c r="BO319" s="451">
        <v>2160807</v>
      </c>
      <c r="BP319" s="451">
        <v>0</v>
      </c>
      <c r="BQ319" s="451">
        <v>0</v>
      </c>
      <c r="BR319" s="451">
        <v>0</v>
      </c>
      <c r="BS319" s="451">
        <v>0</v>
      </c>
      <c r="BT319" s="451">
        <v>0</v>
      </c>
      <c r="BU319" s="451">
        <v>836173</v>
      </c>
      <c r="BV319" s="451">
        <v>819450</v>
      </c>
      <c r="BW319" s="451">
        <v>0</v>
      </c>
      <c r="BX319" s="451">
        <v>16723</v>
      </c>
      <c r="BY319" s="451">
        <v>1672346</v>
      </c>
      <c r="BZ319" s="451">
        <v>836173</v>
      </c>
      <c r="CA319" s="451">
        <v>819450</v>
      </c>
      <c r="CB319" s="451">
        <v>0</v>
      </c>
      <c r="CC319" s="451">
        <v>16723</v>
      </c>
      <c r="CD319" s="451">
        <v>1672346</v>
      </c>
      <c r="CE319" s="104"/>
      <c r="CF319" s="104"/>
      <c r="CG319" s="104"/>
    </row>
    <row r="320" spans="1:85" ht="12.75" x14ac:dyDescent="0.2">
      <c r="A320" s="446">
        <v>313</v>
      </c>
      <c r="B320" s="447" t="s">
        <v>509</v>
      </c>
      <c r="C320" s="448" t="s">
        <v>794</v>
      </c>
      <c r="D320" s="449" t="s">
        <v>1102</v>
      </c>
      <c r="E320" s="450" t="s">
        <v>508</v>
      </c>
      <c r="F320" s="451">
        <v>65683188</v>
      </c>
      <c r="G320" s="451">
        <v>64369524</v>
      </c>
      <c r="H320" s="451">
        <v>0</v>
      </c>
      <c r="I320" s="451">
        <v>1313664</v>
      </c>
      <c r="J320" s="451">
        <v>131366376</v>
      </c>
      <c r="K320" s="451">
        <v>0</v>
      </c>
      <c r="L320" s="451">
        <v>0</v>
      </c>
      <c r="M320" s="451">
        <v>65683188</v>
      </c>
      <c r="N320" s="451">
        <v>131366376</v>
      </c>
      <c r="O320" s="451">
        <v>617775</v>
      </c>
      <c r="P320" s="451">
        <v>617775</v>
      </c>
      <c r="Q320" s="451">
        <v>0</v>
      </c>
      <c r="R320" s="451">
        <v>0</v>
      </c>
      <c r="S320" s="451">
        <v>0</v>
      </c>
      <c r="T320" s="451">
        <v>0</v>
      </c>
      <c r="U320" s="451">
        <v>87473</v>
      </c>
      <c r="V320" s="451">
        <v>0</v>
      </c>
      <c r="W320" s="451">
        <v>87473</v>
      </c>
      <c r="X320" s="451">
        <v>0</v>
      </c>
      <c r="Y320" s="451">
        <v>0</v>
      </c>
      <c r="Z320" s="451">
        <v>0</v>
      </c>
      <c r="AA320" s="451">
        <v>0</v>
      </c>
      <c r="AB320" s="451">
        <v>3398001.76</v>
      </c>
      <c r="AC320" s="451">
        <v>3330041</v>
      </c>
      <c r="AD320" s="451">
        <v>0</v>
      </c>
      <c r="AE320" s="451">
        <v>67960</v>
      </c>
      <c r="AF320" s="451">
        <v>6796002.7599999998</v>
      </c>
      <c r="AG320" s="451">
        <v>962046</v>
      </c>
      <c r="AH320" s="451">
        <v>942806</v>
      </c>
      <c r="AI320" s="451">
        <v>0</v>
      </c>
      <c r="AJ320" s="451">
        <v>19241</v>
      </c>
      <c r="AK320" s="451">
        <v>1924093</v>
      </c>
      <c r="AL320" s="451">
        <v>575250</v>
      </c>
      <c r="AM320" s="451">
        <v>563745</v>
      </c>
      <c r="AN320" s="451">
        <v>0</v>
      </c>
      <c r="AO320" s="451">
        <v>11505</v>
      </c>
      <c r="AP320" s="451">
        <v>1150500</v>
      </c>
      <c r="AQ320" s="451">
        <v>-111100</v>
      </c>
      <c r="AR320" s="451">
        <v>-108878</v>
      </c>
      <c r="AS320" s="451">
        <v>0</v>
      </c>
      <c r="AT320" s="451">
        <v>-2222</v>
      </c>
      <c r="AU320" s="451">
        <v>-222200</v>
      </c>
      <c r="AV320" s="451">
        <v>464150</v>
      </c>
      <c r="AW320" s="451">
        <v>454867</v>
      </c>
      <c r="AX320" s="451">
        <v>0</v>
      </c>
      <c r="AY320" s="451">
        <v>9283</v>
      </c>
      <c r="AZ320" s="451">
        <v>928300</v>
      </c>
      <c r="BA320" s="451">
        <v>0</v>
      </c>
      <c r="BB320" s="451">
        <v>0</v>
      </c>
      <c r="BC320" s="451">
        <v>0</v>
      </c>
      <c r="BD320" s="451">
        <v>0</v>
      </c>
      <c r="BE320" s="451">
        <v>0</v>
      </c>
      <c r="BF320" s="451">
        <v>538957</v>
      </c>
      <c r="BG320" s="451">
        <v>528178</v>
      </c>
      <c r="BH320" s="451">
        <v>0</v>
      </c>
      <c r="BI320" s="451">
        <v>10779</v>
      </c>
      <c r="BJ320" s="451">
        <v>1077914</v>
      </c>
      <c r="BK320" s="451">
        <v>538957</v>
      </c>
      <c r="BL320" s="451">
        <v>528178</v>
      </c>
      <c r="BM320" s="451">
        <v>0</v>
      </c>
      <c r="BN320" s="451">
        <v>10779</v>
      </c>
      <c r="BO320" s="451">
        <v>1077914</v>
      </c>
      <c r="BP320" s="451">
        <v>0</v>
      </c>
      <c r="BQ320" s="451">
        <v>0</v>
      </c>
      <c r="BR320" s="451">
        <v>0</v>
      </c>
      <c r="BS320" s="451">
        <v>0</v>
      </c>
      <c r="BT320" s="451">
        <v>0</v>
      </c>
      <c r="BU320" s="451">
        <v>1000921</v>
      </c>
      <c r="BV320" s="451">
        <v>980902</v>
      </c>
      <c r="BW320" s="451">
        <v>0</v>
      </c>
      <c r="BX320" s="451">
        <v>20018</v>
      </c>
      <c r="BY320" s="451">
        <v>2001841</v>
      </c>
      <c r="BZ320" s="451">
        <v>1000921</v>
      </c>
      <c r="CA320" s="451">
        <v>980902</v>
      </c>
      <c r="CB320" s="451">
        <v>0</v>
      </c>
      <c r="CC320" s="451">
        <v>20018</v>
      </c>
      <c r="CD320" s="451">
        <v>2001841</v>
      </c>
      <c r="CE320" s="104"/>
      <c r="CF320" s="104"/>
      <c r="CG320" s="104"/>
    </row>
    <row r="321" spans="1:85" ht="12.75" x14ac:dyDescent="0.2">
      <c r="A321" s="446">
        <v>314</v>
      </c>
      <c r="B321" s="447" t="s">
        <v>511</v>
      </c>
      <c r="C321" s="448" t="s">
        <v>1093</v>
      </c>
      <c r="D321" s="449" t="s">
        <v>1094</v>
      </c>
      <c r="E321" s="450" t="s">
        <v>510</v>
      </c>
      <c r="F321" s="451">
        <v>25445258</v>
      </c>
      <c r="G321" s="451">
        <v>20356206</v>
      </c>
      <c r="H321" s="451">
        <v>4580146</v>
      </c>
      <c r="I321" s="451">
        <v>508905</v>
      </c>
      <c r="J321" s="451">
        <v>50890515</v>
      </c>
      <c r="K321" s="451">
        <v>0</v>
      </c>
      <c r="L321" s="451">
        <v>0</v>
      </c>
      <c r="M321" s="451">
        <v>25445258</v>
      </c>
      <c r="N321" s="451">
        <v>50890515</v>
      </c>
      <c r="O321" s="451">
        <v>190784</v>
      </c>
      <c r="P321" s="451">
        <v>190784</v>
      </c>
      <c r="Q321" s="451">
        <v>0</v>
      </c>
      <c r="R321" s="451">
        <v>0</v>
      </c>
      <c r="S321" s="451">
        <v>0</v>
      </c>
      <c r="T321" s="451">
        <v>0</v>
      </c>
      <c r="U321" s="451">
        <v>0</v>
      </c>
      <c r="V321" s="451">
        <v>0</v>
      </c>
      <c r="W321" s="451">
        <v>0</v>
      </c>
      <c r="X321" s="451">
        <v>0</v>
      </c>
      <c r="Y321" s="451">
        <v>0</v>
      </c>
      <c r="Z321" s="451">
        <v>0</v>
      </c>
      <c r="AA321" s="451">
        <v>0</v>
      </c>
      <c r="AB321" s="451">
        <v>1064311.6200000001</v>
      </c>
      <c r="AC321" s="451">
        <v>851449</v>
      </c>
      <c r="AD321" s="451">
        <v>191576</v>
      </c>
      <c r="AE321" s="451">
        <v>21286</v>
      </c>
      <c r="AF321" s="451">
        <v>2128622.62</v>
      </c>
      <c r="AG321" s="451">
        <v>247352.42</v>
      </c>
      <c r="AH321" s="451">
        <v>197882</v>
      </c>
      <c r="AI321" s="451">
        <v>44523</v>
      </c>
      <c r="AJ321" s="451">
        <v>4947</v>
      </c>
      <c r="AK321" s="451">
        <v>494704.42</v>
      </c>
      <c r="AL321" s="451">
        <v>469509</v>
      </c>
      <c r="AM321" s="451">
        <v>375608</v>
      </c>
      <c r="AN321" s="451">
        <v>84512</v>
      </c>
      <c r="AO321" s="451">
        <v>9390</v>
      </c>
      <c r="AP321" s="451">
        <v>939019</v>
      </c>
      <c r="AQ321" s="451">
        <v>114553</v>
      </c>
      <c r="AR321" s="451">
        <v>91642</v>
      </c>
      <c r="AS321" s="451">
        <v>20619</v>
      </c>
      <c r="AT321" s="451">
        <v>2291</v>
      </c>
      <c r="AU321" s="451">
        <v>229105</v>
      </c>
      <c r="AV321" s="451">
        <v>584062</v>
      </c>
      <c r="AW321" s="451">
        <v>467250</v>
      </c>
      <c r="AX321" s="451">
        <v>105131</v>
      </c>
      <c r="AY321" s="451">
        <v>11681</v>
      </c>
      <c r="AZ321" s="451">
        <v>1168124</v>
      </c>
      <c r="BA321" s="451">
        <v>0</v>
      </c>
      <c r="BB321" s="451">
        <v>0</v>
      </c>
      <c r="BC321" s="451">
        <v>0</v>
      </c>
      <c r="BD321" s="451">
        <v>0</v>
      </c>
      <c r="BE321" s="451">
        <v>0</v>
      </c>
      <c r="BF321" s="451">
        <v>1429816</v>
      </c>
      <c r="BG321" s="451">
        <v>1143852</v>
      </c>
      <c r="BH321" s="451">
        <v>257367</v>
      </c>
      <c r="BI321" s="451">
        <v>28596</v>
      </c>
      <c r="BJ321" s="451">
        <v>2859631</v>
      </c>
      <c r="BK321" s="451">
        <v>1429816</v>
      </c>
      <c r="BL321" s="451">
        <v>1143852</v>
      </c>
      <c r="BM321" s="451">
        <v>257367</v>
      </c>
      <c r="BN321" s="451">
        <v>28596</v>
      </c>
      <c r="BO321" s="451">
        <v>2859631</v>
      </c>
      <c r="BP321" s="451">
        <v>0</v>
      </c>
      <c r="BQ321" s="451">
        <v>0</v>
      </c>
      <c r="BR321" s="451">
        <v>0</v>
      </c>
      <c r="BS321" s="451">
        <v>0</v>
      </c>
      <c r="BT321" s="451">
        <v>0</v>
      </c>
      <c r="BU321" s="451">
        <v>0</v>
      </c>
      <c r="BV321" s="451">
        <v>0</v>
      </c>
      <c r="BW321" s="451">
        <v>0</v>
      </c>
      <c r="BX321" s="451">
        <v>0</v>
      </c>
      <c r="BY321" s="451">
        <v>0</v>
      </c>
      <c r="BZ321" s="451">
        <v>0</v>
      </c>
      <c r="CA321" s="451">
        <v>0</v>
      </c>
      <c r="CB321" s="451">
        <v>0</v>
      </c>
      <c r="CC321" s="451">
        <v>0</v>
      </c>
      <c r="CD321" s="451">
        <v>0</v>
      </c>
      <c r="CE321" s="104"/>
      <c r="CF321" s="104"/>
      <c r="CG321" s="104"/>
    </row>
    <row r="322" spans="1:85" ht="12.75" x14ac:dyDescent="0.2">
      <c r="A322" s="446">
        <v>315</v>
      </c>
      <c r="B322" s="447" t="s">
        <v>513</v>
      </c>
      <c r="C322" s="448" t="s">
        <v>794</v>
      </c>
      <c r="D322" s="449" t="s">
        <v>1094</v>
      </c>
      <c r="E322" s="450" t="s">
        <v>757</v>
      </c>
      <c r="F322" s="451">
        <v>35669316</v>
      </c>
      <c r="G322" s="451">
        <v>34955930</v>
      </c>
      <c r="H322" s="451">
        <v>0</v>
      </c>
      <c r="I322" s="451">
        <v>713386</v>
      </c>
      <c r="J322" s="451">
        <v>71338632</v>
      </c>
      <c r="K322" s="451">
        <v>0</v>
      </c>
      <c r="L322" s="451">
        <v>0</v>
      </c>
      <c r="M322" s="451">
        <v>35669316</v>
      </c>
      <c r="N322" s="451">
        <v>71338632</v>
      </c>
      <c r="O322" s="451">
        <v>251201</v>
      </c>
      <c r="P322" s="451">
        <v>251201</v>
      </c>
      <c r="Q322" s="451">
        <v>0</v>
      </c>
      <c r="R322" s="451">
        <v>0</v>
      </c>
      <c r="S322" s="451">
        <v>0</v>
      </c>
      <c r="T322" s="451">
        <v>0</v>
      </c>
      <c r="U322" s="451">
        <v>0</v>
      </c>
      <c r="V322" s="451">
        <v>0</v>
      </c>
      <c r="W322" s="451">
        <v>0</v>
      </c>
      <c r="X322" s="451">
        <v>0</v>
      </c>
      <c r="Y322" s="451">
        <v>0</v>
      </c>
      <c r="Z322" s="451">
        <v>0</v>
      </c>
      <c r="AA322" s="451">
        <v>0</v>
      </c>
      <c r="AB322" s="451">
        <v>2472556.44</v>
      </c>
      <c r="AC322" s="451">
        <v>2423106</v>
      </c>
      <c r="AD322" s="451">
        <v>0</v>
      </c>
      <c r="AE322" s="451">
        <v>49451</v>
      </c>
      <c r="AF322" s="451">
        <v>4945113.4400000004</v>
      </c>
      <c r="AG322" s="451">
        <v>533615.49</v>
      </c>
      <c r="AH322" s="451">
        <v>522943</v>
      </c>
      <c r="AI322" s="451">
        <v>0</v>
      </c>
      <c r="AJ322" s="451">
        <v>10672</v>
      </c>
      <c r="AK322" s="451">
        <v>1067230.49</v>
      </c>
      <c r="AL322" s="451">
        <v>1086204.93</v>
      </c>
      <c r="AM322" s="451">
        <v>1064480</v>
      </c>
      <c r="AN322" s="451">
        <v>0</v>
      </c>
      <c r="AO322" s="451">
        <v>21724</v>
      </c>
      <c r="AP322" s="451">
        <v>2172408.9300000002</v>
      </c>
      <c r="AQ322" s="451">
        <v>35227.17</v>
      </c>
      <c r="AR322" s="451">
        <v>34523</v>
      </c>
      <c r="AS322" s="451">
        <v>0</v>
      </c>
      <c r="AT322" s="451">
        <v>705</v>
      </c>
      <c r="AU322" s="451">
        <v>70455.17</v>
      </c>
      <c r="AV322" s="451">
        <v>1121432.1000000001</v>
      </c>
      <c r="AW322" s="451">
        <v>1099003</v>
      </c>
      <c r="AX322" s="451">
        <v>0</v>
      </c>
      <c r="AY322" s="451">
        <v>22429</v>
      </c>
      <c r="AZ322" s="451">
        <v>2242864.1</v>
      </c>
      <c r="BA322" s="451">
        <v>0</v>
      </c>
      <c r="BB322" s="451">
        <v>0</v>
      </c>
      <c r="BC322" s="451">
        <v>0</v>
      </c>
      <c r="BD322" s="451">
        <v>0</v>
      </c>
      <c r="BE322" s="451">
        <v>0</v>
      </c>
      <c r="BF322" s="451">
        <v>665271</v>
      </c>
      <c r="BG322" s="451">
        <v>651966</v>
      </c>
      <c r="BH322" s="451">
        <v>0</v>
      </c>
      <c r="BI322" s="451">
        <v>13305</v>
      </c>
      <c r="BJ322" s="451">
        <v>1330542</v>
      </c>
      <c r="BK322" s="451">
        <v>665271</v>
      </c>
      <c r="BL322" s="451">
        <v>651966</v>
      </c>
      <c r="BM322" s="451">
        <v>0</v>
      </c>
      <c r="BN322" s="451">
        <v>13305</v>
      </c>
      <c r="BO322" s="451">
        <v>1330542</v>
      </c>
      <c r="BP322" s="451">
        <v>0</v>
      </c>
      <c r="BQ322" s="451">
        <v>0</v>
      </c>
      <c r="BR322" s="451">
        <v>0</v>
      </c>
      <c r="BS322" s="451">
        <v>0</v>
      </c>
      <c r="BT322" s="451">
        <v>0</v>
      </c>
      <c r="BU322" s="451">
        <v>1836164</v>
      </c>
      <c r="BV322" s="451">
        <v>1799440</v>
      </c>
      <c r="BW322" s="451">
        <v>0</v>
      </c>
      <c r="BX322" s="451">
        <v>36723</v>
      </c>
      <c r="BY322" s="451">
        <v>3672327</v>
      </c>
      <c r="BZ322" s="451">
        <v>1836164</v>
      </c>
      <c r="CA322" s="451">
        <v>1799440</v>
      </c>
      <c r="CB322" s="451">
        <v>0</v>
      </c>
      <c r="CC322" s="451">
        <v>36723</v>
      </c>
      <c r="CD322" s="451">
        <v>3672327</v>
      </c>
      <c r="CE322" s="104"/>
      <c r="CF322" s="104"/>
      <c r="CG322" s="104"/>
    </row>
    <row r="323" spans="1:85" ht="12.75" x14ac:dyDescent="0.2">
      <c r="A323" s="446">
        <v>316</v>
      </c>
      <c r="B323" s="447" t="s">
        <v>515</v>
      </c>
      <c r="C323" s="448" t="s">
        <v>1100</v>
      </c>
      <c r="D323" s="449" t="s">
        <v>1095</v>
      </c>
      <c r="E323" s="450" t="s">
        <v>514</v>
      </c>
      <c r="F323" s="451">
        <v>31468182</v>
      </c>
      <c r="G323" s="451">
        <v>30838818</v>
      </c>
      <c r="H323" s="451">
        <v>0</v>
      </c>
      <c r="I323" s="451">
        <v>629364</v>
      </c>
      <c r="J323" s="451">
        <v>62936364</v>
      </c>
      <c r="K323" s="451">
        <v>0</v>
      </c>
      <c r="L323" s="451">
        <v>0</v>
      </c>
      <c r="M323" s="451">
        <v>31468182</v>
      </c>
      <c r="N323" s="451">
        <v>62936364</v>
      </c>
      <c r="O323" s="451">
        <v>339810</v>
      </c>
      <c r="P323" s="451">
        <v>339810</v>
      </c>
      <c r="Q323" s="451">
        <v>0</v>
      </c>
      <c r="R323" s="451">
        <v>0</v>
      </c>
      <c r="S323" s="451">
        <v>0</v>
      </c>
      <c r="T323" s="451">
        <v>0</v>
      </c>
      <c r="U323" s="451">
        <v>0</v>
      </c>
      <c r="V323" s="451">
        <v>0</v>
      </c>
      <c r="W323" s="451">
        <v>0</v>
      </c>
      <c r="X323" s="451">
        <v>0</v>
      </c>
      <c r="Y323" s="451">
        <v>0</v>
      </c>
      <c r="Z323" s="451">
        <v>0</v>
      </c>
      <c r="AA323" s="451">
        <v>0</v>
      </c>
      <c r="AB323" s="451">
        <v>3217507.89</v>
      </c>
      <c r="AC323" s="451">
        <v>3153158</v>
      </c>
      <c r="AD323" s="451">
        <v>0</v>
      </c>
      <c r="AE323" s="451">
        <v>64350</v>
      </c>
      <c r="AF323" s="451">
        <v>6435015.8899999997</v>
      </c>
      <c r="AG323" s="451">
        <v>513810</v>
      </c>
      <c r="AH323" s="451">
        <v>503534</v>
      </c>
      <c r="AI323" s="451">
        <v>0</v>
      </c>
      <c r="AJ323" s="451">
        <v>10276</v>
      </c>
      <c r="AK323" s="451">
        <v>1027620</v>
      </c>
      <c r="AL323" s="451">
        <v>1515027</v>
      </c>
      <c r="AM323" s="451">
        <v>1484726</v>
      </c>
      <c r="AN323" s="451">
        <v>0</v>
      </c>
      <c r="AO323" s="451">
        <v>30301</v>
      </c>
      <c r="AP323" s="451">
        <v>3030054</v>
      </c>
      <c r="AQ323" s="451">
        <v>281624</v>
      </c>
      <c r="AR323" s="451">
        <v>275992</v>
      </c>
      <c r="AS323" s="451">
        <v>0</v>
      </c>
      <c r="AT323" s="451">
        <v>5632</v>
      </c>
      <c r="AU323" s="451">
        <v>563248</v>
      </c>
      <c r="AV323" s="451">
        <v>1796651</v>
      </c>
      <c r="AW323" s="451">
        <v>1760718</v>
      </c>
      <c r="AX323" s="451">
        <v>0</v>
      </c>
      <c r="AY323" s="451">
        <v>35933</v>
      </c>
      <c r="AZ323" s="451">
        <v>3593302</v>
      </c>
      <c r="BA323" s="451">
        <v>0</v>
      </c>
      <c r="BB323" s="451">
        <v>0</v>
      </c>
      <c r="BC323" s="451">
        <v>0</v>
      </c>
      <c r="BD323" s="451">
        <v>0</v>
      </c>
      <c r="BE323" s="451">
        <v>0</v>
      </c>
      <c r="BF323" s="451">
        <v>414019</v>
      </c>
      <c r="BG323" s="451">
        <v>405738</v>
      </c>
      <c r="BH323" s="451">
        <v>0</v>
      </c>
      <c r="BI323" s="451">
        <v>8280</v>
      </c>
      <c r="BJ323" s="451">
        <v>828037</v>
      </c>
      <c r="BK323" s="451">
        <v>414019</v>
      </c>
      <c r="BL323" s="451">
        <v>405738</v>
      </c>
      <c r="BM323" s="451">
        <v>0</v>
      </c>
      <c r="BN323" s="451">
        <v>8280</v>
      </c>
      <c r="BO323" s="451">
        <v>828037</v>
      </c>
      <c r="BP323" s="451">
        <v>0</v>
      </c>
      <c r="BQ323" s="451">
        <v>0</v>
      </c>
      <c r="BR323" s="451">
        <v>0</v>
      </c>
      <c r="BS323" s="451">
        <v>0</v>
      </c>
      <c r="BT323" s="451">
        <v>0</v>
      </c>
      <c r="BU323" s="451">
        <v>1181903</v>
      </c>
      <c r="BV323" s="451">
        <v>1158264</v>
      </c>
      <c r="BW323" s="451">
        <v>0</v>
      </c>
      <c r="BX323" s="451">
        <v>23638</v>
      </c>
      <c r="BY323" s="451">
        <v>2363805</v>
      </c>
      <c r="BZ323" s="451">
        <v>1181903</v>
      </c>
      <c r="CA323" s="451">
        <v>1158264</v>
      </c>
      <c r="CB323" s="451">
        <v>0</v>
      </c>
      <c r="CC323" s="451">
        <v>23638</v>
      </c>
      <c r="CD323" s="451">
        <v>2363805</v>
      </c>
      <c r="CE323" s="104"/>
      <c r="CF323" s="104"/>
      <c r="CG323" s="104"/>
    </row>
    <row r="324" spans="1:85" ht="12.75" x14ac:dyDescent="0.2">
      <c r="A324" s="446">
        <v>317</v>
      </c>
      <c r="B324" s="447" t="s">
        <v>517</v>
      </c>
      <c r="C324" s="448" t="s">
        <v>1093</v>
      </c>
      <c r="D324" s="449" t="s">
        <v>1094</v>
      </c>
      <c r="E324" s="450" t="s">
        <v>516</v>
      </c>
      <c r="F324" s="451">
        <v>19370342</v>
      </c>
      <c r="G324" s="451">
        <v>15496274</v>
      </c>
      <c r="H324" s="451">
        <v>3874068</v>
      </c>
      <c r="I324" s="451">
        <v>0</v>
      </c>
      <c r="J324" s="451">
        <v>38740684</v>
      </c>
      <c r="K324" s="451">
        <v>0</v>
      </c>
      <c r="L324" s="451">
        <v>0</v>
      </c>
      <c r="M324" s="451">
        <v>19370342</v>
      </c>
      <c r="N324" s="451">
        <v>38740684</v>
      </c>
      <c r="O324" s="451">
        <v>135670</v>
      </c>
      <c r="P324" s="451">
        <v>135670</v>
      </c>
      <c r="Q324" s="451">
        <v>0</v>
      </c>
      <c r="R324" s="451">
        <v>0</v>
      </c>
      <c r="S324" s="451">
        <v>0</v>
      </c>
      <c r="T324" s="451">
        <v>0</v>
      </c>
      <c r="U324" s="451">
        <v>0</v>
      </c>
      <c r="V324" s="451">
        <v>0</v>
      </c>
      <c r="W324" s="451">
        <v>0</v>
      </c>
      <c r="X324" s="451">
        <v>0</v>
      </c>
      <c r="Y324" s="451">
        <v>0</v>
      </c>
      <c r="Z324" s="451">
        <v>0</v>
      </c>
      <c r="AA324" s="451">
        <v>0</v>
      </c>
      <c r="AB324" s="451">
        <v>679547.69</v>
      </c>
      <c r="AC324" s="451">
        <v>543638</v>
      </c>
      <c r="AD324" s="451">
        <v>135909</v>
      </c>
      <c r="AE324" s="451">
        <v>0</v>
      </c>
      <c r="AF324" s="451">
        <v>1359094.69</v>
      </c>
      <c r="AG324" s="451">
        <v>528835</v>
      </c>
      <c r="AH324" s="451">
        <v>423068</v>
      </c>
      <c r="AI324" s="451">
        <v>105767</v>
      </c>
      <c r="AJ324" s="451">
        <v>0</v>
      </c>
      <c r="AK324" s="451">
        <v>1057670</v>
      </c>
      <c r="AL324" s="451">
        <v>0</v>
      </c>
      <c r="AM324" s="451">
        <v>0</v>
      </c>
      <c r="AN324" s="451">
        <v>0</v>
      </c>
      <c r="AO324" s="451">
        <v>0</v>
      </c>
      <c r="AP324" s="451">
        <v>0</v>
      </c>
      <c r="AQ324" s="451">
        <v>33000</v>
      </c>
      <c r="AR324" s="451">
        <v>26400</v>
      </c>
      <c r="AS324" s="451">
        <v>6600</v>
      </c>
      <c r="AT324" s="451">
        <v>0</v>
      </c>
      <c r="AU324" s="451">
        <v>66000</v>
      </c>
      <c r="AV324" s="451">
        <v>33000</v>
      </c>
      <c r="AW324" s="451">
        <v>26400</v>
      </c>
      <c r="AX324" s="451">
        <v>6600</v>
      </c>
      <c r="AY324" s="451">
        <v>0</v>
      </c>
      <c r="AZ324" s="451">
        <v>66000</v>
      </c>
      <c r="BA324" s="451">
        <v>0</v>
      </c>
      <c r="BB324" s="451">
        <v>0</v>
      </c>
      <c r="BC324" s="451">
        <v>0</v>
      </c>
      <c r="BD324" s="451">
        <v>0</v>
      </c>
      <c r="BE324" s="451">
        <v>0</v>
      </c>
      <c r="BF324" s="451">
        <v>838500</v>
      </c>
      <c r="BG324" s="451">
        <v>670800</v>
      </c>
      <c r="BH324" s="451">
        <v>167700</v>
      </c>
      <c r="BI324" s="451">
        <v>0</v>
      </c>
      <c r="BJ324" s="451">
        <v>1677000</v>
      </c>
      <c r="BK324" s="451">
        <v>838500</v>
      </c>
      <c r="BL324" s="451">
        <v>670800</v>
      </c>
      <c r="BM324" s="451">
        <v>167700</v>
      </c>
      <c r="BN324" s="451">
        <v>0</v>
      </c>
      <c r="BO324" s="451">
        <v>1677000</v>
      </c>
      <c r="BP324" s="451">
        <v>0</v>
      </c>
      <c r="BQ324" s="451">
        <v>0</v>
      </c>
      <c r="BR324" s="451">
        <v>0</v>
      </c>
      <c r="BS324" s="451">
        <v>0</v>
      </c>
      <c r="BT324" s="451">
        <v>0</v>
      </c>
      <c r="BU324" s="451">
        <v>1676500</v>
      </c>
      <c r="BV324" s="451">
        <v>1341200</v>
      </c>
      <c r="BW324" s="451">
        <v>335300</v>
      </c>
      <c r="BX324" s="451">
        <v>0</v>
      </c>
      <c r="BY324" s="451">
        <v>3353000</v>
      </c>
      <c r="BZ324" s="451">
        <v>1676500</v>
      </c>
      <c r="CA324" s="451">
        <v>1341200</v>
      </c>
      <c r="CB324" s="451">
        <v>335300</v>
      </c>
      <c r="CC324" s="451">
        <v>0</v>
      </c>
      <c r="CD324" s="451">
        <v>3353000</v>
      </c>
      <c r="CE324" s="104" t="s">
        <v>1120</v>
      </c>
      <c r="CF324" s="104"/>
      <c r="CG324" s="104"/>
    </row>
    <row r="325" spans="1:85" ht="12.75" x14ac:dyDescent="0.2">
      <c r="A325" s="446">
        <v>318</v>
      </c>
      <c r="B325" s="447" t="s">
        <v>519</v>
      </c>
      <c r="C325" s="448" t="s">
        <v>794</v>
      </c>
      <c r="D325" s="449" t="s">
        <v>1094</v>
      </c>
      <c r="E325" s="450" t="s">
        <v>758</v>
      </c>
      <c r="F325" s="451">
        <v>25481682</v>
      </c>
      <c r="G325" s="451">
        <v>24972048</v>
      </c>
      <c r="H325" s="451">
        <v>0</v>
      </c>
      <c r="I325" s="451">
        <v>509634</v>
      </c>
      <c r="J325" s="451">
        <v>50963364</v>
      </c>
      <c r="K325" s="451">
        <v>0</v>
      </c>
      <c r="L325" s="451">
        <v>0</v>
      </c>
      <c r="M325" s="451">
        <v>25481682</v>
      </c>
      <c r="N325" s="451">
        <v>50963364</v>
      </c>
      <c r="O325" s="451">
        <v>181184</v>
      </c>
      <c r="P325" s="451">
        <v>181184</v>
      </c>
      <c r="Q325" s="451">
        <v>0</v>
      </c>
      <c r="R325" s="451">
        <v>0</v>
      </c>
      <c r="S325" s="451">
        <v>0</v>
      </c>
      <c r="T325" s="451">
        <v>0</v>
      </c>
      <c r="U325" s="451">
        <v>0</v>
      </c>
      <c r="V325" s="451">
        <v>0</v>
      </c>
      <c r="W325" s="451">
        <v>0</v>
      </c>
      <c r="X325" s="451">
        <v>0</v>
      </c>
      <c r="Y325" s="451">
        <v>0</v>
      </c>
      <c r="Z325" s="451">
        <v>0</v>
      </c>
      <c r="AA325" s="451">
        <v>0</v>
      </c>
      <c r="AB325" s="451">
        <v>1140192</v>
      </c>
      <c r="AC325" s="451">
        <v>1117389</v>
      </c>
      <c r="AD325" s="451">
        <v>0</v>
      </c>
      <c r="AE325" s="451">
        <v>22804</v>
      </c>
      <c r="AF325" s="451">
        <v>2280385</v>
      </c>
      <c r="AG325" s="451">
        <v>1343165</v>
      </c>
      <c r="AH325" s="451">
        <v>1316301</v>
      </c>
      <c r="AI325" s="451">
        <v>0</v>
      </c>
      <c r="AJ325" s="451">
        <v>26863</v>
      </c>
      <c r="AK325" s="451">
        <v>2686329</v>
      </c>
      <c r="AL325" s="451">
        <v>128062</v>
      </c>
      <c r="AM325" s="451">
        <v>125501</v>
      </c>
      <c r="AN325" s="451">
        <v>0</v>
      </c>
      <c r="AO325" s="451">
        <v>2561</v>
      </c>
      <c r="AP325" s="451">
        <v>256124</v>
      </c>
      <c r="AQ325" s="451">
        <v>246938</v>
      </c>
      <c r="AR325" s="451">
        <v>241999</v>
      </c>
      <c r="AS325" s="451">
        <v>0</v>
      </c>
      <c r="AT325" s="451">
        <v>4939</v>
      </c>
      <c r="AU325" s="451">
        <v>493876</v>
      </c>
      <c r="AV325" s="451">
        <v>375000</v>
      </c>
      <c r="AW325" s="451">
        <v>367500</v>
      </c>
      <c r="AX325" s="451">
        <v>0</v>
      </c>
      <c r="AY325" s="451">
        <v>7500</v>
      </c>
      <c r="AZ325" s="451">
        <v>750000</v>
      </c>
      <c r="BA325" s="451">
        <v>0</v>
      </c>
      <c r="BB325" s="451">
        <v>0</v>
      </c>
      <c r="BC325" s="451">
        <v>0</v>
      </c>
      <c r="BD325" s="451">
        <v>0</v>
      </c>
      <c r="BE325" s="451">
        <v>0</v>
      </c>
      <c r="BF325" s="451">
        <v>625000</v>
      </c>
      <c r="BG325" s="451">
        <v>612500</v>
      </c>
      <c r="BH325" s="451">
        <v>0</v>
      </c>
      <c r="BI325" s="451">
        <v>12500</v>
      </c>
      <c r="BJ325" s="451">
        <v>1250000</v>
      </c>
      <c r="BK325" s="451">
        <v>625000</v>
      </c>
      <c r="BL325" s="451">
        <v>612500</v>
      </c>
      <c r="BM325" s="451">
        <v>0</v>
      </c>
      <c r="BN325" s="451">
        <v>12500</v>
      </c>
      <c r="BO325" s="451">
        <v>1250000</v>
      </c>
      <c r="BP325" s="451">
        <v>0</v>
      </c>
      <c r="BQ325" s="451">
        <v>0</v>
      </c>
      <c r="BR325" s="451">
        <v>0</v>
      </c>
      <c r="BS325" s="451">
        <v>0</v>
      </c>
      <c r="BT325" s="451">
        <v>0</v>
      </c>
      <c r="BU325" s="451">
        <v>0</v>
      </c>
      <c r="BV325" s="451">
        <v>0</v>
      </c>
      <c r="BW325" s="451">
        <v>0</v>
      </c>
      <c r="BX325" s="451">
        <v>0</v>
      </c>
      <c r="BY325" s="451">
        <v>0</v>
      </c>
      <c r="BZ325" s="451">
        <v>0</v>
      </c>
      <c r="CA325" s="451">
        <v>0</v>
      </c>
      <c r="CB325" s="451">
        <v>0</v>
      </c>
      <c r="CC325" s="451">
        <v>0</v>
      </c>
      <c r="CD325" s="451">
        <v>0</v>
      </c>
      <c r="CE325" s="104"/>
      <c r="CF325" s="104"/>
      <c r="CG325" s="104"/>
    </row>
    <row r="326" spans="1:85" ht="12.75" x14ac:dyDescent="0.2">
      <c r="A326" s="446">
        <v>319</v>
      </c>
      <c r="B326" s="447" t="s">
        <v>521</v>
      </c>
      <c r="C326" s="448" t="s">
        <v>1100</v>
      </c>
      <c r="D326" s="449" t="s">
        <v>1103</v>
      </c>
      <c r="E326" s="450" t="s">
        <v>520</v>
      </c>
      <c r="F326" s="451">
        <v>35804685</v>
      </c>
      <c r="G326" s="451">
        <v>35088592</v>
      </c>
      <c r="H326" s="451">
        <v>0</v>
      </c>
      <c r="I326" s="451">
        <v>716094</v>
      </c>
      <c r="J326" s="451">
        <v>71609371</v>
      </c>
      <c r="K326" s="451">
        <v>0</v>
      </c>
      <c r="L326" s="451">
        <v>0</v>
      </c>
      <c r="M326" s="451">
        <v>35804685</v>
      </c>
      <c r="N326" s="451">
        <v>71609371</v>
      </c>
      <c r="O326" s="451">
        <v>348621</v>
      </c>
      <c r="P326" s="451">
        <v>348621</v>
      </c>
      <c r="Q326" s="451">
        <v>140</v>
      </c>
      <c r="R326" s="451">
        <v>140</v>
      </c>
      <c r="S326" s="451">
        <v>0</v>
      </c>
      <c r="T326" s="451">
        <v>0</v>
      </c>
      <c r="U326" s="451">
        <v>0</v>
      </c>
      <c r="V326" s="451">
        <v>0</v>
      </c>
      <c r="W326" s="451">
        <v>0</v>
      </c>
      <c r="X326" s="451">
        <v>0</v>
      </c>
      <c r="Y326" s="451">
        <v>0</v>
      </c>
      <c r="Z326" s="451">
        <v>0</v>
      </c>
      <c r="AA326" s="451">
        <v>0</v>
      </c>
      <c r="AB326" s="451">
        <v>3533906</v>
      </c>
      <c r="AC326" s="451">
        <v>3463227</v>
      </c>
      <c r="AD326" s="451">
        <v>0</v>
      </c>
      <c r="AE326" s="451">
        <v>70678</v>
      </c>
      <c r="AF326" s="451">
        <v>7067811</v>
      </c>
      <c r="AG326" s="451">
        <v>194446</v>
      </c>
      <c r="AH326" s="451">
        <v>190558</v>
      </c>
      <c r="AI326" s="451">
        <v>0</v>
      </c>
      <c r="AJ326" s="451">
        <v>3889</v>
      </c>
      <c r="AK326" s="451">
        <v>388893</v>
      </c>
      <c r="AL326" s="451">
        <v>0</v>
      </c>
      <c r="AM326" s="451">
        <v>0</v>
      </c>
      <c r="AN326" s="451">
        <v>0</v>
      </c>
      <c r="AO326" s="451">
        <v>0</v>
      </c>
      <c r="AP326" s="451">
        <v>0</v>
      </c>
      <c r="AQ326" s="451">
        <v>1297499</v>
      </c>
      <c r="AR326" s="451">
        <v>1271549</v>
      </c>
      <c r="AS326" s="451">
        <v>0</v>
      </c>
      <c r="AT326" s="451">
        <v>25950</v>
      </c>
      <c r="AU326" s="451">
        <v>2594998</v>
      </c>
      <c r="AV326" s="451">
        <v>1297499</v>
      </c>
      <c r="AW326" s="451">
        <v>1271549</v>
      </c>
      <c r="AX326" s="451">
        <v>0</v>
      </c>
      <c r="AY326" s="451">
        <v>25950</v>
      </c>
      <c r="AZ326" s="451">
        <v>2594998</v>
      </c>
      <c r="BA326" s="451">
        <v>0</v>
      </c>
      <c r="BB326" s="451">
        <v>0</v>
      </c>
      <c r="BC326" s="451">
        <v>0</v>
      </c>
      <c r="BD326" s="451">
        <v>0</v>
      </c>
      <c r="BE326" s="451">
        <v>0</v>
      </c>
      <c r="BF326" s="451">
        <v>454435</v>
      </c>
      <c r="BG326" s="451">
        <v>445346</v>
      </c>
      <c r="BH326" s="451">
        <v>0</v>
      </c>
      <c r="BI326" s="451">
        <v>9089</v>
      </c>
      <c r="BJ326" s="451">
        <v>908870</v>
      </c>
      <c r="BK326" s="451">
        <v>454435</v>
      </c>
      <c r="BL326" s="451">
        <v>445346</v>
      </c>
      <c r="BM326" s="451">
        <v>0</v>
      </c>
      <c r="BN326" s="451">
        <v>9089</v>
      </c>
      <c r="BO326" s="451">
        <v>908870</v>
      </c>
      <c r="BP326" s="451">
        <v>0</v>
      </c>
      <c r="BQ326" s="451">
        <v>0</v>
      </c>
      <c r="BR326" s="451">
        <v>0</v>
      </c>
      <c r="BS326" s="451">
        <v>0</v>
      </c>
      <c r="BT326" s="451">
        <v>0</v>
      </c>
      <c r="BU326" s="451">
        <v>331742</v>
      </c>
      <c r="BV326" s="451">
        <v>325107</v>
      </c>
      <c r="BW326" s="451">
        <v>0</v>
      </c>
      <c r="BX326" s="451">
        <v>6635</v>
      </c>
      <c r="BY326" s="451">
        <v>663484</v>
      </c>
      <c r="BZ326" s="451">
        <v>331742</v>
      </c>
      <c r="CA326" s="451">
        <v>325107</v>
      </c>
      <c r="CB326" s="451">
        <v>0</v>
      </c>
      <c r="CC326" s="451">
        <v>6635</v>
      </c>
      <c r="CD326" s="451">
        <v>663484</v>
      </c>
      <c r="CE326" s="104"/>
      <c r="CF326" s="104"/>
      <c r="CG326" s="104"/>
    </row>
    <row r="327" spans="1:85" ht="12.75" x14ac:dyDescent="0.2">
      <c r="A327" s="446">
        <v>320</v>
      </c>
      <c r="B327" s="447" t="s">
        <v>523</v>
      </c>
      <c r="C327" s="448" t="s">
        <v>1093</v>
      </c>
      <c r="D327" s="449" t="s">
        <v>1103</v>
      </c>
      <c r="E327" s="450" t="s">
        <v>522</v>
      </c>
      <c r="F327" s="451">
        <v>18698972</v>
      </c>
      <c r="G327" s="451">
        <v>14959178</v>
      </c>
      <c r="H327" s="451">
        <v>3365815</v>
      </c>
      <c r="I327" s="451">
        <v>373979</v>
      </c>
      <c r="J327" s="451">
        <v>37397944</v>
      </c>
      <c r="K327" s="451">
        <v>0</v>
      </c>
      <c r="L327" s="451">
        <v>0</v>
      </c>
      <c r="M327" s="451">
        <v>18698972</v>
      </c>
      <c r="N327" s="451">
        <v>37397944</v>
      </c>
      <c r="O327" s="451">
        <v>140483</v>
      </c>
      <c r="P327" s="451">
        <v>140483</v>
      </c>
      <c r="Q327" s="451">
        <v>0</v>
      </c>
      <c r="R327" s="451">
        <v>0</v>
      </c>
      <c r="S327" s="451">
        <v>0</v>
      </c>
      <c r="T327" s="451">
        <v>0</v>
      </c>
      <c r="U327" s="451">
        <v>0</v>
      </c>
      <c r="V327" s="451">
        <v>0</v>
      </c>
      <c r="W327" s="451">
        <v>0</v>
      </c>
      <c r="X327" s="451">
        <v>0</v>
      </c>
      <c r="Y327" s="451">
        <v>0</v>
      </c>
      <c r="Z327" s="451">
        <v>0</v>
      </c>
      <c r="AA327" s="451">
        <v>0</v>
      </c>
      <c r="AB327" s="451">
        <v>616964</v>
      </c>
      <c r="AC327" s="451">
        <v>493572</v>
      </c>
      <c r="AD327" s="451">
        <v>111054</v>
      </c>
      <c r="AE327" s="451">
        <v>12339</v>
      </c>
      <c r="AF327" s="451">
        <v>1233929</v>
      </c>
      <c r="AG327" s="451">
        <v>316283</v>
      </c>
      <c r="AH327" s="451">
        <v>253027</v>
      </c>
      <c r="AI327" s="451">
        <v>56931</v>
      </c>
      <c r="AJ327" s="451">
        <v>6326</v>
      </c>
      <c r="AK327" s="451">
        <v>632567</v>
      </c>
      <c r="AL327" s="451">
        <v>147384</v>
      </c>
      <c r="AM327" s="451">
        <v>117907</v>
      </c>
      <c r="AN327" s="451">
        <v>26529</v>
      </c>
      <c r="AO327" s="451">
        <v>2948</v>
      </c>
      <c r="AP327" s="451">
        <v>294768</v>
      </c>
      <c r="AQ327" s="451">
        <v>0</v>
      </c>
      <c r="AR327" s="451">
        <v>0</v>
      </c>
      <c r="AS327" s="451">
        <v>0</v>
      </c>
      <c r="AT327" s="451">
        <v>0</v>
      </c>
      <c r="AU327" s="451">
        <v>0</v>
      </c>
      <c r="AV327" s="451">
        <v>147384</v>
      </c>
      <c r="AW327" s="451">
        <v>117907</v>
      </c>
      <c r="AX327" s="451">
        <v>26529</v>
      </c>
      <c r="AY327" s="451">
        <v>2948</v>
      </c>
      <c r="AZ327" s="451">
        <v>294768</v>
      </c>
      <c r="BA327" s="451">
        <v>0</v>
      </c>
      <c r="BB327" s="451">
        <v>0</v>
      </c>
      <c r="BC327" s="451">
        <v>0</v>
      </c>
      <c r="BD327" s="451">
        <v>0</v>
      </c>
      <c r="BE327" s="451">
        <v>0</v>
      </c>
      <c r="BF327" s="451">
        <v>271963</v>
      </c>
      <c r="BG327" s="451">
        <v>217570</v>
      </c>
      <c r="BH327" s="451">
        <v>48953</v>
      </c>
      <c r="BI327" s="451">
        <v>5439</v>
      </c>
      <c r="BJ327" s="451">
        <v>543925</v>
      </c>
      <c r="BK327" s="451">
        <v>271963</v>
      </c>
      <c r="BL327" s="451">
        <v>217570</v>
      </c>
      <c r="BM327" s="451">
        <v>48953</v>
      </c>
      <c r="BN327" s="451">
        <v>5439</v>
      </c>
      <c r="BO327" s="451">
        <v>543925</v>
      </c>
      <c r="BP327" s="451">
        <v>0</v>
      </c>
      <c r="BQ327" s="451">
        <v>0</v>
      </c>
      <c r="BR327" s="451">
        <v>0</v>
      </c>
      <c r="BS327" s="451">
        <v>0</v>
      </c>
      <c r="BT327" s="451">
        <v>0</v>
      </c>
      <c r="BU327" s="451">
        <v>792248</v>
      </c>
      <c r="BV327" s="451">
        <v>633799</v>
      </c>
      <c r="BW327" s="451">
        <v>142605</v>
      </c>
      <c r="BX327" s="451">
        <v>15845</v>
      </c>
      <c r="BY327" s="451">
        <v>1584497</v>
      </c>
      <c r="BZ327" s="451">
        <v>792248</v>
      </c>
      <c r="CA327" s="451">
        <v>633799</v>
      </c>
      <c r="CB327" s="451">
        <v>142605</v>
      </c>
      <c r="CC327" s="451">
        <v>15845</v>
      </c>
      <c r="CD327" s="451">
        <v>1584497</v>
      </c>
      <c r="CE327" s="104"/>
      <c r="CF327" s="104"/>
      <c r="CG327" s="104"/>
    </row>
    <row r="328" spans="1:85" ht="12.75" x14ac:dyDescent="0.2">
      <c r="A328" s="446">
        <v>321</v>
      </c>
      <c r="B328" s="447" t="s">
        <v>525</v>
      </c>
      <c r="C328" s="448" t="s">
        <v>1093</v>
      </c>
      <c r="D328" s="449" t="s">
        <v>1094</v>
      </c>
      <c r="E328" s="450" t="s">
        <v>524</v>
      </c>
      <c r="F328" s="451">
        <v>14724783</v>
      </c>
      <c r="G328" s="451">
        <v>11779826</v>
      </c>
      <c r="H328" s="451">
        <v>2944957</v>
      </c>
      <c r="I328" s="451">
        <v>0</v>
      </c>
      <c r="J328" s="451">
        <v>29449566</v>
      </c>
      <c r="K328" s="451">
        <v>0</v>
      </c>
      <c r="L328" s="451">
        <v>0</v>
      </c>
      <c r="M328" s="451">
        <v>14724783</v>
      </c>
      <c r="N328" s="451">
        <v>29449566</v>
      </c>
      <c r="O328" s="451">
        <v>133297</v>
      </c>
      <c r="P328" s="451">
        <v>133297</v>
      </c>
      <c r="Q328" s="451">
        <v>0</v>
      </c>
      <c r="R328" s="451">
        <v>0</v>
      </c>
      <c r="S328" s="451">
        <v>0</v>
      </c>
      <c r="T328" s="451">
        <v>0</v>
      </c>
      <c r="U328" s="451">
        <v>0</v>
      </c>
      <c r="V328" s="451">
        <v>0</v>
      </c>
      <c r="W328" s="451">
        <v>0</v>
      </c>
      <c r="X328" s="451">
        <v>0</v>
      </c>
      <c r="Y328" s="451">
        <v>0</v>
      </c>
      <c r="Z328" s="451">
        <v>0</v>
      </c>
      <c r="AA328" s="451">
        <v>0</v>
      </c>
      <c r="AB328" s="451">
        <v>777797</v>
      </c>
      <c r="AC328" s="451">
        <v>622237</v>
      </c>
      <c r="AD328" s="451">
        <v>155559</v>
      </c>
      <c r="AE328" s="451">
        <v>0</v>
      </c>
      <c r="AF328" s="451">
        <v>1555593</v>
      </c>
      <c r="AG328" s="451">
        <v>-61766</v>
      </c>
      <c r="AH328" s="451">
        <v>-49412</v>
      </c>
      <c r="AI328" s="451">
        <v>-12353</v>
      </c>
      <c r="AJ328" s="451">
        <v>0</v>
      </c>
      <c r="AK328" s="451">
        <v>-123531</v>
      </c>
      <c r="AL328" s="451">
        <v>414526</v>
      </c>
      <c r="AM328" s="451">
        <v>331620</v>
      </c>
      <c r="AN328" s="451">
        <v>82905</v>
      </c>
      <c r="AO328" s="451">
        <v>0</v>
      </c>
      <c r="AP328" s="451">
        <v>829051</v>
      </c>
      <c r="AQ328" s="451">
        <v>-14486</v>
      </c>
      <c r="AR328" s="451">
        <v>-11588</v>
      </c>
      <c r="AS328" s="451">
        <v>-2897</v>
      </c>
      <c r="AT328" s="451">
        <v>0</v>
      </c>
      <c r="AU328" s="451">
        <v>-28971</v>
      </c>
      <c r="AV328" s="451">
        <v>400040</v>
      </c>
      <c r="AW328" s="451">
        <v>320032</v>
      </c>
      <c r="AX328" s="451">
        <v>80008</v>
      </c>
      <c r="AY328" s="451">
        <v>0</v>
      </c>
      <c r="AZ328" s="451">
        <v>800080</v>
      </c>
      <c r="BA328" s="451">
        <v>0</v>
      </c>
      <c r="BB328" s="451">
        <v>0</v>
      </c>
      <c r="BC328" s="451">
        <v>0</v>
      </c>
      <c r="BD328" s="451">
        <v>0</v>
      </c>
      <c r="BE328" s="451">
        <v>0</v>
      </c>
      <c r="BF328" s="451">
        <v>279009</v>
      </c>
      <c r="BG328" s="451">
        <v>223208</v>
      </c>
      <c r="BH328" s="451">
        <v>55802</v>
      </c>
      <c r="BI328" s="451">
        <v>0</v>
      </c>
      <c r="BJ328" s="451">
        <v>558019</v>
      </c>
      <c r="BK328" s="451">
        <v>279009</v>
      </c>
      <c r="BL328" s="451">
        <v>223208</v>
      </c>
      <c r="BM328" s="451">
        <v>55802</v>
      </c>
      <c r="BN328" s="451">
        <v>0</v>
      </c>
      <c r="BO328" s="451">
        <v>558019</v>
      </c>
      <c r="BP328" s="451">
        <v>0</v>
      </c>
      <c r="BQ328" s="451">
        <v>0</v>
      </c>
      <c r="BR328" s="451">
        <v>0</v>
      </c>
      <c r="BS328" s="451">
        <v>0</v>
      </c>
      <c r="BT328" s="451">
        <v>0</v>
      </c>
      <c r="BU328" s="451">
        <v>546380</v>
      </c>
      <c r="BV328" s="451">
        <v>437104</v>
      </c>
      <c r="BW328" s="451">
        <v>109276</v>
      </c>
      <c r="BX328" s="451">
        <v>0</v>
      </c>
      <c r="BY328" s="451">
        <v>1092760</v>
      </c>
      <c r="BZ328" s="451">
        <v>546380</v>
      </c>
      <c r="CA328" s="451">
        <v>437104</v>
      </c>
      <c r="CB328" s="451">
        <v>109276</v>
      </c>
      <c r="CC328" s="451">
        <v>0</v>
      </c>
      <c r="CD328" s="451">
        <v>1092760</v>
      </c>
      <c r="CE328" s="104"/>
      <c r="CF328" s="104"/>
      <c r="CG328" s="104"/>
    </row>
    <row r="329" spans="1:85" ht="12.75" x14ac:dyDescent="0.2">
      <c r="A329" s="446">
        <v>322</v>
      </c>
      <c r="B329" s="447" t="s">
        <v>527</v>
      </c>
      <c r="C329" s="448" t="s">
        <v>1093</v>
      </c>
      <c r="D329" s="449" t="s">
        <v>1103</v>
      </c>
      <c r="E329" s="450" t="s">
        <v>526</v>
      </c>
      <c r="F329" s="451">
        <v>18407681</v>
      </c>
      <c r="G329" s="451">
        <v>14726146</v>
      </c>
      <c r="H329" s="451">
        <v>3313383</v>
      </c>
      <c r="I329" s="451">
        <v>368154</v>
      </c>
      <c r="J329" s="451">
        <v>36815364</v>
      </c>
      <c r="K329" s="451">
        <v>0</v>
      </c>
      <c r="L329" s="451">
        <v>0</v>
      </c>
      <c r="M329" s="451">
        <v>18407681</v>
      </c>
      <c r="N329" s="451">
        <v>36815364</v>
      </c>
      <c r="O329" s="451">
        <v>188368</v>
      </c>
      <c r="P329" s="451">
        <v>188368</v>
      </c>
      <c r="Q329" s="451">
        <v>0</v>
      </c>
      <c r="R329" s="451">
        <v>0</v>
      </c>
      <c r="S329" s="451">
        <v>0</v>
      </c>
      <c r="T329" s="451">
        <v>0</v>
      </c>
      <c r="U329" s="451">
        <v>0</v>
      </c>
      <c r="V329" s="451">
        <v>0</v>
      </c>
      <c r="W329" s="451">
        <v>0</v>
      </c>
      <c r="X329" s="451">
        <v>0</v>
      </c>
      <c r="Y329" s="451">
        <v>0</v>
      </c>
      <c r="Z329" s="451">
        <v>0</v>
      </c>
      <c r="AA329" s="451">
        <v>0</v>
      </c>
      <c r="AB329" s="451">
        <v>214302</v>
      </c>
      <c r="AC329" s="451">
        <v>171442</v>
      </c>
      <c r="AD329" s="451">
        <v>38574</v>
      </c>
      <c r="AE329" s="451">
        <v>4286</v>
      </c>
      <c r="AF329" s="451">
        <v>428604</v>
      </c>
      <c r="AG329" s="451">
        <v>238436</v>
      </c>
      <c r="AH329" s="451">
        <v>190749</v>
      </c>
      <c r="AI329" s="451">
        <v>42919</v>
      </c>
      <c r="AJ329" s="451">
        <v>4769</v>
      </c>
      <c r="AK329" s="451">
        <v>476873</v>
      </c>
      <c r="AL329" s="451">
        <v>97500</v>
      </c>
      <c r="AM329" s="451">
        <v>78000</v>
      </c>
      <c r="AN329" s="451">
        <v>17550</v>
      </c>
      <c r="AO329" s="451">
        <v>1950</v>
      </c>
      <c r="AP329" s="451">
        <v>195000</v>
      </c>
      <c r="AQ329" s="451">
        <v>0</v>
      </c>
      <c r="AR329" s="451">
        <v>0</v>
      </c>
      <c r="AS329" s="451">
        <v>0</v>
      </c>
      <c r="AT329" s="451">
        <v>0</v>
      </c>
      <c r="AU329" s="451">
        <v>0</v>
      </c>
      <c r="AV329" s="451">
        <v>97500</v>
      </c>
      <c r="AW329" s="451">
        <v>78000</v>
      </c>
      <c r="AX329" s="451">
        <v>17550</v>
      </c>
      <c r="AY329" s="451">
        <v>1950</v>
      </c>
      <c r="AZ329" s="451">
        <v>195000</v>
      </c>
      <c r="BA329" s="451">
        <v>0</v>
      </c>
      <c r="BB329" s="451">
        <v>0</v>
      </c>
      <c r="BC329" s="451">
        <v>0</v>
      </c>
      <c r="BD329" s="451">
        <v>0</v>
      </c>
      <c r="BE329" s="451">
        <v>0</v>
      </c>
      <c r="BF329" s="451">
        <v>183014</v>
      </c>
      <c r="BG329" s="451">
        <v>146411</v>
      </c>
      <c r="BH329" s="451">
        <v>32942</v>
      </c>
      <c r="BI329" s="451">
        <v>3660</v>
      </c>
      <c r="BJ329" s="451">
        <v>366027</v>
      </c>
      <c r="BK329" s="451">
        <v>183014</v>
      </c>
      <c r="BL329" s="451">
        <v>146411</v>
      </c>
      <c r="BM329" s="451">
        <v>32942</v>
      </c>
      <c r="BN329" s="451">
        <v>3660</v>
      </c>
      <c r="BO329" s="451">
        <v>366027</v>
      </c>
      <c r="BP329" s="451">
        <v>0</v>
      </c>
      <c r="BQ329" s="451">
        <v>0</v>
      </c>
      <c r="BR329" s="451">
        <v>0</v>
      </c>
      <c r="BS329" s="451">
        <v>0</v>
      </c>
      <c r="BT329" s="451">
        <v>0</v>
      </c>
      <c r="BU329" s="451">
        <v>589447</v>
      </c>
      <c r="BV329" s="451">
        <v>471557</v>
      </c>
      <c r="BW329" s="451">
        <v>106100</v>
      </c>
      <c r="BX329" s="451">
        <v>11789</v>
      </c>
      <c r="BY329" s="451">
        <v>1178893</v>
      </c>
      <c r="BZ329" s="451">
        <v>589447</v>
      </c>
      <c r="CA329" s="451">
        <v>471557</v>
      </c>
      <c r="CB329" s="451">
        <v>106100</v>
      </c>
      <c r="CC329" s="451">
        <v>11789</v>
      </c>
      <c r="CD329" s="451">
        <v>1178893</v>
      </c>
      <c r="CE329" s="104"/>
      <c r="CF329" s="104"/>
      <c r="CG329" s="104"/>
    </row>
    <row r="330" spans="1:85" ht="12.75" x14ac:dyDescent="0.2">
      <c r="A330" s="446">
        <v>323</v>
      </c>
      <c r="B330" s="447" t="s">
        <v>529</v>
      </c>
      <c r="C330" s="448" t="s">
        <v>1093</v>
      </c>
      <c r="D330" s="449" t="s">
        <v>1094</v>
      </c>
      <c r="E330" s="450" t="s">
        <v>528</v>
      </c>
      <c r="F330" s="451">
        <v>31352421</v>
      </c>
      <c r="G330" s="451">
        <v>25081936</v>
      </c>
      <c r="H330" s="451">
        <v>5643436</v>
      </c>
      <c r="I330" s="451">
        <v>627048</v>
      </c>
      <c r="J330" s="451">
        <v>62704841</v>
      </c>
      <c r="K330" s="451">
        <v>0</v>
      </c>
      <c r="L330" s="451">
        <v>0</v>
      </c>
      <c r="M330" s="451">
        <v>31352421</v>
      </c>
      <c r="N330" s="451">
        <v>62704841</v>
      </c>
      <c r="O330" s="451">
        <v>248843</v>
      </c>
      <c r="P330" s="451">
        <v>248843</v>
      </c>
      <c r="Q330" s="451">
        <v>0</v>
      </c>
      <c r="R330" s="451">
        <v>0</v>
      </c>
      <c r="S330" s="451">
        <v>0</v>
      </c>
      <c r="T330" s="451">
        <v>0</v>
      </c>
      <c r="U330" s="451">
        <v>0</v>
      </c>
      <c r="V330" s="451">
        <v>0</v>
      </c>
      <c r="W330" s="451">
        <v>0</v>
      </c>
      <c r="X330" s="451">
        <v>0</v>
      </c>
      <c r="Y330" s="451">
        <v>0</v>
      </c>
      <c r="Z330" s="451">
        <v>0</v>
      </c>
      <c r="AA330" s="451">
        <v>0</v>
      </c>
      <c r="AB330" s="451">
        <v>1561197</v>
      </c>
      <c r="AC330" s="451">
        <v>1248958</v>
      </c>
      <c r="AD330" s="451">
        <v>281015</v>
      </c>
      <c r="AE330" s="451">
        <v>31224</v>
      </c>
      <c r="AF330" s="451">
        <v>3122394</v>
      </c>
      <c r="AG330" s="451">
        <v>717769.53</v>
      </c>
      <c r="AH330" s="451">
        <v>574215</v>
      </c>
      <c r="AI330" s="451">
        <v>129198</v>
      </c>
      <c r="AJ330" s="451">
        <v>14355</v>
      </c>
      <c r="AK330" s="451">
        <v>1435537.53</v>
      </c>
      <c r="AL330" s="451">
        <v>948631</v>
      </c>
      <c r="AM330" s="451">
        <v>758904</v>
      </c>
      <c r="AN330" s="451">
        <v>170753</v>
      </c>
      <c r="AO330" s="451">
        <v>18973</v>
      </c>
      <c r="AP330" s="451">
        <v>1897261</v>
      </c>
      <c r="AQ330" s="451">
        <v>105000</v>
      </c>
      <c r="AR330" s="451">
        <v>84000</v>
      </c>
      <c r="AS330" s="451">
        <v>18900</v>
      </c>
      <c r="AT330" s="451">
        <v>2100</v>
      </c>
      <c r="AU330" s="451">
        <v>210000</v>
      </c>
      <c r="AV330" s="451">
        <v>1053631</v>
      </c>
      <c r="AW330" s="451">
        <v>842904</v>
      </c>
      <c r="AX330" s="451">
        <v>189653</v>
      </c>
      <c r="AY330" s="451">
        <v>21073</v>
      </c>
      <c r="AZ330" s="451">
        <v>2107261</v>
      </c>
      <c r="BA330" s="451">
        <v>0</v>
      </c>
      <c r="BB330" s="451">
        <v>0</v>
      </c>
      <c r="BC330" s="451">
        <v>0</v>
      </c>
      <c r="BD330" s="451">
        <v>0</v>
      </c>
      <c r="BE330" s="451">
        <v>0</v>
      </c>
      <c r="BF330" s="451">
        <v>2559540</v>
      </c>
      <c r="BG330" s="451">
        <v>2047632</v>
      </c>
      <c r="BH330" s="451">
        <v>460717</v>
      </c>
      <c r="BI330" s="451">
        <v>51191</v>
      </c>
      <c r="BJ330" s="451">
        <v>5119080</v>
      </c>
      <c r="BK330" s="451">
        <v>2559540</v>
      </c>
      <c r="BL330" s="451">
        <v>2047632</v>
      </c>
      <c r="BM330" s="451">
        <v>460717</v>
      </c>
      <c r="BN330" s="451">
        <v>51191</v>
      </c>
      <c r="BO330" s="451">
        <v>5119080</v>
      </c>
      <c r="BP330" s="451">
        <v>0</v>
      </c>
      <c r="BQ330" s="451">
        <v>0</v>
      </c>
      <c r="BR330" s="451">
        <v>0</v>
      </c>
      <c r="BS330" s="451">
        <v>0</v>
      </c>
      <c r="BT330" s="451">
        <v>0</v>
      </c>
      <c r="BU330" s="451">
        <v>0</v>
      </c>
      <c r="BV330" s="451">
        <v>0</v>
      </c>
      <c r="BW330" s="451">
        <v>0</v>
      </c>
      <c r="BX330" s="451">
        <v>0</v>
      </c>
      <c r="BY330" s="451">
        <v>0</v>
      </c>
      <c r="BZ330" s="451">
        <v>0</v>
      </c>
      <c r="CA330" s="451">
        <v>0</v>
      </c>
      <c r="CB330" s="451">
        <v>0</v>
      </c>
      <c r="CC330" s="451">
        <v>0</v>
      </c>
      <c r="CD330" s="451">
        <v>0</v>
      </c>
      <c r="CE330" s="104"/>
      <c r="CF330" s="104"/>
      <c r="CG330" s="104"/>
    </row>
    <row r="331" spans="1:85" ht="12.75" x14ac:dyDescent="0.2">
      <c r="A331" s="446">
        <v>324</v>
      </c>
      <c r="B331" s="447" t="s">
        <v>531</v>
      </c>
      <c r="C331" s="448" t="s">
        <v>1093</v>
      </c>
      <c r="D331" s="449" t="s">
        <v>1095</v>
      </c>
      <c r="E331" s="450" t="s">
        <v>530</v>
      </c>
      <c r="F331" s="451">
        <v>12656714</v>
      </c>
      <c r="G331" s="451">
        <v>10125371</v>
      </c>
      <c r="H331" s="451">
        <v>2278209</v>
      </c>
      <c r="I331" s="451">
        <v>253134</v>
      </c>
      <c r="J331" s="451">
        <v>25313428</v>
      </c>
      <c r="K331" s="451">
        <v>0</v>
      </c>
      <c r="L331" s="451">
        <v>0</v>
      </c>
      <c r="M331" s="451">
        <v>12656714</v>
      </c>
      <c r="N331" s="451">
        <v>25313428</v>
      </c>
      <c r="O331" s="451">
        <v>154556</v>
      </c>
      <c r="P331" s="451">
        <v>154556</v>
      </c>
      <c r="Q331" s="451">
        <v>0</v>
      </c>
      <c r="R331" s="451">
        <v>0</v>
      </c>
      <c r="S331" s="451">
        <v>0</v>
      </c>
      <c r="T331" s="451">
        <v>0</v>
      </c>
      <c r="U331" s="451">
        <v>0</v>
      </c>
      <c r="V331" s="451">
        <v>0</v>
      </c>
      <c r="W331" s="451">
        <v>0</v>
      </c>
      <c r="X331" s="451">
        <v>0</v>
      </c>
      <c r="Y331" s="451">
        <v>0</v>
      </c>
      <c r="Z331" s="451">
        <v>0</v>
      </c>
      <c r="AA331" s="451">
        <v>0</v>
      </c>
      <c r="AB331" s="451">
        <v>474068</v>
      </c>
      <c r="AC331" s="451">
        <v>379254</v>
      </c>
      <c r="AD331" s="451">
        <v>85332</v>
      </c>
      <c r="AE331" s="451">
        <v>9481</v>
      </c>
      <c r="AF331" s="451">
        <v>948135</v>
      </c>
      <c r="AG331" s="451">
        <v>231076</v>
      </c>
      <c r="AH331" s="451">
        <v>184861</v>
      </c>
      <c r="AI331" s="451">
        <v>41594</v>
      </c>
      <c r="AJ331" s="451">
        <v>4622</v>
      </c>
      <c r="AK331" s="451">
        <v>462153</v>
      </c>
      <c r="AL331" s="451">
        <v>116537.95</v>
      </c>
      <c r="AM331" s="451">
        <v>93230</v>
      </c>
      <c r="AN331" s="451">
        <v>20977</v>
      </c>
      <c r="AO331" s="451">
        <v>2331</v>
      </c>
      <c r="AP331" s="451">
        <v>233075.95</v>
      </c>
      <c r="AQ331" s="451">
        <v>75070.899999999994</v>
      </c>
      <c r="AR331" s="451">
        <v>60057</v>
      </c>
      <c r="AS331" s="451">
        <v>13513</v>
      </c>
      <c r="AT331" s="451">
        <v>1501</v>
      </c>
      <c r="AU331" s="451">
        <v>150141.9</v>
      </c>
      <c r="AV331" s="451">
        <v>191608.85</v>
      </c>
      <c r="AW331" s="451">
        <v>153287</v>
      </c>
      <c r="AX331" s="451">
        <v>34490</v>
      </c>
      <c r="AY331" s="451">
        <v>3832</v>
      </c>
      <c r="AZ331" s="451">
        <v>383217.85</v>
      </c>
      <c r="BA331" s="451">
        <v>0</v>
      </c>
      <c r="BB331" s="451">
        <v>0</v>
      </c>
      <c r="BC331" s="451">
        <v>0</v>
      </c>
      <c r="BD331" s="451">
        <v>0</v>
      </c>
      <c r="BE331" s="451">
        <v>0</v>
      </c>
      <c r="BF331" s="451">
        <v>154507.51</v>
      </c>
      <c r="BG331" s="451">
        <v>123606</v>
      </c>
      <c r="BH331" s="451">
        <v>27811</v>
      </c>
      <c r="BI331" s="451">
        <v>3090</v>
      </c>
      <c r="BJ331" s="451">
        <v>309014.51</v>
      </c>
      <c r="BK331" s="451">
        <v>154507.51</v>
      </c>
      <c r="BL331" s="451">
        <v>123606</v>
      </c>
      <c r="BM331" s="451">
        <v>27811</v>
      </c>
      <c r="BN331" s="451">
        <v>3090</v>
      </c>
      <c r="BO331" s="451">
        <v>309014.51</v>
      </c>
      <c r="BP331" s="451">
        <v>0</v>
      </c>
      <c r="BQ331" s="451">
        <v>0</v>
      </c>
      <c r="BR331" s="451">
        <v>0</v>
      </c>
      <c r="BS331" s="451">
        <v>0</v>
      </c>
      <c r="BT331" s="451">
        <v>0</v>
      </c>
      <c r="BU331" s="451">
        <v>404536.17</v>
      </c>
      <c r="BV331" s="451">
        <v>323629</v>
      </c>
      <c r="BW331" s="451">
        <v>72817</v>
      </c>
      <c r="BX331" s="451">
        <v>8091</v>
      </c>
      <c r="BY331" s="451">
        <v>809073.17</v>
      </c>
      <c r="BZ331" s="451">
        <v>404536.17</v>
      </c>
      <c r="CA331" s="451">
        <v>323629</v>
      </c>
      <c r="CB331" s="451">
        <v>72817</v>
      </c>
      <c r="CC331" s="451">
        <v>8091</v>
      </c>
      <c r="CD331" s="451">
        <v>809073.17</v>
      </c>
      <c r="CE331" s="104"/>
      <c r="CF331" s="104"/>
      <c r="CG331" s="104"/>
    </row>
    <row r="332" spans="1:85" ht="12.75" x14ac:dyDescent="0.2">
      <c r="A332" s="446">
        <v>325</v>
      </c>
      <c r="B332" s="447" t="s">
        <v>533</v>
      </c>
      <c r="C332" s="448" t="s">
        <v>1093</v>
      </c>
      <c r="D332" s="449" t="s">
        <v>1103</v>
      </c>
      <c r="E332" s="450" t="s">
        <v>532</v>
      </c>
      <c r="F332" s="451">
        <v>13108825</v>
      </c>
      <c r="G332" s="451">
        <v>10487059</v>
      </c>
      <c r="H332" s="451">
        <v>2359588</v>
      </c>
      <c r="I332" s="451">
        <v>262176</v>
      </c>
      <c r="J332" s="451">
        <v>26217648</v>
      </c>
      <c r="K332" s="451">
        <v>0</v>
      </c>
      <c r="L332" s="451">
        <v>0</v>
      </c>
      <c r="M332" s="451">
        <v>13108825</v>
      </c>
      <c r="N332" s="451">
        <v>26217648</v>
      </c>
      <c r="O332" s="451">
        <v>137574</v>
      </c>
      <c r="P332" s="451">
        <v>137574</v>
      </c>
      <c r="Q332" s="451">
        <v>0</v>
      </c>
      <c r="R332" s="451">
        <v>0</v>
      </c>
      <c r="S332" s="451">
        <v>0</v>
      </c>
      <c r="T332" s="451">
        <v>0</v>
      </c>
      <c r="U332" s="451">
        <v>0</v>
      </c>
      <c r="V332" s="451">
        <v>0</v>
      </c>
      <c r="W332" s="451">
        <v>0</v>
      </c>
      <c r="X332" s="451">
        <v>0</v>
      </c>
      <c r="Y332" s="451">
        <v>0</v>
      </c>
      <c r="Z332" s="451">
        <v>0</v>
      </c>
      <c r="AA332" s="451">
        <v>0</v>
      </c>
      <c r="AB332" s="451">
        <v>1132349</v>
      </c>
      <c r="AC332" s="451">
        <v>905880</v>
      </c>
      <c r="AD332" s="451">
        <v>203823</v>
      </c>
      <c r="AE332" s="451">
        <v>22647</v>
      </c>
      <c r="AF332" s="451">
        <v>2264699</v>
      </c>
      <c r="AG332" s="451">
        <v>95237</v>
      </c>
      <c r="AH332" s="451">
        <v>76190</v>
      </c>
      <c r="AI332" s="451">
        <v>17143</v>
      </c>
      <c r="AJ332" s="451">
        <v>1905</v>
      </c>
      <c r="AK332" s="451">
        <v>190475</v>
      </c>
      <c r="AL332" s="451">
        <v>634976</v>
      </c>
      <c r="AM332" s="451">
        <v>507982</v>
      </c>
      <c r="AN332" s="451">
        <v>114296</v>
      </c>
      <c r="AO332" s="451">
        <v>12700</v>
      </c>
      <c r="AP332" s="451">
        <v>1269954</v>
      </c>
      <c r="AQ332" s="451">
        <v>0</v>
      </c>
      <c r="AR332" s="451">
        <v>0</v>
      </c>
      <c r="AS332" s="451">
        <v>0</v>
      </c>
      <c r="AT332" s="451">
        <v>0</v>
      </c>
      <c r="AU332" s="451">
        <v>0</v>
      </c>
      <c r="AV332" s="451">
        <v>634976</v>
      </c>
      <c r="AW332" s="451">
        <v>507982</v>
      </c>
      <c r="AX332" s="451">
        <v>114296</v>
      </c>
      <c r="AY332" s="451">
        <v>12700</v>
      </c>
      <c r="AZ332" s="451">
        <v>1269954</v>
      </c>
      <c r="BA332" s="451">
        <v>0</v>
      </c>
      <c r="BB332" s="451">
        <v>0</v>
      </c>
      <c r="BC332" s="451">
        <v>0</v>
      </c>
      <c r="BD332" s="451">
        <v>0</v>
      </c>
      <c r="BE332" s="451">
        <v>0</v>
      </c>
      <c r="BF332" s="451">
        <v>161258</v>
      </c>
      <c r="BG332" s="451">
        <v>129006</v>
      </c>
      <c r="BH332" s="451">
        <v>29026</v>
      </c>
      <c r="BI332" s="451">
        <v>3225</v>
      </c>
      <c r="BJ332" s="451">
        <v>322515</v>
      </c>
      <c r="BK332" s="451">
        <v>161258</v>
      </c>
      <c r="BL332" s="451">
        <v>129006</v>
      </c>
      <c r="BM332" s="451">
        <v>29026</v>
      </c>
      <c r="BN332" s="451">
        <v>3225</v>
      </c>
      <c r="BO332" s="451">
        <v>322515</v>
      </c>
      <c r="BP332" s="451">
        <v>0</v>
      </c>
      <c r="BQ332" s="451">
        <v>0</v>
      </c>
      <c r="BR332" s="451">
        <v>0</v>
      </c>
      <c r="BS332" s="451">
        <v>0</v>
      </c>
      <c r="BT332" s="451">
        <v>0</v>
      </c>
      <c r="BU332" s="451">
        <v>451446</v>
      </c>
      <c r="BV332" s="451">
        <v>361157</v>
      </c>
      <c r="BW332" s="451">
        <v>81260</v>
      </c>
      <c r="BX332" s="451">
        <v>9029</v>
      </c>
      <c r="BY332" s="451">
        <v>902892</v>
      </c>
      <c r="BZ332" s="451">
        <v>451446</v>
      </c>
      <c r="CA332" s="451">
        <v>361157</v>
      </c>
      <c r="CB332" s="451">
        <v>81260</v>
      </c>
      <c r="CC332" s="451">
        <v>9029</v>
      </c>
      <c r="CD332" s="451">
        <v>902892</v>
      </c>
      <c r="CE332" s="104"/>
      <c r="CF332" s="104"/>
      <c r="CG332" s="104"/>
    </row>
    <row r="333" spans="1:85" ht="13.5" thickBot="1" x14ac:dyDescent="0.25">
      <c r="A333" s="446">
        <v>326</v>
      </c>
      <c r="B333" s="447" t="s">
        <v>535</v>
      </c>
      <c r="C333" s="448" t="s">
        <v>794</v>
      </c>
      <c r="D333" s="449" t="s">
        <v>1101</v>
      </c>
      <c r="E333" s="450" t="s">
        <v>759</v>
      </c>
      <c r="F333" s="451">
        <v>41437088</v>
      </c>
      <c r="G333" s="451">
        <v>40608347</v>
      </c>
      <c r="H333" s="451">
        <v>0</v>
      </c>
      <c r="I333" s="451">
        <v>828742</v>
      </c>
      <c r="J333" s="451">
        <v>82874177</v>
      </c>
      <c r="K333" s="451">
        <v>0</v>
      </c>
      <c r="L333" s="451">
        <v>0</v>
      </c>
      <c r="M333" s="451">
        <v>41437088</v>
      </c>
      <c r="N333" s="451">
        <v>82874177</v>
      </c>
      <c r="O333" s="451">
        <v>295938</v>
      </c>
      <c r="P333" s="451">
        <v>295938</v>
      </c>
      <c r="Q333" s="451">
        <v>0</v>
      </c>
      <c r="R333" s="451">
        <v>0</v>
      </c>
      <c r="S333" s="451">
        <v>0</v>
      </c>
      <c r="T333" s="451">
        <v>0</v>
      </c>
      <c r="U333" s="451">
        <v>0</v>
      </c>
      <c r="V333" s="451">
        <v>0</v>
      </c>
      <c r="W333" s="451">
        <v>0</v>
      </c>
      <c r="X333" s="451">
        <v>0</v>
      </c>
      <c r="Y333" s="451">
        <v>0</v>
      </c>
      <c r="Z333" s="451">
        <v>0</v>
      </c>
      <c r="AA333" s="451">
        <v>0</v>
      </c>
      <c r="AB333" s="451">
        <v>1881040.41</v>
      </c>
      <c r="AC333" s="451">
        <v>1843420</v>
      </c>
      <c r="AD333" s="451">
        <v>0</v>
      </c>
      <c r="AE333" s="451">
        <v>37621</v>
      </c>
      <c r="AF333" s="451">
        <v>3762081.41</v>
      </c>
      <c r="AG333" s="451">
        <v>615177.38</v>
      </c>
      <c r="AH333" s="451">
        <v>602875</v>
      </c>
      <c r="AI333" s="451">
        <v>0</v>
      </c>
      <c r="AJ333" s="451">
        <v>12304</v>
      </c>
      <c r="AK333" s="451">
        <v>1230356.3799999999</v>
      </c>
      <c r="AL333" s="451">
        <v>1232175.76</v>
      </c>
      <c r="AM333" s="451">
        <v>1207531</v>
      </c>
      <c r="AN333" s="451">
        <v>0</v>
      </c>
      <c r="AO333" s="451">
        <v>24643</v>
      </c>
      <c r="AP333" s="451">
        <v>2464349.7599999998</v>
      </c>
      <c r="AQ333" s="451">
        <v>-181907</v>
      </c>
      <c r="AR333" s="451">
        <v>-178268</v>
      </c>
      <c r="AS333" s="451">
        <v>0</v>
      </c>
      <c r="AT333" s="451">
        <v>-3638</v>
      </c>
      <c r="AU333" s="451">
        <v>-363813</v>
      </c>
      <c r="AV333" s="451">
        <v>1050268.76</v>
      </c>
      <c r="AW333" s="451">
        <v>1029263</v>
      </c>
      <c r="AX333" s="451">
        <v>0</v>
      </c>
      <c r="AY333" s="451">
        <v>21005</v>
      </c>
      <c r="AZ333" s="451">
        <v>2100536.7599999998</v>
      </c>
      <c r="BA333" s="451">
        <v>0</v>
      </c>
      <c r="BB333" s="451">
        <v>0</v>
      </c>
      <c r="BC333" s="451">
        <v>0</v>
      </c>
      <c r="BD333" s="451">
        <v>0</v>
      </c>
      <c r="BE333" s="451">
        <v>0</v>
      </c>
      <c r="BF333" s="451">
        <v>1636969</v>
      </c>
      <c r="BG333" s="451">
        <v>1604229</v>
      </c>
      <c r="BH333" s="451">
        <v>0</v>
      </c>
      <c r="BI333" s="451">
        <v>32739</v>
      </c>
      <c r="BJ333" s="451">
        <v>3273937</v>
      </c>
      <c r="BK333" s="451">
        <v>1636969</v>
      </c>
      <c r="BL333" s="451">
        <v>1604229</v>
      </c>
      <c r="BM333" s="451">
        <v>0</v>
      </c>
      <c r="BN333" s="451">
        <v>32739</v>
      </c>
      <c r="BO333" s="451">
        <v>3273937</v>
      </c>
      <c r="BP333" s="451">
        <v>0</v>
      </c>
      <c r="BQ333" s="451">
        <v>0</v>
      </c>
      <c r="BR333" s="451">
        <v>0</v>
      </c>
      <c r="BS333" s="451">
        <v>0</v>
      </c>
      <c r="BT333" s="451">
        <v>0</v>
      </c>
      <c r="BU333" s="451">
        <v>4454227</v>
      </c>
      <c r="BV333" s="451">
        <v>4365143</v>
      </c>
      <c r="BW333" s="451">
        <v>0</v>
      </c>
      <c r="BX333" s="451">
        <v>89085</v>
      </c>
      <c r="BY333" s="451">
        <v>8908455</v>
      </c>
      <c r="BZ333" s="451">
        <v>4454227</v>
      </c>
      <c r="CA333" s="451">
        <v>4365143</v>
      </c>
      <c r="CB333" s="451">
        <v>0</v>
      </c>
      <c r="CC333" s="451">
        <v>89085</v>
      </c>
      <c r="CD333" s="451">
        <v>8908455</v>
      </c>
      <c r="CE333" s="104"/>
      <c r="CF333" s="104"/>
      <c r="CG333" s="104"/>
    </row>
    <row r="334" spans="1:85" ht="15.75" thickBot="1" x14ac:dyDescent="0.25">
      <c r="A334">
        <v>327</v>
      </c>
      <c r="B334" s="98"/>
      <c r="D334" s="126" t="s">
        <v>1097</v>
      </c>
      <c r="E334" s="126" t="s">
        <v>706</v>
      </c>
      <c r="F334" s="102">
        <f>SUM(F8:F333)</f>
        <v>10276306933</v>
      </c>
      <c r="G334" s="102">
        <f t="shared" ref="G334:BR334" si="0">SUM(G8:G333)</f>
        <v>8327499408</v>
      </c>
      <c r="H334" s="102">
        <f t="shared" si="0"/>
        <v>1834546635</v>
      </c>
      <c r="I334" s="102">
        <f t="shared" si="0"/>
        <v>115379145</v>
      </c>
      <c r="J334" s="102">
        <f t="shared" si="0"/>
        <v>20552613853</v>
      </c>
      <c r="K334" s="102">
        <f t="shared" si="0"/>
        <v>6849309</v>
      </c>
      <c r="L334" s="102">
        <f t="shared" si="0"/>
        <v>6849309</v>
      </c>
      <c r="M334" s="102">
        <f t="shared" si="0"/>
        <v>10269457624</v>
      </c>
      <c r="N334" s="102">
        <f t="shared" si="0"/>
        <v>20545764544</v>
      </c>
      <c r="O334" s="102">
        <f t="shared" si="0"/>
        <v>84126680</v>
      </c>
      <c r="P334" s="102">
        <f t="shared" si="0"/>
        <v>84126680</v>
      </c>
      <c r="Q334" s="102">
        <f t="shared" si="0"/>
        <v>2727861</v>
      </c>
      <c r="R334" s="102">
        <f t="shared" si="0"/>
        <v>2727861</v>
      </c>
      <c r="S334" s="102">
        <f t="shared" si="0"/>
        <v>1132971</v>
      </c>
      <c r="T334" s="102">
        <f t="shared" si="0"/>
        <v>1132971</v>
      </c>
      <c r="U334" s="102">
        <f t="shared" si="0"/>
        <v>3595456</v>
      </c>
      <c r="V334" s="102">
        <f t="shared" si="0"/>
        <v>0</v>
      </c>
      <c r="W334" s="102">
        <f t="shared" si="0"/>
        <v>3595456</v>
      </c>
      <c r="X334" s="102">
        <f t="shared" si="0"/>
        <v>6672653</v>
      </c>
      <c r="Y334" s="102">
        <f t="shared" si="0"/>
        <v>156733</v>
      </c>
      <c r="Z334" s="102">
        <f t="shared" si="0"/>
        <v>19923</v>
      </c>
      <c r="AA334" s="102">
        <f t="shared" si="0"/>
        <v>6849309</v>
      </c>
      <c r="AB334" s="102">
        <f t="shared" si="0"/>
        <v>620348573.45000005</v>
      </c>
      <c r="AC334" s="102">
        <f t="shared" si="0"/>
        <v>519923197</v>
      </c>
      <c r="AD334" s="102">
        <f t="shared" si="0"/>
        <v>92604228</v>
      </c>
      <c r="AE334" s="102">
        <f t="shared" si="0"/>
        <v>7821168</v>
      </c>
      <c r="AF334" s="102">
        <f t="shared" si="0"/>
        <v>1240697166.2200003</v>
      </c>
      <c r="AG334" s="102">
        <f t="shared" si="0"/>
        <v>235455300.57000005</v>
      </c>
      <c r="AH334" s="102">
        <f t="shared" si="0"/>
        <v>185191252</v>
      </c>
      <c r="AI334" s="102">
        <f t="shared" si="0"/>
        <v>47948229</v>
      </c>
      <c r="AJ334" s="102">
        <f t="shared" si="0"/>
        <v>2315826</v>
      </c>
      <c r="AK334" s="102">
        <f t="shared" si="0"/>
        <v>470910607.76000023</v>
      </c>
      <c r="AL334" s="102">
        <f t="shared" si="0"/>
        <v>271252996.88999999</v>
      </c>
      <c r="AM334" s="102">
        <f t="shared" si="0"/>
        <v>221180370</v>
      </c>
      <c r="AN334" s="102">
        <f t="shared" si="0"/>
        <v>43692015</v>
      </c>
      <c r="AO334" s="102">
        <f t="shared" si="0"/>
        <v>3548777</v>
      </c>
      <c r="AP334" s="102">
        <f t="shared" si="0"/>
        <v>539674158.8599999</v>
      </c>
      <c r="AQ334" s="102">
        <f t="shared" si="0"/>
        <v>45020933.070000008</v>
      </c>
      <c r="AR334" s="102">
        <f t="shared" si="0"/>
        <v>37197612</v>
      </c>
      <c r="AS334" s="102">
        <f t="shared" si="0"/>
        <v>7244735</v>
      </c>
      <c r="AT334" s="102">
        <f t="shared" si="0"/>
        <v>516042</v>
      </c>
      <c r="AU334" s="102">
        <f t="shared" si="0"/>
        <v>89979322.14000003</v>
      </c>
      <c r="AV334" s="102">
        <f t="shared" si="0"/>
        <v>316273929.9199999</v>
      </c>
      <c r="AW334" s="102">
        <f t="shared" si="0"/>
        <v>258377982</v>
      </c>
      <c r="AX334" s="102">
        <f t="shared" si="0"/>
        <v>50936750</v>
      </c>
      <c r="AY334" s="102">
        <f t="shared" si="0"/>
        <v>4064819</v>
      </c>
      <c r="AZ334" s="102">
        <f t="shared" si="0"/>
        <v>629653480.92000043</v>
      </c>
      <c r="BA334" s="102">
        <f t="shared" si="0"/>
        <v>0</v>
      </c>
      <c r="BB334" s="102">
        <f t="shared" si="0"/>
        <v>0</v>
      </c>
      <c r="BC334" s="102">
        <f t="shared" si="0"/>
        <v>0</v>
      </c>
      <c r="BD334" s="102">
        <f t="shared" si="0"/>
        <v>0</v>
      </c>
      <c r="BE334" s="102">
        <f t="shared" si="0"/>
        <v>0</v>
      </c>
      <c r="BF334" s="102">
        <f>SUM(BF8:BF333)</f>
        <v>239316919.66</v>
      </c>
      <c r="BG334" s="102">
        <f t="shared" si="0"/>
        <v>195417867</v>
      </c>
      <c r="BH334" s="102">
        <f t="shared" si="0"/>
        <v>41109826</v>
      </c>
      <c r="BI334" s="102">
        <f t="shared" si="0"/>
        <v>2789211</v>
      </c>
      <c r="BJ334" s="102">
        <f t="shared" si="0"/>
        <v>478633823.65999991</v>
      </c>
      <c r="BK334" s="102">
        <f t="shared" si="0"/>
        <v>239316919.66</v>
      </c>
      <c r="BL334" s="102">
        <f t="shared" si="0"/>
        <v>195417867</v>
      </c>
      <c r="BM334" s="102">
        <f t="shared" si="0"/>
        <v>41109826</v>
      </c>
      <c r="BN334" s="102">
        <f t="shared" si="0"/>
        <v>2789211</v>
      </c>
      <c r="BO334" s="102">
        <f t="shared" si="0"/>
        <v>478633823.65999991</v>
      </c>
      <c r="BP334" s="102">
        <f t="shared" si="0"/>
        <v>0</v>
      </c>
      <c r="BQ334" s="102">
        <f t="shared" si="0"/>
        <v>0</v>
      </c>
      <c r="BR334" s="102">
        <f t="shared" si="0"/>
        <v>0</v>
      </c>
      <c r="BS334" s="102">
        <f t="shared" ref="BS334:CD334" si="1">SUM(BS8:BS333)</f>
        <v>0</v>
      </c>
      <c r="BT334" s="102">
        <f t="shared" si="1"/>
        <v>0</v>
      </c>
      <c r="BU334" s="102">
        <f t="shared" si="1"/>
        <v>633074077.97000003</v>
      </c>
      <c r="BV334" s="102">
        <f t="shared" si="1"/>
        <v>511325157</v>
      </c>
      <c r="BW334" s="102">
        <f t="shared" si="1"/>
        <v>114953821</v>
      </c>
      <c r="BX334" s="102">
        <f t="shared" si="1"/>
        <v>6795113</v>
      </c>
      <c r="BY334" s="102">
        <f t="shared" si="1"/>
        <v>1266148168.8900003</v>
      </c>
      <c r="BZ334" s="102">
        <f t="shared" si="1"/>
        <v>633074077.97000003</v>
      </c>
      <c r="CA334" s="102">
        <f t="shared" si="1"/>
        <v>511325157</v>
      </c>
      <c r="CB334" s="102">
        <f t="shared" si="1"/>
        <v>114953821</v>
      </c>
      <c r="CC334" s="102">
        <f t="shared" si="1"/>
        <v>6795113</v>
      </c>
      <c r="CD334" s="102">
        <f t="shared" si="1"/>
        <v>1266148168.8900003</v>
      </c>
      <c r="CE334" s="445" t="s">
        <v>1120</v>
      </c>
      <c r="CF334" s="104"/>
      <c r="CG334" s="104"/>
    </row>
    <row r="335" spans="1:85" x14ac:dyDescent="0.2">
      <c r="A335">
        <v>328</v>
      </c>
      <c r="D335" s="326" t="s">
        <v>1104</v>
      </c>
      <c r="E335" s="327" t="s">
        <v>1106</v>
      </c>
      <c r="F335" s="328">
        <f>SUMIF($C$8:$C$333,$D335,F$8:F$333)</f>
        <v>2054036181</v>
      </c>
      <c r="G335" s="328">
        <f t="shared" ref="G335:BR336" si="2">SUMIF($C$8:$C$333,$D335,G$8:G$333)</f>
        <v>1232421708</v>
      </c>
      <c r="H335" s="328">
        <f t="shared" si="2"/>
        <v>821614471</v>
      </c>
      <c r="I335" s="328">
        <f t="shared" si="2"/>
        <v>0</v>
      </c>
      <c r="J335" s="328">
        <f t="shared" si="2"/>
        <v>4108072360</v>
      </c>
      <c r="K335" s="328">
        <f t="shared" si="2"/>
        <v>0</v>
      </c>
      <c r="L335" s="328">
        <f t="shared" si="2"/>
        <v>0</v>
      </c>
      <c r="M335" s="328">
        <f t="shared" si="2"/>
        <v>2054036181</v>
      </c>
      <c r="N335" s="328">
        <f t="shared" si="2"/>
        <v>4108072360</v>
      </c>
      <c r="O335" s="328">
        <f t="shared" si="2"/>
        <v>11553579</v>
      </c>
      <c r="P335" s="328">
        <f t="shared" si="2"/>
        <v>11553579</v>
      </c>
      <c r="Q335" s="328">
        <f t="shared" si="2"/>
        <v>0</v>
      </c>
      <c r="R335" s="328">
        <f t="shared" si="2"/>
        <v>0</v>
      </c>
      <c r="S335" s="328">
        <f t="shared" si="2"/>
        <v>0</v>
      </c>
      <c r="T335" s="328">
        <f t="shared" si="2"/>
        <v>0</v>
      </c>
      <c r="U335" s="328">
        <f t="shared" si="2"/>
        <v>60284</v>
      </c>
      <c r="V335" s="328">
        <f t="shared" si="2"/>
        <v>0</v>
      </c>
      <c r="W335" s="328">
        <f t="shared" si="2"/>
        <v>60284</v>
      </c>
      <c r="X335" s="328">
        <f t="shared" si="2"/>
        <v>0</v>
      </c>
      <c r="Y335" s="328">
        <f t="shared" si="2"/>
        <v>0</v>
      </c>
      <c r="Z335" s="328">
        <f t="shared" si="2"/>
        <v>0</v>
      </c>
      <c r="AA335" s="328">
        <f t="shared" si="2"/>
        <v>0</v>
      </c>
      <c r="AB335" s="328">
        <f t="shared" si="2"/>
        <v>96125732.900000006</v>
      </c>
      <c r="AC335" s="328">
        <f t="shared" si="2"/>
        <v>57675441</v>
      </c>
      <c r="AD335" s="328">
        <f t="shared" si="2"/>
        <v>38450297</v>
      </c>
      <c r="AE335" s="328">
        <f t="shared" si="2"/>
        <v>0</v>
      </c>
      <c r="AF335" s="328">
        <f t="shared" si="2"/>
        <v>192251470.90000001</v>
      </c>
      <c r="AG335" s="328">
        <f t="shared" si="2"/>
        <v>58495170.899999999</v>
      </c>
      <c r="AH335" s="328">
        <f t="shared" si="2"/>
        <v>35097104</v>
      </c>
      <c r="AI335" s="328">
        <f t="shared" si="2"/>
        <v>23398069</v>
      </c>
      <c r="AJ335" s="328">
        <f t="shared" si="2"/>
        <v>0</v>
      </c>
      <c r="AK335" s="328">
        <f t="shared" si="2"/>
        <v>116990344</v>
      </c>
      <c r="AL335" s="328">
        <f t="shared" si="2"/>
        <v>46646058.899999999</v>
      </c>
      <c r="AM335" s="328">
        <f t="shared" si="2"/>
        <v>27987636</v>
      </c>
      <c r="AN335" s="328">
        <f t="shared" si="2"/>
        <v>18658423</v>
      </c>
      <c r="AO335" s="328">
        <f t="shared" si="2"/>
        <v>0</v>
      </c>
      <c r="AP335" s="328">
        <f t="shared" si="2"/>
        <v>93292117.870000005</v>
      </c>
      <c r="AQ335" s="328">
        <f t="shared" si="2"/>
        <v>7237661</v>
      </c>
      <c r="AR335" s="328">
        <f t="shared" si="2"/>
        <v>4342600</v>
      </c>
      <c r="AS335" s="328">
        <f t="shared" si="2"/>
        <v>2895065</v>
      </c>
      <c r="AT335" s="328">
        <f t="shared" si="2"/>
        <v>0</v>
      </c>
      <c r="AU335" s="328">
        <f t="shared" si="2"/>
        <v>14475326</v>
      </c>
      <c r="AV335" s="328">
        <f t="shared" si="2"/>
        <v>53883719.869999997</v>
      </c>
      <c r="AW335" s="328">
        <f t="shared" si="2"/>
        <v>32330236</v>
      </c>
      <c r="AX335" s="328">
        <f t="shared" si="2"/>
        <v>21553488</v>
      </c>
      <c r="AY335" s="328">
        <f t="shared" si="2"/>
        <v>0</v>
      </c>
      <c r="AZ335" s="328">
        <f t="shared" si="2"/>
        <v>107767443.87</v>
      </c>
      <c r="BA335" s="328">
        <f t="shared" si="2"/>
        <v>0</v>
      </c>
      <c r="BB335" s="328">
        <f t="shared" si="2"/>
        <v>0</v>
      </c>
      <c r="BC335" s="328">
        <f t="shared" si="2"/>
        <v>0</v>
      </c>
      <c r="BD335" s="328">
        <f t="shared" si="2"/>
        <v>0</v>
      </c>
      <c r="BE335" s="328">
        <f t="shared" si="2"/>
        <v>0</v>
      </c>
      <c r="BF335" s="328">
        <f t="shared" si="2"/>
        <v>57481963.439999998</v>
      </c>
      <c r="BG335" s="328">
        <f t="shared" si="2"/>
        <v>34489179</v>
      </c>
      <c r="BH335" s="328">
        <f t="shared" si="2"/>
        <v>22992784</v>
      </c>
      <c r="BI335" s="328">
        <f t="shared" si="2"/>
        <v>0</v>
      </c>
      <c r="BJ335" s="328">
        <f t="shared" si="2"/>
        <v>114963926.44</v>
      </c>
      <c r="BK335" s="328">
        <f t="shared" si="2"/>
        <v>57481963.439999998</v>
      </c>
      <c r="BL335" s="328">
        <f t="shared" si="2"/>
        <v>34489179</v>
      </c>
      <c r="BM335" s="328">
        <f t="shared" si="2"/>
        <v>22992784</v>
      </c>
      <c r="BN335" s="328">
        <f t="shared" si="2"/>
        <v>0</v>
      </c>
      <c r="BO335" s="328">
        <f t="shared" si="2"/>
        <v>114963926.44</v>
      </c>
      <c r="BP335" s="328">
        <f t="shared" si="2"/>
        <v>0</v>
      </c>
      <c r="BQ335" s="328">
        <f t="shared" si="2"/>
        <v>0</v>
      </c>
      <c r="BR335" s="328">
        <f t="shared" si="2"/>
        <v>0</v>
      </c>
      <c r="BS335" s="328">
        <f t="shared" ref="BS335:CD339" si="3">SUMIF($C$8:$C$333,$D335,BS$8:BS$333)</f>
        <v>0</v>
      </c>
      <c r="BT335" s="328">
        <f t="shared" si="3"/>
        <v>0</v>
      </c>
      <c r="BU335" s="328">
        <f t="shared" si="3"/>
        <v>171134465.25</v>
      </c>
      <c r="BV335" s="328">
        <f t="shared" si="3"/>
        <v>102680679</v>
      </c>
      <c r="BW335" s="328">
        <f t="shared" si="3"/>
        <v>68453784</v>
      </c>
      <c r="BX335" s="328">
        <f t="shared" si="3"/>
        <v>0</v>
      </c>
      <c r="BY335" s="328">
        <f t="shared" si="3"/>
        <v>342268928.25</v>
      </c>
      <c r="BZ335" s="328">
        <f t="shared" si="3"/>
        <v>171134465.25</v>
      </c>
      <c r="CA335" s="328">
        <f t="shared" si="3"/>
        <v>102680679</v>
      </c>
      <c r="CB335" s="328">
        <f t="shared" si="3"/>
        <v>68453784</v>
      </c>
      <c r="CC335" s="328">
        <f t="shared" si="3"/>
        <v>0</v>
      </c>
      <c r="CD335" s="328">
        <f t="shared" si="3"/>
        <v>342268928.25</v>
      </c>
      <c r="CE335" s="328"/>
      <c r="CF335" s="104"/>
      <c r="CG335" s="104"/>
    </row>
    <row r="336" spans="1:85" x14ac:dyDescent="0.2">
      <c r="A336">
        <v>329</v>
      </c>
      <c r="D336" s="326" t="s">
        <v>1098</v>
      </c>
      <c r="E336" s="327" t="s">
        <v>1107</v>
      </c>
      <c r="F336" s="328">
        <f t="shared" ref="F336:U339" si="4">SUMIF($C$8:$C$333,$D336,F$8:F$333)</f>
        <v>931451670</v>
      </c>
      <c r="G336" s="328">
        <f t="shared" si="4"/>
        <v>558871005</v>
      </c>
      <c r="H336" s="328">
        <f t="shared" si="4"/>
        <v>372580672</v>
      </c>
      <c r="I336" s="328">
        <f t="shared" si="4"/>
        <v>0</v>
      </c>
      <c r="J336" s="328">
        <f t="shared" si="4"/>
        <v>1862903347</v>
      </c>
      <c r="K336" s="328">
        <f t="shared" si="4"/>
        <v>101389</v>
      </c>
      <c r="L336" s="328">
        <f t="shared" si="4"/>
        <v>101389</v>
      </c>
      <c r="M336" s="328">
        <f t="shared" si="4"/>
        <v>931350281</v>
      </c>
      <c r="N336" s="328">
        <f t="shared" si="4"/>
        <v>1862801958</v>
      </c>
      <c r="O336" s="328">
        <f t="shared" si="4"/>
        <v>6844759</v>
      </c>
      <c r="P336" s="328">
        <f t="shared" si="4"/>
        <v>6844759</v>
      </c>
      <c r="Q336" s="328">
        <f t="shared" si="4"/>
        <v>173688</v>
      </c>
      <c r="R336" s="328">
        <f t="shared" si="4"/>
        <v>173688</v>
      </c>
      <c r="S336" s="328">
        <f t="shared" si="4"/>
        <v>0</v>
      </c>
      <c r="T336" s="328">
        <f t="shared" si="4"/>
        <v>0</v>
      </c>
      <c r="U336" s="328">
        <f t="shared" si="4"/>
        <v>0</v>
      </c>
      <c r="V336" s="328">
        <f t="shared" si="2"/>
        <v>0</v>
      </c>
      <c r="W336" s="328">
        <f t="shared" si="2"/>
        <v>0</v>
      </c>
      <c r="X336" s="328">
        <f t="shared" si="2"/>
        <v>101389</v>
      </c>
      <c r="Y336" s="328">
        <f t="shared" si="2"/>
        <v>0</v>
      </c>
      <c r="Z336" s="328">
        <f t="shared" si="2"/>
        <v>0</v>
      </c>
      <c r="AA336" s="328">
        <f t="shared" si="2"/>
        <v>101389</v>
      </c>
      <c r="AB336" s="328">
        <f t="shared" si="2"/>
        <v>72439664.189999998</v>
      </c>
      <c r="AC336" s="328">
        <f t="shared" si="2"/>
        <v>43463799</v>
      </c>
      <c r="AD336" s="328">
        <f t="shared" si="2"/>
        <v>28975867</v>
      </c>
      <c r="AE336" s="328">
        <f t="shared" si="2"/>
        <v>0</v>
      </c>
      <c r="AF336" s="328">
        <f t="shared" si="2"/>
        <v>144879330.12</v>
      </c>
      <c r="AG336" s="328">
        <f t="shared" si="2"/>
        <v>37322624.489999995</v>
      </c>
      <c r="AH336" s="328">
        <f t="shared" si="2"/>
        <v>22393575</v>
      </c>
      <c r="AI336" s="328">
        <f t="shared" si="2"/>
        <v>14929049</v>
      </c>
      <c r="AJ336" s="328">
        <f t="shared" si="2"/>
        <v>0</v>
      </c>
      <c r="AK336" s="328">
        <f t="shared" si="2"/>
        <v>74645248.469999999</v>
      </c>
      <c r="AL336" s="328">
        <f t="shared" si="2"/>
        <v>25749705.420000002</v>
      </c>
      <c r="AM336" s="328">
        <f t="shared" si="2"/>
        <v>15449825</v>
      </c>
      <c r="AN336" s="328">
        <f t="shared" si="2"/>
        <v>10299883</v>
      </c>
      <c r="AO336" s="328">
        <f t="shared" si="2"/>
        <v>0</v>
      </c>
      <c r="AP336" s="328">
        <f t="shared" si="2"/>
        <v>51499413.420000002</v>
      </c>
      <c r="AQ336" s="328">
        <f t="shared" si="2"/>
        <v>6085664.3399999999</v>
      </c>
      <c r="AR336" s="328">
        <f t="shared" si="2"/>
        <v>3651400</v>
      </c>
      <c r="AS336" s="328">
        <f t="shared" si="2"/>
        <v>2434265</v>
      </c>
      <c r="AT336" s="328">
        <f t="shared" si="2"/>
        <v>0</v>
      </c>
      <c r="AU336" s="328">
        <f t="shared" si="2"/>
        <v>12171329.34</v>
      </c>
      <c r="AV336" s="328">
        <f t="shared" si="2"/>
        <v>31835369.759999998</v>
      </c>
      <c r="AW336" s="328">
        <f t="shared" si="2"/>
        <v>19101225</v>
      </c>
      <c r="AX336" s="328">
        <f t="shared" si="2"/>
        <v>12734148</v>
      </c>
      <c r="AY336" s="328">
        <f t="shared" si="2"/>
        <v>0</v>
      </c>
      <c r="AZ336" s="328">
        <f t="shared" si="2"/>
        <v>63670742.760000005</v>
      </c>
      <c r="BA336" s="328">
        <f t="shared" si="2"/>
        <v>0</v>
      </c>
      <c r="BB336" s="328">
        <f t="shared" si="2"/>
        <v>0</v>
      </c>
      <c r="BC336" s="328">
        <f t="shared" si="2"/>
        <v>0</v>
      </c>
      <c r="BD336" s="328">
        <f t="shared" si="2"/>
        <v>0</v>
      </c>
      <c r="BE336" s="328">
        <f t="shared" si="2"/>
        <v>0</v>
      </c>
      <c r="BF336" s="328">
        <f t="shared" si="2"/>
        <v>14489810.66</v>
      </c>
      <c r="BG336" s="328">
        <f t="shared" si="2"/>
        <v>8693888</v>
      </c>
      <c r="BH336" s="328">
        <f t="shared" si="2"/>
        <v>5795926</v>
      </c>
      <c r="BI336" s="328">
        <f t="shared" si="2"/>
        <v>0</v>
      </c>
      <c r="BJ336" s="328">
        <f t="shared" si="2"/>
        <v>28979624.66</v>
      </c>
      <c r="BK336" s="328">
        <f t="shared" si="2"/>
        <v>14489810.66</v>
      </c>
      <c r="BL336" s="328">
        <f t="shared" si="2"/>
        <v>8693888</v>
      </c>
      <c r="BM336" s="328">
        <f t="shared" si="2"/>
        <v>5795926</v>
      </c>
      <c r="BN336" s="328">
        <f t="shared" si="2"/>
        <v>0</v>
      </c>
      <c r="BO336" s="328">
        <f t="shared" si="2"/>
        <v>28979624.66</v>
      </c>
      <c r="BP336" s="328">
        <f t="shared" si="2"/>
        <v>0</v>
      </c>
      <c r="BQ336" s="328">
        <f t="shared" si="2"/>
        <v>0</v>
      </c>
      <c r="BR336" s="328">
        <f t="shared" si="2"/>
        <v>0</v>
      </c>
      <c r="BS336" s="328">
        <f t="shared" si="3"/>
        <v>0</v>
      </c>
      <c r="BT336" s="328">
        <f t="shared" si="3"/>
        <v>0</v>
      </c>
      <c r="BU336" s="328">
        <f t="shared" si="3"/>
        <v>38005431.359999999</v>
      </c>
      <c r="BV336" s="328">
        <f t="shared" si="3"/>
        <v>22803259</v>
      </c>
      <c r="BW336" s="328">
        <f t="shared" si="3"/>
        <v>15202175</v>
      </c>
      <c r="BX336" s="328">
        <f t="shared" si="3"/>
        <v>0</v>
      </c>
      <c r="BY336" s="328">
        <f t="shared" si="3"/>
        <v>76010865.359999999</v>
      </c>
      <c r="BZ336" s="328">
        <f t="shared" si="3"/>
        <v>38005431.359999999</v>
      </c>
      <c r="CA336" s="328">
        <f t="shared" si="3"/>
        <v>22803259</v>
      </c>
      <c r="CB336" s="328">
        <f t="shared" si="3"/>
        <v>15202175</v>
      </c>
      <c r="CC336" s="328">
        <f t="shared" si="3"/>
        <v>0</v>
      </c>
      <c r="CD336" s="328">
        <f t="shared" si="3"/>
        <v>76010865.359999999</v>
      </c>
      <c r="CE336" s="328"/>
      <c r="CF336" s="104"/>
      <c r="CG336" s="104"/>
    </row>
    <row r="337" spans="1:85" x14ac:dyDescent="0.2">
      <c r="A337">
        <v>330</v>
      </c>
      <c r="D337" s="326" t="s">
        <v>1100</v>
      </c>
      <c r="E337" s="327" t="s">
        <v>1108</v>
      </c>
      <c r="F337" s="328">
        <f t="shared" si="4"/>
        <v>1791513878</v>
      </c>
      <c r="G337" s="328">
        <f t="shared" ref="G337:BR339" si="5">SUMIF($C$8:$C$333,$D337,G$8:G$333)</f>
        <v>1755683601</v>
      </c>
      <c r="H337" s="328">
        <f t="shared" si="5"/>
        <v>0</v>
      </c>
      <c r="I337" s="328">
        <f t="shared" si="5"/>
        <v>35830280</v>
      </c>
      <c r="J337" s="328">
        <f t="shared" si="5"/>
        <v>3583027759</v>
      </c>
      <c r="K337" s="328">
        <f t="shared" si="5"/>
        <v>1394930</v>
      </c>
      <c r="L337" s="328">
        <f t="shared" si="5"/>
        <v>1394930</v>
      </c>
      <c r="M337" s="328">
        <f t="shared" si="5"/>
        <v>1790118948</v>
      </c>
      <c r="N337" s="328">
        <f t="shared" si="5"/>
        <v>3581632829</v>
      </c>
      <c r="O337" s="328">
        <f t="shared" si="5"/>
        <v>16816671</v>
      </c>
      <c r="P337" s="328">
        <f t="shared" si="5"/>
        <v>16816671</v>
      </c>
      <c r="Q337" s="328">
        <f t="shared" si="5"/>
        <v>1353287</v>
      </c>
      <c r="R337" s="328">
        <f t="shared" si="5"/>
        <v>1353287</v>
      </c>
      <c r="S337" s="328">
        <f t="shared" si="5"/>
        <v>1132971</v>
      </c>
      <c r="T337" s="328">
        <f t="shared" si="5"/>
        <v>1132971</v>
      </c>
      <c r="U337" s="328">
        <f t="shared" si="5"/>
        <v>188916</v>
      </c>
      <c r="V337" s="328">
        <f t="shared" si="5"/>
        <v>0</v>
      </c>
      <c r="W337" s="328">
        <f t="shared" si="5"/>
        <v>188916</v>
      </c>
      <c r="X337" s="328">
        <f t="shared" si="5"/>
        <v>1394930</v>
      </c>
      <c r="Y337" s="328">
        <f t="shared" si="5"/>
        <v>0</v>
      </c>
      <c r="Z337" s="328">
        <f t="shared" si="5"/>
        <v>0</v>
      </c>
      <c r="AA337" s="328">
        <f t="shared" si="5"/>
        <v>1394930</v>
      </c>
      <c r="AB337" s="328">
        <f t="shared" si="5"/>
        <v>197067466.66</v>
      </c>
      <c r="AC337" s="328">
        <f t="shared" si="5"/>
        <v>193126117</v>
      </c>
      <c r="AD337" s="328">
        <f t="shared" si="5"/>
        <v>0</v>
      </c>
      <c r="AE337" s="328">
        <f t="shared" si="5"/>
        <v>3941348</v>
      </c>
      <c r="AF337" s="328">
        <f t="shared" si="5"/>
        <v>394134931.59000003</v>
      </c>
      <c r="AG337" s="328">
        <f t="shared" si="5"/>
        <v>52698542.56000001</v>
      </c>
      <c r="AH337" s="328">
        <f t="shared" si="5"/>
        <v>51644570</v>
      </c>
      <c r="AI337" s="328">
        <f t="shared" si="5"/>
        <v>0</v>
      </c>
      <c r="AJ337" s="328">
        <f t="shared" si="5"/>
        <v>1053970</v>
      </c>
      <c r="AK337" s="328">
        <f t="shared" si="5"/>
        <v>105397082.56</v>
      </c>
      <c r="AL337" s="328">
        <f t="shared" si="5"/>
        <v>79433825.709999993</v>
      </c>
      <c r="AM337" s="328">
        <f t="shared" si="5"/>
        <v>75041617</v>
      </c>
      <c r="AN337" s="328">
        <f t="shared" si="5"/>
        <v>0</v>
      </c>
      <c r="AO337" s="328">
        <f t="shared" si="5"/>
        <v>1560358</v>
      </c>
      <c r="AP337" s="328">
        <f t="shared" si="5"/>
        <v>156035800.71000001</v>
      </c>
      <c r="AQ337" s="328">
        <f t="shared" si="5"/>
        <v>14924900.66</v>
      </c>
      <c r="AR337" s="328">
        <f t="shared" si="5"/>
        <v>14595740</v>
      </c>
      <c r="AS337" s="328">
        <f t="shared" si="5"/>
        <v>0</v>
      </c>
      <c r="AT337" s="328">
        <f t="shared" si="5"/>
        <v>266586</v>
      </c>
      <c r="AU337" s="328">
        <f t="shared" si="5"/>
        <v>29787226.66</v>
      </c>
      <c r="AV337" s="328">
        <f t="shared" si="5"/>
        <v>94358726.370000005</v>
      </c>
      <c r="AW337" s="328">
        <f t="shared" si="5"/>
        <v>89637357</v>
      </c>
      <c r="AX337" s="328">
        <f t="shared" si="5"/>
        <v>0</v>
      </c>
      <c r="AY337" s="328">
        <f t="shared" si="5"/>
        <v>1826944</v>
      </c>
      <c r="AZ337" s="328">
        <f t="shared" si="5"/>
        <v>185823027.37</v>
      </c>
      <c r="BA337" s="328">
        <f t="shared" si="5"/>
        <v>0</v>
      </c>
      <c r="BB337" s="328">
        <f t="shared" si="5"/>
        <v>0</v>
      </c>
      <c r="BC337" s="328">
        <f t="shared" si="5"/>
        <v>0</v>
      </c>
      <c r="BD337" s="328">
        <f t="shared" si="5"/>
        <v>0</v>
      </c>
      <c r="BE337" s="328">
        <f t="shared" si="5"/>
        <v>0</v>
      </c>
      <c r="BF337" s="328">
        <f t="shared" si="5"/>
        <v>57427503.719999999</v>
      </c>
      <c r="BG337" s="328">
        <f t="shared" si="5"/>
        <v>56278956</v>
      </c>
      <c r="BH337" s="328">
        <f t="shared" si="5"/>
        <v>0</v>
      </c>
      <c r="BI337" s="328">
        <f t="shared" si="5"/>
        <v>1148553</v>
      </c>
      <c r="BJ337" s="328">
        <f t="shared" si="5"/>
        <v>114855012.72</v>
      </c>
      <c r="BK337" s="328">
        <f t="shared" si="5"/>
        <v>57427503.719999999</v>
      </c>
      <c r="BL337" s="328">
        <f t="shared" si="5"/>
        <v>56278956</v>
      </c>
      <c r="BM337" s="328">
        <f t="shared" si="5"/>
        <v>0</v>
      </c>
      <c r="BN337" s="328">
        <f t="shared" si="5"/>
        <v>1148553</v>
      </c>
      <c r="BO337" s="328">
        <f t="shared" si="5"/>
        <v>114855012.72</v>
      </c>
      <c r="BP337" s="328">
        <f t="shared" si="5"/>
        <v>0</v>
      </c>
      <c r="BQ337" s="328">
        <f t="shared" si="5"/>
        <v>0</v>
      </c>
      <c r="BR337" s="328">
        <f t="shared" si="5"/>
        <v>0</v>
      </c>
      <c r="BS337" s="328">
        <f t="shared" si="3"/>
        <v>0</v>
      </c>
      <c r="BT337" s="328">
        <f t="shared" si="3"/>
        <v>0</v>
      </c>
      <c r="BU337" s="328">
        <f t="shared" si="3"/>
        <v>143003595.78</v>
      </c>
      <c r="BV337" s="328">
        <f t="shared" si="3"/>
        <v>140143524</v>
      </c>
      <c r="BW337" s="328">
        <f t="shared" si="3"/>
        <v>0</v>
      </c>
      <c r="BX337" s="328">
        <f t="shared" si="3"/>
        <v>2860072</v>
      </c>
      <c r="BY337" s="328">
        <f t="shared" si="3"/>
        <v>286007191.69999999</v>
      </c>
      <c r="BZ337" s="328">
        <f t="shared" si="3"/>
        <v>143003595.78</v>
      </c>
      <c r="CA337" s="328">
        <f t="shared" si="3"/>
        <v>140143524</v>
      </c>
      <c r="CB337" s="328">
        <f t="shared" si="3"/>
        <v>0</v>
      </c>
      <c r="CC337" s="328">
        <f t="shared" si="3"/>
        <v>2860072</v>
      </c>
      <c r="CD337" s="328">
        <f t="shared" si="3"/>
        <v>286007191.69999999</v>
      </c>
      <c r="CE337" s="328"/>
      <c r="CF337" s="104"/>
      <c r="CG337" s="104"/>
    </row>
    <row r="338" spans="1:85" x14ac:dyDescent="0.2">
      <c r="A338">
        <v>331</v>
      </c>
      <c r="D338" s="326" t="s">
        <v>794</v>
      </c>
      <c r="E338" s="327" t="s">
        <v>1109</v>
      </c>
      <c r="F338" s="328">
        <f t="shared" si="4"/>
        <v>2103680824</v>
      </c>
      <c r="G338" s="328">
        <f t="shared" si="5"/>
        <v>2064023604</v>
      </c>
      <c r="H338" s="328">
        <f t="shared" si="5"/>
        <v>0</v>
      </c>
      <c r="I338" s="328">
        <f t="shared" si="5"/>
        <v>39657223</v>
      </c>
      <c r="J338" s="328">
        <f t="shared" si="5"/>
        <v>4207361651</v>
      </c>
      <c r="K338" s="328">
        <f t="shared" si="5"/>
        <v>995637</v>
      </c>
      <c r="L338" s="328">
        <f t="shared" si="5"/>
        <v>995637</v>
      </c>
      <c r="M338" s="328">
        <f t="shared" si="5"/>
        <v>2102685187</v>
      </c>
      <c r="N338" s="328">
        <f t="shared" si="5"/>
        <v>4206366014</v>
      </c>
      <c r="O338" s="328">
        <f t="shared" si="5"/>
        <v>17774280</v>
      </c>
      <c r="P338" s="328">
        <f t="shared" si="5"/>
        <v>17774280</v>
      </c>
      <c r="Q338" s="328">
        <f t="shared" si="5"/>
        <v>11720</v>
      </c>
      <c r="R338" s="328">
        <f t="shared" si="5"/>
        <v>11720</v>
      </c>
      <c r="S338" s="328">
        <f t="shared" si="5"/>
        <v>0</v>
      </c>
      <c r="T338" s="328">
        <f t="shared" si="5"/>
        <v>0</v>
      </c>
      <c r="U338" s="328">
        <f t="shared" si="5"/>
        <v>1652154</v>
      </c>
      <c r="V338" s="328">
        <f t="shared" si="5"/>
        <v>0</v>
      </c>
      <c r="W338" s="328">
        <f t="shared" si="5"/>
        <v>1652154</v>
      </c>
      <c r="X338" s="328">
        <f t="shared" si="5"/>
        <v>993129</v>
      </c>
      <c r="Y338" s="328">
        <f t="shared" si="5"/>
        <v>0</v>
      </c>
      <c r="Z338" s="328">
        <f t="shared" si="5"/>
        <v>2508</v>
      </c>
      <c r="AA338" s="328">
        <f t="shared" si="5"/>
        <v>995637</v>
      </c>
      <c r="AB338" s="328">
        <f t="shared" si="5"/>
        <v>120807466.94000001</v>
      </c>
      <c r="AC338" s="328">
        <f t="shared" si="5"/>
        <v>118531240</v>
      </c>
      <c r="AD338" s="328">
        <f t="shared" si="5"/>
        <v>0</v>
      </c>
      <c r="AE338" s="328">
        <f t="shared" si="5"/>
        <v>2276234</v>
      </c>
      <c r="AF338" s="328">
        <f t="shared" si="5"/>
        <v>241614940.84999996</v>
      </c>
      <c r="AG338" s="328">
        <f t="shared" si="5"/>
        <v>35830395.030000001</v>
      </c>
      <c r="AH338" s="328">
        <f t="shared" si="5"/>
        <v>35169142</v>
      </c>
      <c r="AI338" s="328">
        <f t="shared" si="5"/>
        <v>0</v>
      </c>
      <c r="AJ338" s="328">
        <f t="shared" si="5"/>
        <v>661252</v>
      </c>
      <c r="AK338" s="328">
        <f t="shared" si="5"/>
        <v>71660789.049999982</v>
      </c>
      <c r="AL338" s="328">
        <f t="shared" si="5"/>
        <v>39511440.200000003</v>
      </c>
      <c r="AM338" s="328">
        <f t="shared" si="5"/>
        <v>38771715</v>
      </c>
      <c r="AN338" s="328">
        <f t="shared" si="5"/>
        <v>0</v>
      </c>
      <c r="AO338" s="328">
        <f t="shared" si="5"/>
        <v>739725</v>
      </c>
      <c r="AP338" s="328">
        <f t="shared" si="5"/>
        <v>79022880.200000018</v>
      </c>
      <c r="AQ338" s="328">
        <f t="shared" si="5"/>
        <v>6540405.5799999982</v>
      </c>
      <c r="AR338" s="328">
        <f t="shared" si="5"/>
        <v>6422020</v>
      </c>
      <c r="AS338" s="328">
        <f t="shared" si="5"/>
        <v>0</v>
      </c>
      <c r="AT338" s="328">
        <f t="shared" si="5"/>
        <v>118388</v>
      </c>
      <c r="AU338" s="328">
        <f t="shared" si="5"/>
        <v>13080813.649999999</v>
      </c>
      <c r="AV338" s="328">
        <f t="shared" si="5"/>
        <v>46051845.780000001</v>
      </c>
      <c r="AW338" s="328">
        <f t="shared" si="5"/>
        <v>45193735</v>
      </c>
      <c r="AX338" s="328">
        <f t="shared" si="5"/>
        <v>0</v>
      </c>
      <c r="AY338" s="328">
        <f t="shared" si="5"/>
        <v>858113</v>
      </c>
      <c r="AZ338" s="328">
        <f t="shared" si="5"/>
        <v>92103693.780000016</v>
      </c>
      <c r="BA338" s="328">
        <f t="shared" si="5"/>
        <v>0</v>
      </c>
      <c r="BB338" s="328">
        <f t="shared" si="5"/>
        <v>0</v>
      </c>
      <c r="BC338" s="328">
        <f t="shared" si="5"/>
        <v>0</v>
      </c>
      <c r="BD338" s="328">
        <f t="shared" si="5"/>
        <v>0</v>
      </c>
      <c r="BE338" s="328">
        <f t="shared" si="5"/>
        <v>0</v>
      </c>
      <c r="BF338" s="328">
        <f t="shared" si="5"/>
        <v>44359284.770000003</v>
      </c>
      <c r="BG338" s="328">
        <f t="shared" si="5"/>
        <v>43509169</v>
      </c>
      <c r="BH338" s="328">
        <f t="shared" si="5"/>
        <v>0</v>
      </c>
      <c r="BI338" s="328">
        <f t="shared" si="5"/>
        <v>850115</v>
      </c>
      <c r="BJ338" s="328">
        <f t="shared" si="5"/>
        <v>88718568.769999996</v>
      </c>
      <c r="BK338" s="328">
        <f t="shared" si="5"/>
        <v>44359284.770000003</v>
      </c>
      <c r="BL338" s="328">
        <f t="shared" si="5"/>
        <v>43509169</v>
      </c>
      <c r="BM338" s="328">
        <f t="shared" si="5"/>
        <v>0</v>
      </c>
      <c r="BN338" s="328">
        <f t="shared" si="5"/>
        <v>850115</v>
      </c>
      <c r="BO338" s="328">
        <f t="shared" si="5"/>
        <v>88718568.769999996</v>
      </c>
      <c r="BP338" s="328">
        <f t="shared" si="5"/>
        <v>0</v>
      </c>
      <c r="BQ338" s="328">
        <f t="shared" si="5"/>
        <v>0</v>
      </c>
      <c r="BR338" s="328">
        <f t="shared" si="5"/>
        <v>0</v>
      </c>
      <c r="BS338" s="328">
        <f t="shared" si="3"/>
        <v>0</v>
      </c>
      <c r="BT338" s="328">
        <f t="shared" si="3"/>
        <v>0</v>
      </c>
      <c r="BU338" s="328">
        <f t="shared" si="3"/>
        <v>115678534.14999999</v>
      </c>
      <c r="BV338" s="328">
        <f t="shared" si="3"/>
        <v>113496052</v>
      </c>
      <c r="BW338" s="328">
        <f t="shared" si="3"/>
        <v>0</v>
      </c>
      <c r="BX338" s="328">
        <f t="shared" si="3"/>
        <v>2182483</v>
      </c>
      <c r="BY338" s="328">
        <f t="shared" si="3"/>
        <v>231357069.15000001</v>
      </c>
      <c r="BZ338" s="328">
        <f t="shared" si="3"/>
        <v>115678534.14999999</v>
      </c>
      <c r="CA338" s="328">
        <f t="shared" si="3"/>
        <v>113496052</v>
      </c>
      <c r="CB338" s="328">
        <f t="shared" si="3"/>
        <v>0</v>
      </c>
      <c r="CC338" s="328">
        <f t="shared" si="3"/>
        <v>2182483</v>
      </c>
      <c r="CD338" s="328">
        <f t="shared" si="3"/>
        <v>231357069.15000001</v>
      </c>
      <c r="CE338" s="328"/>
      <c r="CF338" s="104"/>
      <c r="CG338" s="104"/>
    </row>
    <row r="339" spans="1:85" x14ac:dyDescent="0.2">
      <c r="A339">
        <v>332</v>
      </c>
      <c r="D339" s="326" t="s">
        <v>1093</v>
      </c>
      <c r="E339" s="327" t="s">
        <v>1110</v>
      </c>
      <c r="F339" s="328">
        <f t="shared" si="4"/>
        <v>3395624380</v>
      </c>
      <c r="G339" s="328">
        <f t="shared" si="5"/>
        <v>2716499490</v>
      </c>
      <c r="H339" s="328">
        <f t="shared" si="5"/>
        <v>640351492</v>
      </c>
      <c r="I339" s="328">
        <f t="shared" si="5"/>
        <v>39891642</v>
      </c>
      <c r="J339" s="328">
        <f t="shared" si="5"/>
        <v>6791248736</v>
      </c>
      <c r="K339" s="328">
        <f t="shared" si="5"/>
        <v>4357353</v>
      </c>
      <c r="L339" s="328">
        <f t="shared" si="5"/>
        <v>4357353</v>
      </c>
      <c r="M339" s="328">
        <f t="shared" si="5"/>
        <v>3391267027</v>
      </c>
      <c r="N339" s="328">
        <f t="shared" si="5"/>
        <v>6786891383</v>
      </c>
      <c r="O339" s="328">
        <f t="shared" si="5"/>
        <v>31137391</v>
      </c>
      <c r="P339" s="328">
        <f t="shared" si="5"/>
        <v>31137391</v>
      </c>
      <c r="Q339" s="328">
        <f t="shared" si="5"/>
        <v>1189166</v>
      </c>
      <c r="R339" s="328">
        <f t="shared" si="5"/>
        <v>1189166</v>
      </c>
      <c r="S339" s="328">
        <f t="shared" si="5"/>
        <v>0</v>
      </c>
      <c r="T339" s="328">
        <f t="shared" si="5"/>
        <v>0</v>
      </c>
      <c r="U339" s="328">
        <f t="shared" si="5"/>
        <v>1694102</v>
      </c>
      <c r="V339" s="328">
        <f t="shared" si="5"/>
        <v>0</v>
      </c>
      <c r="W339" s="328">
        <f t="shared" si="5"/>
        <v>1694102</v>
      </c>
      <c r="X339" s="328">
        <f t="shared" si="5"/>
        <v>4183205</v>
      </c>
      <c r="Y339" s="328">
        <f t="shared" si="5"/>
        <v>156733</v>
      </c>
      <c r="Z339" s="328">
        <f t="shared" si="5"/>
        <v>17415</v>
      </c>
      <c r="AA339" s="328">
        <f t="shared" si="5"/>
        <v>4357353</v>
      </c>
      <c r="AB339" s="328">
        <f t="shared" si="5"/>
        <v>133908242.76000001</v>
      </c>
      <c r="AC339" s="328">
        <f t="shared" si="5"/>
        <v>107126600</v>
      </c>
      <c r="AD339" s="328">
        <f t="shared" si="5"/>
        <v>25178064</v>
      </c>
      <c r="AE339" s="328">
        <f t="shared" si="5"/>
        <v>1603586</v>
      </c>
      <c r="AF339" s="328">
        <f t="shared" si="5"/>
        <v>267816492.76000002</v>
      </c>
      <c r="AG339" s="328">
        <f t="shared" si="5"/>
        <v>51108567.590000018</v>
      </c>
      <c r="AH339" s="328">
        <f t="shared" si="5"/>
        <v>40886861</v>
      </c>
      <c r="AI339" s="328">
        <f t="shared" si="5"/>
        <v>9621111</v>
      </c>
      <c r="AJ339" s="328">
        <f t="shared" si="5"/>
        <v>600604</v>
      </c>
      <c r="AK339" s="328">
        <f t="shared" si="5"/>
        <v>102217143.67999996</v>
      </c>
      <c r="AL339" s="328">
        <f t="shared" si="5"/>
        <v>79911966.659999996</v>
      </c>
      <c r="AM339" s="328">
        <f t="shared" si="5"/>
        <v>63929577</v>
      </c>
      <c r="AN339" s="328">
        <f t="shared" si="5"/>
        <v>14733709</v>
      </c>
      <c r="AO339" s="328">
        <f t="shared" si="5"/>
        <v>1248694</v>
      </c>
      <c r="AP339" s="328">
        <f t="shared" si="5"/>
        <v>159823946.65999997</v>
      </c>
      <c r="AQ339" s="328">
        <f t="shared" si="5"/>
        <v>10232301.49</v>
      </c>
      <c r="AR339" s="328">
        <f t="shared" si="5"/>
        <v>8185852</v>
      </c>
      <c r="AS339" s="328">
        <f t="shared" si="5"/>
        <v>1915405</v>
      </c>
      <c r="AT339" s="328">
        <f t="shared" si="5"/>
        <v>131068</v>
      </c>
      <c r="AU339" s="328">
        <f t="shared" si="5"/>
        <v>20464626.490000002</v>
      </c>
      <c r="AV339" s="328">
        <f t="shared" si="5"/>
        <v>90144268.139999986</v>
      </c>
      <c r="AW339" s="328">
        <f t="shared" si="5"/>
        <v>72115429</v>
      </c>
      <c r="AX339" s="328">
        <f t="shared" si="5"/>
        <v>16649114</v>
      </c>
      <c r="AY339" s="328">
        <f t="shared" si="5"/>
        <v>1379762</v>
      </c>
      <c r="AZ339" s="328">
        <f t="shared" si="5"/>
        <v>180288573.13999993</v>
      </c>
      <c r="BA339" s="328">
        <f t="shared" si="5"/>
        <v>0</v>
      </c>
      <c r="BB339" s="328">
        <f t="shared" si="5"/>
        <v>0</v>
      </c>
      <c r="BC339" s="328">
        <f t="shared" si="5"/>
        <v>0</v>
      </c>
      <c r="BD339" s="328">
        <f t="shared" si="5"/>
        <v>0</v>
      </c>
      <c r="BE339" s="328">
        <f t="shared" si="5"/>
        <v>0</v>
      </c>
      <c r="BF339" s="328">
        <f t="shared" si="5"/>
        <v>65558357.07</v>
      </c>
      <c r="BG339" s="328">
        <f t="shared" si="5"/>
        <v>52446675</v>
      </c>
      <c r="BH339" s="328">
        <f t="shared" si="5"/>
        <v>12321116</v>
      </c>
      <c r="BI339" s="328">
        <f t="shared" si="5"/>
        <v>790543</v>
      </c>
      <c r="BJ339" s="328">
        <f t="shared" si="5"/>
        <v>131116691.06999999</v>
      </c>
      <c r="BK339" s="328">
        <f t="shared" si="5"/>
        <v>65558357.07</v>
      </c>
      <c r="BL339" s="328">
        <f t="shared" si="5"/>
        <v>52446675</v>
      </c>
      <c r="BM339" s="328">
        <f t="shared" si="5"/>
        <v>12321116</v>
      </c>
      <c r="BN339" s="328">
        <f t="shared" si="5"/>
        <v>790543</v>
      </c>
      <c r="BO339" s="328">
        <f t="shared" si="5"/>
        <v>131116691.06999999</v>
      </c>
      <c r="BP339" s="328">
        <f t="shared" si="5"/>
        <v>0</v>
      </c>
      <c r="BQ339" s="328">
        <f t="shared" si="5"/>
        <v>0</v>
      </c>
      <c r="BR339" s="328">
        <f t="shared" si="5"/>
        <v>0</v>
      </c>
      <c r="BS339" s="328">
        <f t="shared" si="3"/>
        <v>0</v>
      </c>
      <c r="BT339" s="328">
        <f t="shared" si="3"/>
        <v>0</v>
      </c>
      <c r="BU339" s="328">
        <f t="shared" si="3"/>
        <v>165252051.43000001</v>
      </c>
      <c r="BV339" s="328">
        <f t="shared" si="3"/>
        <v>132201643</v>
      </c>
      <c r="BW339" s="328">
        <f t="shared" si="3"/>
        <v>31297862</v>
      </c>
      <c r="BX339" s="328">
        <f t="shared" si="3"/>
        <v>1752558</v>
      </c>
      <c r="BY339" s="328">
        <f t="shared" si="3"/>
        <v>330504114.43000001</v>
      </c>
      <c r="BZ339" s="328">
        <f t="shared" si="3"/>
        <v>165252051.43000001</v>
      </c>
      <c r="CA339" s="328">
        <f t="shared" si="3"/>
        <v>132201643</v>
      </c>
      <c r="CB339" s="328">
        <f t="shared" si="3"/>
        <v>31297862</v>
      </c>
      <c r="CC339" s="328">
        <f t="shared" si="3"/>
        <v>1752558</v>
      </c>
      <c r="CD339" s="328">
        <f t="shared" si="3"/>
        <v>330504114.43000001</v>
      </c>
      <c r="CE339" s="328"/>
      <c r="CF339" s="104"/>
      <c r="CG339" s="104"/>
    </row>
    <row r="340" spans="1:85" x14ac:dyDescent="0.2">
      <c r="F340" s="328"/>
      <c r="G340" s="328"/>
      <c r="H340" s="328"/>
      <c r="I340" s="328"/>
      <c r="J340" s="328"/>
      <c r="K340" s="328"/>
      <c r="L340" s="328"/>
      <c r="M340" s="328"/>
      <c r="N340" s="328"/>
      <c r="O340" s="328"/>
      <c r="P340" s="328"/>
      <c r="Q340" s="328"/>
      <c r="R340" s="328"/>
      <c r="S340" s="328"/>
      <c r="T340" s="328"/>
      <c r="U340" s="328"/>
      <c r="V340" s="328"/>
      <c r="W340" s="328"/>
      <c r="X340" s="328"/>
      <c r="Y340" s="328"/>
      <c r="Z340" s="328"/>
      <c r="AA340" s="328"/>
      <c r="AB340" s="328"/>
      <c r="AC340" s="328"/>
      <c r="AD340" s="328"/>
      <c r="AE340" s="328"/>
      <c r="AF340" s="328"/>
      <c r="AG340" s="328"/>
      <c r="AH340" s="328"/>
      <c r="AI340" s="328"/>
      <c r="AJ340" s="328"/>
      <c r="AK340" s="328"/>
      <c r="AL340" s="328"/>
      <c r="AM340" s="328"/>
      <c r="AN340" s="328"/>
      <c r="AO340" s="328"/>
      <c r="AP340" s="328"/>
      <c r="AQ340" s="328"/>
      <c r="AR340" s="328"/>
      <c r="AS340" s="328"/>
      <c r="AT340" s="328"/>
      <c r="AU340" s="328"/>
      <c r="AV340" s="328"/>
      <c r="AW340" s="328"/>
      <c r="AX340" s="328"/>
      <c r="AY340" s="328"/>
      <c r="AZ340" s="328"/>
      <c r="BA340" s="328"/>
      <c r="BB340" s="328"/>
      <c r="BC340" s="328"/>
      <c r="BD340" s="328"/>
      <c r="BE340" s="328"/>
      <c r="BF340" s="328"/>
      <c r="BG340" s="328"/>
      <c r="BH340" s="328"/>
      <c r="BI340" s="328"/>
      <c r="BJ340" s="328"/>
      <c r="BK340" s="328"/>
      <c r="BL340" s="328"/>
      <c r="BM340" s="328"/>
      <c r="BN340" s="328"/>
      <c r="BO340" s="328"/>
      <c r="BP340" s="328"/>
      <c r="BQ340" s="328"/>
      <c r="BR340" s="328"/>
      <c r="BS340" s="328"/>
      <c r="BT340" s="328"/>
      <c r="BU340" s="328"/>
      <c r="BV340" s="328"/>
      <c r="BW340" s="328"/>
      <c r="BX340" s="328"/>
      <c r="BY340" s="328"/>
      <c r="BZ340" s="328"/>
      <c r="CA340" s="328"/>
      <c r="CB340" s="328"/>
      <c r="CC340" s="328"/>
      <c r="CD340" s="328"/>
      <c r="CE340" s="328"/>
      <c r="CF340" s="104"/>
      <c r="CG340" s="104"/>
    </row>
    <row r="341" spans="1:85" x14ac:dyDescent="0.2">
      <c r="F341" s="344"/>
      <c r="G341" s="344"/>
      <c r="H341" s="344"/>
      <c r="I341" s="344"/>
      <c r="J341" s="344"/>
      <c r="K341" s="344"/>
      <c r="L341" s="344"/>
      <c r="M341" s="344"/>
      <c r="N341" s="344"/>
      <c r="O341" s="344"/>
      <c r="P341" s="344"/>
      <c r="Q341" s="344"/>
      <c r="R341" s="344"/>
      <c r="S341" s="344"/>
      <c r="T341" s="344"/>
      <c r="U341" s="344"/>
      <c r="V341" s="344"/>
      <c r="W341" s="344"/>
      <c r="X341" s="344"/>
      <c r="Y341" s="344"/>
      <c r="Z341" s="344"/>
      <c r="AA341" s="344"/>
      <c r="AB341" s="344"/>
      <c r="AC341" s="344"/>
      <c r="AD341" s="344"/>
      <c r="AE341" s="344"/>
      <c r="AF341" s="344"/>
      <c r="AG341" s="344"/>
      <c r="AH341" s="344"/>
      <c r="AI341" s="344"/>
      <c r="AJ341" s="344"/>
      <c r="AK341" s="344"/>
      <c r="AL341" s="344"/>
      <c r="AM341" s="344"/>
      <c r="AN341" s="344"/>
      <c r="AO341" s="344"/>
      <c r="AP341" s="344"/>
      <c r="AQ341" s="344"/>
      <c r="AR341" s="344"/>
      <c r="AS341" s="344"/>
      <c r="AT341" s="344"/>
      <c r="AU341" s="344"/>
      <c r="AV341" s="344"/>
      <c r="AW341" s="344"/>
      <c r="AX341" s="344"/>
      <c r="AY341" s="344"/>
      <c r="AZ341" s="344"/>
      <c r="BA341" s="344"/>
      <c r="BB341" s="344"/>
      <c r="BC341" s="344"/>
      <c r="BD341" s="344"/>
      <c r="BE341" s="344"/>
      <c r="BF341" s="344"/>
      <c r="BG341" s="344"/>
      <c r="BH341" s="344"/>
      <c r="BI341" s="344"/>
      <c r="BJ341" s="344"/>
      <c r="BK341" s="344"/>
      <c r="BL341" s="344"/>
      <c r="BM341" s="344"/>
      <c r="BN341" s="344"/>
      <c r="BO341" s="344"/>
      <c r="BP341" s="344"/>
      <c r="BQ341" s="344"/>
      <c r="BR341" s="344"/>
      <c r="BS341" s="344"/>
      <c r="BT341" s="344"/>
      <c r="BU341" s="344"/>
      <c r="BV341" s="344"/>
      <c r="BW341" s="344"/>
      <c r="BX341" s="344"/>
      <c r="BY341" s="344"/>
      <c r="BZ341" s="344"/>
      <c r="CA341" s="344"/>
      <c r="CB341" s="344"/>
      <c r="CC341" s="344"/>
      <c r="CD341" s="344"/>
      <c r="CE341" s="344"/>
    </row>
    <row r="353" customFormat="1" ht="12.75" x14ac:dyDescent="0.2"/>
    <row r="354" customFormat="1" ht="12.75" x14ac:dyDescent="0.2"/>
    <row r="355" customFormat="1" ht="12.75" x14ac:dyDescent="0.2"/>
    <row r="356" customFormat="1" ht="12.75" x14ac:dyDescent="0.2"/>
    <row r="357" customFormat="1" ht="12.75" x14ac:dyDescent="0.2"/>
    <row r="358" customFormat="1" ht="12.75" x14ac:dyDescent="0.2"/>
    <row r="359" customFormat="1" ht="12.75" x14ac:dyDescent="0.2"/>
    <row r="360" customFormat="1" ht="12.75" x14ac:dyDescent="0.2"/>
    <row r="361" customFormat="1" ht="12.75" x14ac:dyDescent="0.2"/>
  </sheetData>
  <autoFilter ref="A7:CD339"/>
  <mergeCells count="19">
    <mergeCell ref="AV1:AZ1"/>
    <mergeCell ref="F1:J1"/>
    <mergeCell ref="K1:L1"/>
    <mergeCell ref="M1:N1"/>
    <mergeCell ref="O1:P1"/>
    <mergeCell ref="Q1:R1"/>
    <mergeCell ref="S1:V1"/>
    <mergeCell ref="X1:AA1"/>
    <mergeCell ref="AB1:AF1"/>
    <mergeCell ref="AG1:AK1"/>
    <mergeCell ref="AL1:AP1"/>
    <mergeCell ref="AQ1:AU1"/>
    <mergeCell ref="BZ1:CD1"/>
    <mergeCell ref="BA1:BE1"/>
    <mergeCell ref="BF1:BG1"/>
    <mergeCell ref="BH1:BJ1"/>
    <mergeCell ref="BK1:BO1"/>
    <mergeCell ref="BP1:BT1"/>
    <mergeCell ref="BU1:BY1"/>
  </mergeCells>
  <phoneticPr fontId="4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2"/>
  <sheetViews>
    <sheetView topLeftCell="A304" workbookViewId="0">
      <selection activeCell="A332" sqref="A332"/>
    </sheetView>
  </sheetViews>
  <sheetFormatPr defaultRowHeight="12.75" x14ac:dyDescent="0.2"/>
  <sheetData>
    <row r="1" spans="1:1" x14ac:dyDescent="0.2">
      <c r="A1" s="331" t="s">
        <v>582</v>
      </c>
    </row>
    <row r="2" spans="1:1" x14ac:dyDescent="0.2">
      <c r="A2" s="331" t="s">
        <v>584</v>
      </c>
    </row>
    <row r="3" spans="1:1" x14ac:dyDescent="0.2">
      <c r="A3" s="331" t="s">
        <v>586</v>
      </c>
    </row>
    <row r="4" spans="1:1" x14ac:dyDescent="0.2">
      <c r="A4" s="331" t="s">
        <v>588</v>
      </c>
    </row>
    <row r="5" spans="1:1" x14ac:dyDescent="0.2">
      <c r="A5" s="331" t="s">
        <v>590</v>
      </c>
    </row>
    <row r="6" spans="1:1" x14ac:dyDescent="0.2">
      <c r="A6" s="331" t="s">
        <v>592</v>
      </c>
    </row>
    <row r="7" spans="1:1" x14ac:dyDescent="0.2">
      <c r="A7" s="331" t="s">
        <v>594</v>
      </c>
    </row>
    <row r="8" spans="1:1" x14ac:dyDescent="0.2">
      <c r="A8" s="331" t="s">
        <v>596</v>
      </c>
    </row>
    <row r="9" spans="1:1" x14ac:dyDescent="0.2">
      <c r="A9" s="331" t="s">
        <v>708</v>
      </c>
    </row>
    <row r="10" spans="1:1" x14ac:dyDescent="0.2">
      <c r="A10" s="331" t="s">
        <v>600</v>
      </c>
    </row>
    <row r="11" spans="1:1" x14ac:dyDescent="0.2">
      <c r="A11" s="331" t="s">
        <v>602</v>
      </c>
    </row>
    <row r="12" spans="1:1" x14ac:dyDescent="0.2">
      <c r="A12" s="331" t="s">
        <v>604</v>
      </c>
    </row>
    <row r="13" spans="1:1" x14ac:dyDescent="0.2">
      <c r="A13" s="331" t="s">
        <v>606</v>
      </c>
    </row>
    <row r="14" spans="1:1" x14ac:dyDescent="0.2">
      <c r="A14" s="331" t="s">
        <v>608</v>
      </c>
    </row>
    <row r="15" spans="1:1" x14ac:dyDescent="0.2">
      <c r="A15" s="331" t="s">
        <v>610</v>
      </c>
    </row>
    <row r="16" spans="1:1" x14ac:dyDescent="0.2">
      <c r="A16" s="331" t="s">
        <v>612</v>
      </c>
    </row>
    <row r="17" spans="1:1" x14ac:dyDescent="0.2">
      <c r="A17" s="331" t="s">
        <v>614</v>
      </c>
    </row>
    <row r="18" spans="1:1" x14ac:dyDescent="0.2">
      <c r="A18" s="331" t="s">
        <v>616</v>
      </c>
    </row>
    <row r="19" spans="1:1" x14ac:dyDescent="0.2">
      <c r="A19" s="331" t="s">
        <v>618</v>
      </c>
    </row>
    <row r="20" spans="1:1" x14ac:dyDescent="0.2">
      <c r="A20" s="331" t="s">
        <v>620</v>
      </c>
    </row>
    <row r="21" spans="1:1" x14ac:dyDescent="0.2">
      <c r="A21" s="331" t="s">
        <v>709</v>
      </c>
    </row>
    <row r="22" spans="1:1" x14ac:dyDescent="0.2">
      <c r="A22" s="331" t="s">
        <v>710</v>
      </c>
    </row>
    <row r="23" spans="1:1" x14ac:dyDescent="0.2">
      <c r="A23" s="331" t="s">
        <v>626</v>
      </c>
    </row>
    <row r="24" spans="1:1" x14ac:dyDescent="0.2">
      <c r="A24" s="331" t="s">
        <v>628</v>
      </c>
    </row>
    <row r="25" spans="1:1" x14ac:dyDescent="0.2">
      <c r="A25" s="331" t="s">
        <v>630</v>
      </c>
    </row>
    <row r="26" spans="1:1" x14ac:dyDescent="0.2">
      <c r="A26" s="331" t="s">
        <v>711</v>
      </c>
    </row>
    <row r="27" spans="1:1" x14ac:dyDescent="0.2">
      <c r="A27" s="331" t="s">
        <v>712</v>
      </c>
    </row>
    <row r="28" spans="1:1" x14ac:dyDescent="0.2">
      <c r="A28" s="331" t="s">
        <v>636</v>
      </c>
    </row>
    <row r="29" spans="1:1" x14ac:dyDescent="0.2">
      <c r="A29" s="331" t="s">
        <v>638</v>
      </c>
    </row>
    <row r="30" spans="1:1" x14ac:dyDescent="0.2">
      <c r="A30" s="331" t="s">
        <v>640</v>
      </c>
    </row>
    <row r="31" spans="1:1" x14ac:dyDescent="0.2">
      <c r="A31" s="331" t="s">
        <v>642</v>
      </c>
    </row>
    <row r="32" spans="1:1" x14ac:dyDescent="0.2">
      <c r="A32" s="331" t="s">
        <v>644</v>
      </c>
    </row>
    <row r="33" spans="1:1" x14ac:dyDescent="0.2">
      <c r="A33" s="331" t="s">
        <v>1111</v>
      </c>
    </row>
    <row r="34" spans="1:1" x14ac:dyDescent="0.2">
      <c r="A34" s="331" t="s">
        <v>648</v>
      </c>
    </row>
    <row r="35" spans="1:1" x14ac:dyDescent="0.2">
      <c r="A35" s="331" t="s">
        <v>650</v>
      </c>
    </row>
    <row r="36" spans="1:1" x14ac:dyDescent="0.2">
      <c r="A36" s="331" t="s">
        <v>652</v>
      </c>
    </row>
    <row r="37" spans="1:1" x14ac:dyDescent="0.2">
      <c r="A37" s="331" t="s">
        <v>654</v>
      </c>
    </row>
    <row r="38" spans="1:1" x14ac:dyDescent="0.2">
      <c r="A38" s="331" t="s">
        <v>656</v>
      </c>
    </row>
    <row r="39" spans="1:1" x14ac:dyDescent="0.2">
      <c r="A39" s="331" t="s">
        <v>658</v>
      </c>
    </row>
    <row r="40" spans="1:1" x14ac:dyDescent="0.2">
      <c r="A40" s="331" t="s">
        <v>660</v>
      </c>
    </row>
    <row r="41" spans="1:1" x14ac:dyDescent="0.2">
      <c r="A41" s="331" t="s">
        <v>662</v>
      </c>
    </row>
    <row r="42" spans="1:1" x14ac:dyDescent="0.2">
      <c r="A42" s="331" t="s">
        <v>664</v>
      </c>
    </row>
    <row r="43" spans="1:1" x14ac:dyDescent="0.2">
      <c r="A43" s="331" t="s">
        <v>666</v>
      </c>
    </row>
    <row r="44" spans="1:1" x14ac:dyDescent="0.2">
      <c r="A44" s="331" t="s">
        <v>668</v>
      </c>
    </row>
    <row r="45" spans="1:1" x14ac:dyDescent="0.2">
      <c r="A45" s="331" t="s">
        <v>670</v>
      </c>
    </row>
    <row r="46" spans="1:1" x14ac:dyDescent="0.2">
      <c r="A46" s="331" t="s">
        <v>672</v>
      </c>
    </row>
    <row r="47" spans="1:1" x14ac:dyDescent="0.2">
      <c r="A47" s="331" t="s">
        <v>674</v>
      </c>
    </row>
    <row r="48" spans="1:1" x14ac:dyDescent="0.2">
      <c r="A48" s="331" t="s">
        <v>676</v>
      </c>
    </row>
    <row r="49" spans="1:1" x14ac:dyDescent="0.2">
      <c r="A49" s="331" t="s">
        <v>678</v>
      </c>
    </row>
    <row r="50" spans="1:1" x14ac:dyDescent="0.2">
      <c r="A50" s="331" t="s">
        <v>680</v>
      </c>
    </row>
    <row r="51" spans="1:1" x14ac:dyDescent="0.2">
      <c r="A51" s="331" t="s">
        <v>682</v>
      </c>
    </row>
    <row r="52" spans="1:1" x14ac:dyDescent="0.2">
      <c r="A52" s="331" t="s">
        <v>684</v>
      </c>
    </row>
    <row r="53" spans="1:1" x14ac:dyDescent="0.2">
      <c r="A53" s="331" t="s">
        <v>686</v>
      </c>
    </row>
    <row r="54" spans="1:1" x14ac:dyDescent="0.2">
      <c r="A54" s="331" t="s">
        <v>688</v>
      </c>
    </row>
    <row r="55" spans="1:1" x14ac:dyDescent="0.2">
      <c r="A55" s="331" t="s">
        <v>713</v>
      </c>
    </row>
    <row r="56" spans="1:1" x14ac:dyDescent="0.2">
      <c r="A56" s="331" t="s">
        <v>692</v>
      </c>
    </row>
    <row r="57" spans="1:1" x14ac:dyDescent="0.2">
      <c r="A57" s="331" t="s">
        <v>694</v>
      </c>
    </row>
    <row r="58" spans="1:1" x14ac:dyDescent="0.2">
      <c r="A58" s="331" t="s">
        <v>696</v>
      </c>
    </row>
    <row r="59" spans="1:1" x14ac:dyDescent="0.2">
      <c r="A59" s="331" t="s">
        <v>698</v>
      </c>
    </row>
    <row r="60" spans="1:1" x14ac:dyDescent="0.2">
      <c r="A60" s="331" t="s">
        <v>700</v>
      </c>
    </row>
    <row r="61" spans="1:1" x14ac:dyDescent="0.2">
      <c r="A61" s="331" t="s">
        <v>702</v>
      </c>
    </row>
    <row r="62" spans="1:1" x14ac:dyDescent="0.2">
      <c r="A62" s="331" t="s">
        <v>1</v>
      </c>
    </row>
    <row r="63" spans="1:1" x14ac:dyDescent="0.2">
      <c r="A63" s="331" t="s">
        <v>3</v>
      </c>
    </row>
    <row r="64" spans="1:1" x14ac:dyDescent="0.2">
      <c r="A64" s="331" t="s">
        <v>5</v>
      </c>
    </row>
    <row r="65" spans="1:1" x14ac:dyDescent="0.2">
      <c r="A65" s="331" t="s">
        <v>7</v>
      </c>
    </row>
    <row r="66" spans="1:1" x14ac:dyDescent="0.2">
      <c r="A66" s="331" t="s">
        <v>9</v>
      </c>
    </row>
    <row r="67" spans="1:1" x14ac:dyDescent="0.2">
      <c r="A67" s="331" t="s">
        <v>11</v>
      </c>
    </row>
    <row r="68" spans="1:1" x14ac:dyDescent="0.2">
      <c r="A68" s="331" t="s">
        <v>13</v>
      </c>
    </row>
    <row r="69" spans="1:1" x14ac:dyDescent="0.2">
      <c r="A69" s="331" t="s">
        <v>15</v>
      </c>
    </row>
    <row r="70" spans="1:1" x14ac:dyDescent="0.2">
      <c r="A70" s="331" t="s">
        <v>17</v>
      </c>
    </row>
    <row r="71" spans="1:1" x14ac:dyDescent="0.2">
      <c r="A71" s="331" t="s">
        <v>19</v>
      </c>
    </row>
    <row r="72" spans="1:1" x14ac:dyDescent="0.2">
      <c r="A72" s="331" t="s">
        <v>714</v>
      </c>
    </row>
    <row r="73" spans="1:1" x14ac:dyDescent="0.2">
      <c r="A73" s="331" t="s">
        <v>23</v>
      </c>
    </row>
    <row r="74" spans="1:1" x14ac:dyDescent="0.2">
      <c r="A74" s="331" t="s">
        <v>25</v>
      </c>
    </row>
    <row r="75" spans="1:1" x14ac:dyDescent="0.2">
      <c r="A75" s="331" t="s">
        <v>715</v>
      </c>
    </row>
    <row r="76" spans="1:1" x14ac:dyDescent="0.2">
      <c r="A76" s="331" t="s">
        <v>29</v>
      </c>
    </row>
    <row r="77" spans="1:1" x14ac:dyDescent="0.2">
      <c r="A77" s="331" t="s">
        <v>31</v>
      </c>
    </row>
    <row r="78" spans="1:1" x14ac:dyDescent="0.2">
      <c r="A78" s="331" t="s">
        <v>38</v>
      </c>
    </row>
    <row r="79" spans="1:1" x14ac:dyDescent="0.2">
      <c r="A79" s="331" t="s">
        <v>40</v>
      </c>
    </row>
    <row r="80" spans="1:1" x14ac:dyDescent="0.2">
      <c r="A80" s="331" t="s">
        <v>42</v>
      </c>
    </row>
    <row r="81" spans="1:1" x14ac:dyDescent="0.2">
      <c r="A81" s="331" t="s">
        <v>44</v>
      </c>
    </row>
    <row r="82" spans="1:1" x14ac:dyDescent="0.2">
      <c r="A82" s="331" t="s">
        <v>46</v>
      </c>
    </row>
    <row r="83" spans="1:1" x14ac:dyDescent="0.2">
      <c r="A83" s="331" t="s">
        <v>48</v>
      </c>
    </row>
    <row r="84" spans="1:1" x14ac:dyDescent="0.2">
      <c r="A84" s="331" t="s">
        <v>50</v>
      </c>
    </row>
    <row r="85" spans="1:1" x14ac:dyDescent="0.2">
      <c r="A85" s="331" t="s">
        <v>52</v>
      </c>
    </row>
    <row r="86" spans="1:1" x14ac:dyDescent="0.2">
      <c r="A86" s="331" t="s">
        <v>54</v>
      </c>
    </row>
    <row r="87" spans="1:1" x14ac:dyDescent="0.2">
      <c r="A87" s="331" t="s">
        <v>56</v>
      </c>
    </row>
    <row r="88" spans="1:1" x14ac:dyDescent="0.2">
      <c r="A88" s="331" t="s">
        <v>58</v>
      </c>
    </row>
    <row r="89" spans="1:1" x14ac:dyDescent="0.2">
      <c r="A89" s="331" t="s">
        <v>716</v>
      </c>
    </row>
    <row r="90" spans="1:1" x14ac:dyDescent="0.2">
      <c r="A90" s="331" t="s">
        <v>62</v>
      </c>
    </row>
    <row r="91" spans="1:1" x14ac:dyDescent="0.2">
      <c r="A91" s="331" t="s">
        <v>64</v>
      </c>
    </row>
    <row r="92" spans="1:1" x14ac:dyDescent="0.2">
      <c r="A92" s="331" t="s">
        <v>66</v>
      </c>
    </row>
    <row r="93" spans="1:1" x14ac:dyDescent="0.2">
      <c r="A93" s="331" t="s">
        <v>68</v>
      </c>
    </row>
    <row r="94" spans="1:1" x14ac:dyDescent="0.2">
      <c r="A94" s="331" t="s">
        <v>70</v>
      </c>
    </row>
    <row r="95" spans="1:1" x14ac:dyDescent="0.2">
      <c r="A95" s="331" t="s">
        <v>72</v>
      </c>
    </row>
    <row r="96" spans="1:1" x14ac:dyDescent="0.2">
      <c r="A96" s="331" t="s">
        <v>74</v>
      </c>
    </row>
    <row r="97" spans="1:1" x14ac:dyDescent="0.2">
      <c r="A97" s="331" t="s">
        <v>1112</v>
      </c>
    </row>
    <row r="98" spans="1:1" x14ac:dyDescent="0.2">
      <c r="A98" s="331" t="s">
        <v>78</v>
      </c>
    </row>
    <row r="99" spans="1:1" x14ac:dyDescent="0.2">
      <c r="A99" s="331" t="s">
        <v>80</v>
      </c>
    </row>
    <row r="100" spans="1:1" x14ac:dyDescent="0.2">
      <c r="A100" s="331" t="s">
        <v>82</v>
      </c>
    </row>
    <row r="101" spans="1:1" x14ac:dyDescent="0.2">
      <c r="A101" s="331" t="s">
        <v>84</v>
      </c>
    </row>
    <row r="102" spans="1:1" x14ac:dyDescent="0.2">
      <c r="A102" s="331" t="s">
        <v>86</v>
      </c>
    </row>
    <row r="103" spans="1:1" x14ac:dyDescent="0.2">
      <c r="A103" s="331" t="s">
        <v>88</v>
      </c>
    </row>
    <row r="104" spans="1:1" x14ac:dyDescent="0.2">
      <c r="A104" s="331" t="s">
        <v>90</v>
      </c>
    </row>
    <row r="105" spans="1:1" x14ac:dyDescent="0.2">
      <c r="A105" s="331" t="s">
        <v>92</v>
      </c>
    </row>
    <row r="106" spans="1:1" x14ac:dyDescent="0.2">
      <c r="A106" s="331" t="s">
        <v>94</v>
      </c>
    </row>
    <row r="107" spans="1:1" x14ac:dyDescent="0.2">
      <c r="A107" s="331" t="s">
        <v>96</v>
      </c>
    </row>
    <row r="108" spans="1:1" x14ac:dyDescent="0.2">
      <c r="A108" s="331" t="s">
        <v>98</v>
      </c>
    </row>
    <row r="109" spans="1:1" x14ac:dyDescent="0.2">
      <c r="A109" s="331" t="s">
        <v>100</v>
      </c>
    </row>
    <row r="110" spans="1:1" x14ac:dyDescent="0.2">
      <c r="A110" s="331" t="s">
        <v>102</v>
      </c>
    </row>
    <row r="111" spans="1:1" x14ac:dyDescent="0.2">
      <c r="A111" s="331" t="s">
        <v>104</v>
      </c>
    </row>
    <row r="112" spans="1:1" x14ac:dyDescent="0.2">
      <c r="A112" s="331" t="s">
        <v>106</v>
      </c>
    </row>
    <row r="113" spans="1:1" x14ac:dyDescent="0.2">
      <c r="A113" s="331" t="s">
        <v>108</v>
      </c>
    </row>
    <row r="114" spans="1:1" x14ac:dyDescent="0.2">
      <c r="A114" s="331" t="s">
        <v>717</v>
      </c>
    </row>
    <row r="115" spans="1:1" x14ac:dyDescent="0.2">
      <c r="A115" s="331" t="s">
        <v>112</v>
      </c>
    </row>
    <row r="116" spans="1:1" x14ac:dyDescent="0.2">
      <c r="A116" s="331" t="s">
        <v>718</v>
      </c>
    </row>
    <row r="117" spans="1:1" x14ac:dyDescent="0.2">
      <c r="A117" s="331" t="s">
        <v>116</v>
      </c>
    </row>
    <row r="118" spans="1:1" x14ac:dyDescent="0.2">
      <c r="A118" s="331" t="s">
        <v>118</v>
      </c>
    </row>
    <row r="119" spans="1:1" x14ac:dyDescent="0.2">
      <c r="A119" s="331" t="s">
        <v>120</v>
      </c>
    </row>
    <row r="120" spans="1:1" x14ac:dyDescent="0.2">
      <c r="A120" s="331" t="s">
        <v>122</v>
      </c>
    </row>
    <row r="121" spans="1:1" x14ac:dyDescent="0.2">
      <c r="A121" s="331" t="s">
        <v>124</v>
      </c>
    </row>
    <row r="122" spans="1:1" x14ac:dyDescent="0.2">
      <c r="A122" s="331" t="s">
        <v>126</v>
      </c>
    </row>
    <row r="123" spans="1:1" x14ac:dyDescent="0.2">
      <c r="A123" s="331" t="s">
        <v>719</v>
      </c>
    </row>
    <row r="124" spans="1:1" x14ac:dyDescent="0.2">
      <c r="A124" s="331" t="s">
        <v>130</v>
      </c>
    </row>
    <row r="125" spans="1:1" x14ac:dyDescent="0.2">
      <c r="A125" s="331" t="s">
        <v>132</v>
      </c>
    </row>
    <row r="126" spans="1:1" x14ac:dyDescent="0.2">
      <c r="A126" s="331" t="s">
        <v>134</v>
      </c>
    </row>
    <row r="127" spans="1:1" x14ac:dyDescent="0.2">
      <c r="A127" s="331" t="s">
        <v>720</v>
      </c>
    </row>
    <row r="128" spans="1:1" x14ac:dyDescent="0.2">
      <c r="A128" s="331" t="s">
        <v>138</v>
      </c>
    </row>
    <row r="129" spans="1:1" x14ac:dyDescent="0.2">
      <c r="A129" s="331" t="s">
        <v>140</v>
      </c>
    </row>
    <row r="130" spans="1:1" x14ac:dyDescent="0.2">
      <c r="A130" s="331" t="s">
        <v>142</v>
      </c>
    </row>
    <row r="131" spans="1:1" x14ac:dyDescent="0.2">
      <c r="A131" s="331" t="s">
        <v>721</v>
      </c>
    </row>
    <row r="132" spans="1:1" x14ac:dyDescent="0.2">
      <c r="A132" s="331" t="s">
        <v>146</v>
      </c>
    </row>
    <row r="133" spans="1:1" x14ac:dyDescent="0.2">
      <c r="A133" s="331" t="s">
        <v>148</v>
      </c>
    </row>
    <row r="134" spans="1:1" x14ac:dyDescent="0.2">
      <c r="A134" s="331" t="s">
        <v>1113</v>
      </c>
    </row>
    <row r="135" spans="1:1" x14ac:dyDescent="0.2">
      <c r="A135" s="331" t="s">
        <v>152</v>
      </c>
    </row>
    <row r="136" spans="1:1" x14ac:dyDescent="0.2">
      <c r="A136" s="331" t="s">
        <v>154</v>
      </c>
    </row>
    <row r="137" spans="1:1" x14ac:dyDescent="0.2">
      <c r="A137" s="331" t="s">
        <v>1114</v>
      </c>
    </row>
    <row r="138" spans="1:1" x14ac:dyDescent="0.2">
      <c r="A138" s="331" t="s">
        <v>158</v>
      </c>
    </row>
    <row r="139" spans="1:1" x14ac:dyDescent="0.2">
      <c r="A139" s="331" t="s">
        <v>160</v>
      </c>
    </row>
    <row r="140" spans="1:1" x14ac:dyDescent="0.2">
      <c r="A140" s="331" t="s">
        <v>722</v>
      </c>
    </row>
    <row r="141" spans="1:1" x14ac:dyDescent="0.2">
      <c r="A141" s="331" t="s">
        <v>164</v>
      </c>
    </row>
    <row r="142" spans="1:1" x14ac:dyDescent="0.2">
      <c r="A142" s="331" t="s">
        <v>1115</v>
      </c>
    </row>
    <row r="143" spans="1:1" x14ac:dyDescent="0.2">
      <c r="A143" s="331" t="s">
        <v>1116</v>
      </c>
    </row>
    <row r="144" spans="1:1" x14ac:dyDescent="0.2">
      <c r="A144" s="331" t="s">
        <v>170</v>
      </c>
    </row>
    <row r="145" spans="1:1" x14ac:dyDescent="0.2">
      <c r="A145" s="331" t="s">
        <v>172</v>
      </c>
    </row>
    <row r="146" spans="1:1" x14ac:dyDescent="0.2">
      <c r="A146" s="331" t="s">
        <v>174</v>
      </c>
    </row>
    <row r="147" spans="1:1" x14ac:dyDescent="0.2">
      <c r="A147" s="331" t="s">
        <v>176</v>
      </c>
    </row>
    <row r="148" spans="1:1" x14ac:dyDescent="0.2">
      <c r="A148" s="331" t="s">
        <v>178</v>
      </c>
    </row>
    <row r="149" spans="1:1" x14ac:dyDescent="0.2">
      <c r="A149" s="331" t="s">
        <v>180</v>
      </c>
    </row>
    <row r="150" spans="1:1" x14ac:dyDescent="0.2">
      <c r="A150" s="331" t="s">
        <v>723</v>
      </c>
    </row>
    <row r="151" spans="1:1" x14ac:dyDescent="0.2">
      <c r="A151" s="331" t="s">
        <v>184</v>
      </c>
    </row>
    <row r="152" spans="1:1" x14ac:dyDescent="0.2">
      <c r="A152" s="331" t="s">
        <v>186</v>
      </c>
    </row>
    <row r="153" spans="1:1" x14ac:dyDescent="0.2">
      <c r="A153" s="331" t="s">
        <v>188</v>
      </c>
    </row>
    <row r="154" spans="1:1" x14ac:dyDescent="0.2">
      <c r="A154" s="331" t="s">
        <v>190</v>
      </c>
    </row>
    <row r="155" spans="1:1" x14ac:dyDescent="0.2">
      <c r="A155" s="331" t="s">
        <v>192</v>
      </c>
    </row>
    <row r="156" spans="1:1" x14ac:dyDescent="0.2">
      <c r="A156" s="331" t="s">
        <v>724</v>
      </c>
    </row>
    <row r="157" spans="1:1" x14ac:dyDescent="0.2">
      <c r="A157" s="331" t="s">
        <v>196</v>
      </c>
    </row>
    <row r="158" spans="1:1" x14ac:dyDescent="0.2">
      <c r="A158" s="331" t="s">
        <v>198</v>
      </c>
    </row>
    <row r="159" spans="1:1" x14ac:dyDescent="0.2">
      <c r="A159" s="331" t="s">
        <v>1117</v>
      </c>
    </row>
    <row r="160" spans="1:1" x14ac:dyDescent="0.2">
      <c r="A160" s="331" t="s">
        <v>202</v>
      </c>
    </row>
    <row r="161" spans="1:1" x14ac:dyDescent="0.2">
      <c r="A161" s="331" t="s">
        <v>204</v>
      </c>
    </row>
    <row r="162" spans="1:1" x14ac:dyDescent="0.2">
      <c r="A162" s="331" t="s">
        <v>725</v>
      </c>
    </row>
    <row r="163" spans="1:1" x14ac:dyDescent="0.2">
      <c r="A163" s="331" t="s">
        <v>208</v>
      </c>
    </row>
    <row r="164" spans="1:1" x14ac:dyDescent="0.2">
      <c r="A164" s="331" t="s">
        <v>210</v>
      </c>
    </row>
    <row r="165" spans="1:1" x14ac:dyDescent="0.2">
      <c r="A165" s="331" t="s">
        <v>212</v>
      </c>
    </row>
    <row r="166" spans="1:1" x14ac:dyDescent="0.2">
      <c r="A166" s="331" t="s">
        <v>214</v>
      </c>
    </row>
    <row r="167" spans="1:1" x14ac:dyDescent="0.2">
      <c r="A167" s="331" t="s">
        <v>216</v>
      </c>
    </row>
    <row r="168" spans="1:1" x14ac:dyDescent="0.2">
      <c r="A168" s="331" t="s">
        <v>218</v>
      </c>
    </row>
    <row r="169" spans="1:1" x14ac:dyDescent="0.2">
      <c r="A169" s="331" t="s">
        <v>726</v>
      </c>
    </row>
    <row r="170" spans="1:1" x14ac:dyDescent="0.2">
      <c r="A170" s="331" t="s">
        <v>727</v>
      </c>
    </row>
    <row r="171" spans="1:1" x14ac:dyDescent="0.2">
      <c r="A171" s="331" t="s">
        <v>224</v>
      </c>
    </row>
    <row r="172" spans="1:1" x14ac:dyDescent="0.2">
      <c r="A172" s="331" t="s">
        <v>226</v>
      </c>
    </row>
    <row r="173" spans="1:1" x14ac:dyDescent="0.2">
      <c r="A173" s="331" t="s">
        <v>728</v>
      </c>
    </row>
    <row r="174" spans="1:1" x14ac:dyDescent="0.2">
      <c r="A174" s="331" t="s">
        <v>1118</v>
      </c>
    </row>
    <row r="175" spans="1:1" x14ac:dyDescent="0.2">
      <c r="A175" s="331" t="s">
        <v>232</v>
      </c>
    </row>
    <row r="176" spans="1:1" x14ac:dyDescent="0.2">
      <c r="A176" s="331" t="s">
        <v>234</v>
      </c>
    </row>
    <row r="177" spans="1:1" x14ac:dyDescent="0.2">
      <c r="A177" s="331" t="s">
        <v>236</v>
      </c>
    </row>
    <row r="178" spans="1:1" x14ac:dyDescent="0.2">
      <c r="A178" s="331" t="s">
        <v>238</v>
      </c>
    </row>
    <row r="179" spans="1:1" x14ac:dyDescent="0.2">
      <c r="A179" s="331" t="s">
        <v>240</v>
      </c>
    </row>
    <row r="180" spans="1:1" x14ac:dyDescent="0.2">
      <c r="A180" s="331" t="s">
        <v>729</v>
      </c>
    </row>
    <row r="181" spans="1:1" x14ac:dyDescent="0.2">
      <c r="A181" s="331" t="s">
        <v>244</v>
      </c>
    </row>
    <row r="182" spans="1:1" x14ac:dyDescent="0.2">
      <c r="A182" s="331" t="s">
        <v>246</v>
      </c>
    </row>
    <row r="183" spans="1:1" x14ac:dyDescent="0.2">
      <c r="A183" s="331" t="s">
        <v>730</v>
      </c>
    </row>
    <row r="184" spans="1:1" x14ac:dyDescent="0.2">
      <c r="A184" s="331" t="s">
        <v>250</v>
      </c>
    </row>
    <row r="185" spans="1:1" x14ac:dyDescent="0.2">
      <c r="A185" s="331" t="s">
        <v>731</v>
      </c>
    </row>
    <row r="186" spans="1:1" x14ac:dyDescent="0.2">
      <c r="A186" s="331" t="s">
        <v>254</v>
      </c>
    </row>
    <row r="187" spans="1:1" x14ac:dyDescent="0.2">
      <c r="A187" s="331" t="s">
        <v>256</v>
      </c>
    </row>
    <row r="188" spans="1:1" x14ac:dyDescent="0.2">
      <c r="A188" s="331" t="s">
        <v>258</v>
      </c>
    </row>
    <row r="189" spans="1:1" x14ac:dyDescent="0.2">
      <c r="A189" s="331" t="s">
        <v>260</v>
      </c>
    </row>
    <row r="190" spans="1:1" x14ac:dyDescent="0.2">
      <c r="A190" s="331" t="s">
        <v>262</v>
      </c>
    </row>
    <row r="191" spans="1:1" x14ac:dyDescent="0.2">
      <c r="A191" s="331" t="s">
        <v>264</v>
      </c>
    </row>
    <row r="192" spans="1:1" x14ac:dyDescent="0.2">
      <c r="A192" s="331" t="s">
        <v>732</v>
      </c>
    </row>
    <row r="193" spans="1:1" x14ac:dyDescent="0.2">
      <c r="A193" s="331" t="s">
        <v>733</v>
      </c>
    </row>
    <row r="194" spans="1:1" x14ac:dyDescent="0.2">
      <c r="A194" s="331" t="s">
        <v>734</v>
      </c>
    </row>
    <row r="195" spans="1:1" x14ac:dyDescent="0.2">
      <c r="A195" s="331" t="s">
        <v>272</v>
      </c>
    </row>
    <row r="196" spans="1:1" x14ac:dyDescent="0.2">
      <c r="A196" s="331" t="s">
        <v>274</v>
      </c>
    </row>
    <row r="197" spans="1:1" x14ac:dyDescent="0.2">
      <c r="A197" s="331" t="s">
        <v>276</v>
      </c>
    </row>
    <row r="198" spans="1:1" x14ac:dyDescent="0.2">
      <c r="A198" s="331" t="s">
        <v>735</v>
      </c>
    </row>
    <row r="199" spans="1:1" x14ac:dyDescent="0.2">
      <c r="A199" s="331" t="s">
        <v>736</v>
      </c>
    </row>
    <row r="200" spans="1:1" x14ac:dyDescent="0.2">
      <c r="A200" s="331" t="s">
        <v>737</v>
      </c>
    </row>
    <row r="201" spans="1:1" x14ac:dyDescent="0.2">
      <c r="A201" s="331" t="s">
        <v>738</v>
      </c>
    </row>
    <row r="202" spans="1:1" x14ac:dyDescent="0.2">
      <c r="A202" s="331" t="s">
        <v>286</v>
      </c>
    </row>
    <row r="203" spans="1:1" x14ac:dyDescent="0.2">
      <c r="A203" s="331" t="s">
        <v>288</v>
      </c>
    </row>
    <row r="204" spans="1:1" x14ac:dyDescent="0.2">
      <c r="A204" s="331" t="s">
        <v>739</v>
      </c>
    </row>
    <row r="205" spans="1:1" x14ac:dyDescent="0.2">
      <c r="A205" s="331" t="s">
        <v>292</v>
      </c>
    </row>
    <row r="206" spans="1:1" x14ac:dyDescent="0.2">
      <c r="A206" s="331" t="s">
        <v>740</v>
      </c>
    </row>
    <row r="207" spans="1:1" x14ac:dyDescent="0.2">
      <c r="A207" s="331" t="s">
        <v>296</v>
      </c>
    </row>
    <row r="208" spans="1:1" x14ac:dyDescent="0.2">
      <c r="A208" s="331" t="s">
        <v>741</v>
      </c>
    </row>
    <row r="209" spans="1:1" x14ac:dyDescent="0.2">
      <c r="A209" s="331" t="s">
        <v>300</v>
      </c>
    </row>
    <row r="210" spans="1:1" x14ac:dyDescent="0.2">
      <c r="A210" s="331" t="s">
        <v>302</v>
      </c>
    </row>
    <row r="211" spans="1:1" x14ac:dyDescent="0.2">
      <c r="A211" s="331" t="s">
        <v>304</v>
      </c>
    </row>
    <row r="212" spans="1:1" x14ac:dyDescent="0.2">
      <c r="A212" s="331" t="s">
        <v>306</v>
      </c>
    </row>
    <row r="213" spans="1:1" x14ac:dyDescent="0.2">
      <c r="A213" s="331" t="s">
        <v>308</v>
      </c>
    </row>
    <row r="214" spans="1:1" x14ac:dyDescent="0.2">
      <c r="A214" s="331" t="s">
        <v>310</v>
      </c>
    </row>
    <row r="215" spans="1:1" x14ac:dyDescent="0.2">
      <c r="A215" s="331" t="s">
        <v>312</v>
      </c>
    </row>
    <row r="216" spans="1:1" x14ac:dyDescent="0.2">
      <c r="A216" s="331" t="s">
        <v>314</v>
      </c>
    </row>
    <row r="217" spans="1:1" x14ac:dyDescent="0.2">
      <c r="A217" s="331" t="s">
        <v>316</v>
      </c>
    </row>
    <row r="218" spans="1:1" x14ac:dyDescent="0.2">
      <c r="A218" s="331" t="s">
        <v>318</v>
      </c>
    </row>
    <row r="219" spans="1:1" x14ac:dyDescent="0.2">
      <c r="A219" s="331" t="s">
        <v>320</v>
      </c>
    </row>
    <row r="220" spans="1:1" x14ac:dyDescent="0.2">
      <c r="A220" s="331" t="s">
        <v>322</v>
      </c>
    </row>
    <row r="221" spans="1:1" x14ac:dyDescent="0.2">
      <c r="A221" s="331" t="s">
        <v>742</v>
      </c>
    </row>
    <row r="222" spans="1:1" x14ac:dyDescent="0.2">
      <c r="A222" s="331" t="s">
        <v>326</v>
      </c>
    </row>
    <row r="223" spans="1:1" x14ac:dyDescent="0.2">
      <c r="A223" s="331" t="s">
        <v>328</v>
      </c>
    </row>
    <row r="224" spans="1:1" x14ac:dyDescent="0.2">
      <c r="A224" s="331" t="s">
        <v>330</v>
      </c>
    </row>
    <row r="225" spans="1:1" x14ac:dyDescent="0.2">
      <c r="A225" s="331" t="s">
        <v>332</v>
      </c>
    </row>
    <row r="226" spans="1:1" x14ac:dyDescent="0.2">
      <c r="A226" s="331" t="s">
        <v>334</v>
      </c>
    </row>
    <row r="227" spans="1:1" x14ac:dyDescent="0.2">
      <c r="A227" s="331" t="s">
        <v>336</v>
      </c>
    </row>
    <row r="228" spans="1:1" x14ac:dyDescent="0.2">
      <c r="A228" s="331" t="s">
        <v>338</v>
      </c>
    </row>
    <row r="229" spans="1:1" x14ac:dyDescent="0.2">
      <c r="A229" s="331" t="s">
        <v>340</v>
      </c>
    </row>
    <row r="230" spans="1:1" x14ac:dyDescent="0.2">
      <c r="A230" s="331" t="s">
        <v>342</v>
      </c>
    </row>
    <row r="231" spans="1:1" x14ac:dyDescent="0.2">
      <c r="A231" s="331" t="s">
        <v>344</v>
      </c>
    </row>
    <row r="232" spans="1:1" x14ac:dyDescent="0.2">
      <c r="A232" s="331" t="s">
        <v>346</v>
      </c>
    </row>
    <row r="233" spans="1:1" x14ac:dyDescent="0.2">
      <c r="A233" s="331" t="s">
        <v>743</v>
      </c>
    </row>
    <row r="234" spans="1:1" x14ac:dyDescent="0.2">
      <c r="A234" s="331" t="s">
        <v>350</v>
      </c>
    </row>
    <row r="235" spans="1:1" x14ac:dyDescent="0.2">
      <c r="A235" s="331" t="s">
        <v>352</v>
      </c>
    </row>
    <row r="236" spans="1:1" x14ac:dyDescent="0.2">
      <c r="A236" s="331" t="s">
        <v>354</v>
      </c>
    </row>
    <row r="237" spans="1:1" x14ac:dyDescent="0.2">
      <c r="A237" s="331" t="s">
        <v>356</v>
      </c>
    </row>
    <row r="238" spans="1:1" x14ac:dyDescent="0.2">
      <c r="A238" s="331" t="s">
        <v>744</v>
      </c>
    </row>
    <row r="239" spans="1:1" x14ac:dyDescent="0.2">
      <c r="A239" s="331" t="s">
        <v>360</v>
      </c>
    </row>
    <row r="240" spans="1:1" x14ac:dyDescent="0.2">
      <c r="A240" s="331" t="s">
        <v>362</v>
      </c>
    </row>
    <row r="241" spans="1:1" x14ac:dyDescent="0.2">
      <c r="A241" s="331" t="s">
        <v>364</v>
      </c>
    </row>
    <row r="242" spans="1:1" x14ac:dyDescent="0.2">
      <c r="A242" s="331" t="s">
        <v>366</v>
      </c>
    </row>
    <row r="243" spans="1:1" x14ac:dyDescent="0.2">
      <c r="A243" s="331" t="s">
        <v>368</v>
      </c>
    </row>
    <row r="244" spans="1:1" x14ac:dyDescent="0.2">
      <c r="A244" s="331" t="s">
        <v>370</v>
      </c>
    </row>
    <row r="245" spans="1:1" x14ac:dyDescent="0.2">
      <c r="A245" s="331" t="s">
        <v>372</v>
      </c>
    </row>
    <row r="246" spans="1:1" x14ac:dyDescent="0.2">
      <c r="A246" s="331" t="s">
        <v>374</v>
      </c>
    </row>
    <row r="247" spans="1:1" x14ac:dyDescent="0.2">
      <c r="A247" s="331" t="s">
        <v>376</v>
      </c>
    </row>
    <row r="248" spans="1:1" x14ac:dyDescent="0.2">
      <c r="A248" s="331" t="s">
        <v>378</v>
      </c>
    </row>
    <row r="249" spans="1:1" x14ac:dyDescent="0.2">
      <c r="A249" s="331" t="s">
        <v>380</v>
      </c>
    </row>
    <row r="250" spans="1:1" x14ac:dyDescent="0.2">
      <c r="A250" s="331" t="s">
        <v>745</v>
      </c>
    </row>
    <row r="251" spans="1:1" x14ac:dyDescent="0.2">
      <c r="A251" s="331" t="s">
        <v>746</v>
      </c>
    </row>
    <row r="252" spans="1:1" x14ac:dyDescent="0.2">
      <c r="A252" s="331" t="s">
        <v>386</v>
      </c>
    </row>
    <row r="253" spans="1:1" x14ac:dyDescent="0.2">
      <c r="A253" s="331" t="s">
        <v>388</v>
      </c>
    </row>
    <row r="254" spans="1:1" x14ac:dyDescent="0.2">
      <c r="A254" s="331" t="s">
        <v>390</v>
      </c>
    </row>
    <row r="255" spans="1:1" x14ac:dyDescent="0.2">
      <c r="A255" s="331" t="s">
        <v>392</v>
      </c>
    </row>
    <row r="256" spans="1:1" x14ac:dyDescent="0.2">
      <c r="A256" s="331" t="s">
        <v>394</v>
      </c>
    </row>
    <row r="257" spans="1:1" x14ac:dyDescent="0.2">
      <c r="A257" s="331" t="s">
        <v>396</v>
      </c>
    </row>
    <row r="258" spans="1:1" x14ac:dyDescent="0.2">
      <c r="A258" s="331" t="s">
        <v>398</v>
      </c>
    </row>
    <row r="259" spans="1:1" x14ac:dyDescent="0.2">
      <c r="A259" s="331" t="s">
        <v>400</v>
      </c>
    </row>
    <row r="260" spans="1:1" x14ac:dyDescent="0.2">
      <c r="A260" s="331" t="s">
        <v>402</v>
      </c>
    </row>
    <row r="261" spans="1:1" x14ac:dyDescent="0.2">
      <c r="A261" s="331" t="s">
        <v>747</v>
      </c>
    </row>
    <row r="262" spans="1:1" x14ac:dyDescent="0.2">
      <c r="A262" s="331" t="s">
        <v>748</v>
      </c>
    </row>
    <row r="263" spans="1:1" x14ac:dyDescent="0.2">
      <c r="A263" s="331" t="s">
        <v>408</v>
      </c>
    </row>
    <row r="264" spans="1:1" x14ac:dyDescent="0.2">
      <c r="A264" s="331" t="s">
        <v>410</v>
      </c>
    </row>
    <row r="265" spans="1:1" x14ac:dyDescent="0.2">
      <c r="A265" s="331" t="s">
        <v>412</v>
      </c>
    </row>
    <row r="266" spans="1:1" x14ac:dyDescent="0.2">
      <c r="A266" s="331" t="s">
        <v>414</v>
      </c>
    </row>
    <row r="267" spans="1:1" x14ac:dyDescent="0.2">
      <c r="A267" s="331" t="s">
        <v>416</v>
      </c>
    </row>
    <row r="268" spans="1:1" x14ac:dyDescent="0.2">
      <c r="A268" s="331" t="s">
        <v>418</v>
      </c>
    </row>
    <row r="269" spans="1:1" x14ac:dyDescent="0.2">
      <c r="A269" s="331" t="s">
        <v>420</v>
      </c>
    </row>
    <row r="270" spans="1:1" x14ac:dyDescent="0.2">
      <c r="A270" s="331" t="s">
        <v>749</v>
      </c>
    </row>
    <row r="271" spans="1:1" x14ac:dyDescent="0.2">
      <c r="A271" s="331" t="s">
        <v>424</v>
      </c>
    </row>
    <row r="272" spans="1:1" x14ac:dyDescent="0.2">
      <c r="A272" s="331" t="s">
        <v>426</v>
      </c>
    </row>
    <row r="273" spans="1:1" x14ac:dyDescent="0.2">
      <c r="A273" s="331" t="s">
        <v>428</v>
      </c>
    </row>
    <row r="274" spans="1:1" x14ac:dyDescent="0.2">
      <c r="A274" s="331" t="s">
        <v>430</v>
      </c>
    </row>
    <row r="275" spans="1:1" x14ac:dyDescent="0.2">
      <c r="A275" s="331" t="s">
        <v>432</v>
      </c>
    </row>
    <row r="276" spans="1:1" x14ac:dyDescent="0.2">
      <c r="A276" s="331" t="s">
        <v>750</v>
      </c>
    </row>
    <row r="277" spans="1:1" x14ac:dyDescent="0.2">
      <c r="A277" s="331" t="s">
        <v>436</v>
      </c>
    </row>
    <row r="278" spans="1:1" x14ac:dyDescent="0.2">
      <c r="A278" s="331" t="s">
        <v>438</v>
      </c>
    </row>
    <row r="279" spans="1:1" x14ac:dyDescent="0.2">
      <c r="A279" s="331" t="s">
        <v>440</v>
      </c>
    </row>
    <row r="280" spans="1:1" x14ac:dyDescent="0.2">
      <c r="A280" s="331" t="s">
        <v>442</v>
      </c>
    </row>
    <row r="281" spans="1:1" x14ac:dyDescent="0.2">
      <c r="A281" s="331" t="s">
        <v>444</v>
      </c>
    </row>
    <row r="282" spans="1:1" x14ac:dyDescent="0.2">
      <c r="A282" s="331" t="s">
        <v>751</v>
      </c>
    </row>
    <row r="283" spans="1:1" x14ac:dyDescent="0.2">
      <c r="A283" s="331" t="s">
        <v>752</v>
      </c>
    </row>
    <row r="284" spans="1:1" x14ac:dyDescent="0.2">
      <c r="A284" s="331" t="s">
        <v>753</v>
      </c>
    </row>
    <row r="285" spans="1:1" x14ac:dyDescent="0.2">
      <c r="A285" s="331" t="s">
        <v>452</v>
      </c>
    </row>
    <row r="286" spans="1:1" x14ac:dyDescent="0.2">
      <c r="A286" s="331" t="s">
        <v>454</v>
      </c>
    </row>
    <row r="287" spans="1:1" x14ac:dyDescent="0.2">
      <c r="A287" s="331" t="s">
        <v>456</v>
      </c>
    </row>
    <row r="288" spans="1:1" x14ac:dyDescent="0.2">
      <c r="A288" s="331" t="s">
        <v>458</v>
      </c>
    </row>
    <row r="289" spans="1:1" x14ac:dyDescent="0.2">
      <c r="A289" s="331" t="s">
        <v>460</v>
      </c>
    </row>
    <row r="290" spans="1:1" x14ac:dyDescent="0.2">
      <c r="A290" s="331" t="s">
        <v>462</v>
      </c>
    </row>
    <row r="291" spans="1:1" x14ac:dyDescent="0.2">
      <c r="A291" s="331" t="s">
        <v>464</v>
      </c>
    </row>
    <row r="292" spans="1:1" x14ac:dyDescent="0.2">
      <c r="A292" s="331" t="s">
        <v>466</v>
      </c>
    </row>
    <row r="293" spans="1:1" x14ac:dyDescent="0.2">
      <c r="A293" s="331" t="s">
        <v>468</v>
      </c>
    </row>
    <row r="294" spans="1:1" x14ac:dyDescent="0.2">
      <c r="A294" s="331" t="s">
        <v>470</v>
      </c>
    </row>
    <row r="295" spans="1:1" x14ac:dyDescent="0.2">
      <c r="A295" s="331" t="s">
        <v>754</v>
      </c>
    </row>
    <row r="296" spans="1:1" x14ac:dyDescent="0.2">
      <c r="A296" s="331" t="s">
        <v>474</v>
      </c>
    </row>
    <row r="297" spans="1:1" x14ac:dyDescent="0.2">
      <c r="A297" s="331" t="s">
        <v>476</v>
      </c>
    </row>
    <row r="298" spans="1:1" x14ac:dyDescent="0.2">
      <c r="A298" s="331" t="s">
        <v>478</v>
      </c>
    </row>
    <row r="299" spans="1:1" x14ac:dyDescent="0.2">
      <c r="A299" s="331" t="s">
        <v>480</v>
      </c>
    </row>
    <row r="300" spans="1:1" x14ac:dyDescent="0.2">
      <c r="A300" s="331" t="s">
        <v>482</v>
      </c>
    </row>
    <row r="301" spans="1:1" x14ac:dyDescent="0.2">
      <c r="A301" s="331" t="s">
        <v>484</v>
      </c>
    </row>
    <row r="302" spans="1:1" x14ac:dyDescent="0.2">
      <c r="A302" s="331" t="s">
        <v>486</v>
      </c>
    </row>
    <row r="303" spans="1:1" x14ac:dyDescent="0.2">
      <c r="A303" s="331" t="s">
        <v>755</v>
      </c>
    </row>
    <row r="304" spans="1:1" x14ac:dyDescent="0.2">
      <c r="A304" s="331" t="s">
        <v>490</v>
      </c>
    </row>
    <row r="305" spans="1:1" x14ac:dyDescent="0.2">
      <c r="A305" s="331" t="s">
        <v>492</v>
      </c>
    </row>
    <row r="306" spans="1:1" x14ac:dyDescent="0.2">
      <c r="A306" s="331" t="s">
        <v>494</v>
      </c>
    </row>
    <row r="307" spans="1:1" x14ac:dyDescent="0.2">
      <c r="A307" s="331" t="s">
        <v>496</v>
      </c>
    </row>
    <row r="308" spans="1:1" x14ac:dyDescent="0.2">
      <c r="A308" s="331" t="s">
        <v>498</v>
      </c>
    </row>
    <row r="309" spans="1:1" x14ac:dyDescent="0.2">
      <c r="A309" s="331" t="s">
        <v>500</v>
      </c>
    </row>
    <row r="310" spans="1:1" x14ac:dyDescent="0.2">
      <c r="A310" s="331" t="s">
        <v>502</v>
      </c>
    </row>
    <row r="311" spans="1:1" x14ac:dyDescent="0.2">
      <c r="A311" s="331" t="s">
        <v>756</v>
      </c>
    </row>
    <row r="312" spans="1:1" x14ac:dyDescent="0.2">
      <c r="A312" s="331" t="s">
        <v>506</v>
      </c>
    </row>
    <row r="313" spans="1:1" x14ac:dyDescent="0.2">
      <c r="A313" s="331" t="s">
        <v>508</v>
      </c>
    </row>
    <row r="314" spans="1:1" x14ac:dyDescent="0.2">
      <c r="A314" s="331" t="s">
        <v>510</v>
      </c>
    </row>
    <row r="315" spans="1:1" x14ac:dyDescent="0.2">
      <c r="A315" s="331" t="s">
        <v>757</v>
      </c>
    </row>
    <row r="316" spans="1:1" x14ac:dyDescent="0.2">
      <c r="A316" s="331" t="s">
        <v>514</v>
      </c>
    </row>
    <row r="317" spans="1:1" x14ac:dyDescent="0.2">
      <c r="A317" s="331" t="s">
        <v>516</v>
      </c>
    </row>
    <row r="318" spans="1:1" x14ac:dyDescent="0.2">
      <c r="A318" s="331" t="s">
        <v>758</v>
      </c>
    </row>
    <row r="319" spans="1:1" x14ac:dyDescent="0.2">
      <c r="A319" s="331" t="s">
        <v>520</v>
      </c>
    </row>
    <row r="320" spans="1:1" x14ac:dyDescent="0.2">
      <c r="A320" s="331" t="s">
        <v>522</v>
      </c>
    </row>
    <row r="321" spans="1:2" x14ac:dyDescent="0.2">
      <c r="A321" s="331" t="s">
        <v>524</v>
      </c>
    </row>
    <row r="322" spans="1:2" x14ac:dyDescent="0.2">
      <c r="A322" s="331" t="s">
        <v>526</v>
      </c>
    </row>
    <row r="323" spans="1:2" x14ac:dyDescent="0.2">
      <c r="A323" s="331" t="s">
        <v>528</v>
      </c>
    </row>
    <row r="324" spans="1:2" x14ac:dyDescent="0.2">
      <c r="A324" s="331" t="s">
        <v>530</v>
      </c>
    </row>
    <row r="325" spans="1:2" x14ac:dyDescent="0.2">
      <c r="A325" s="331" t="s">
        <v>532</v>
      </c>
    </row>
    <row r="326" spans="1:2" x14ac:dyDescent="0.2">
      <c r="A326" s="331" t="s">
        <v>759</v>
      </c>
    </row>
    <row r="327" spans="1:2" x14ac:dyDescent="0.2">
      <c r="A327" s="332" t="s">
        <v>706</v>
      </c>
      <c r="B327" s="259"/>
    </row>
    <row r="328" spans="1:2" x14ac:dyDescent="0.2">
      <c r="A328" s="330" t="s">
        <v>1106</v>
      </c>
    </row>
    <row r="329" spans="1:2" x14ac:dyDescent="0.2">
      <c r="A329" s="330" t="s">
        <v>1107</v>
      </c>
    </row>
    <row r="330" spans="1:2" x14ac:dyDescent="0.2">
      <c r="A330" s="330" t="s">
        <v>1108</v>
      </c>
    </row>
    <row r="331" spans="1:2" x14ac:dyDescent="0.2">
      <c r="A331" s="330" t="s">
        <v>1109</v>
      </c>
    </row>
    <row r="332" spans="1:2" x14ac:dyDescent="0.2">
      <c r="A332" s="330" t="s">
        <v>1110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71"/>
  <sheetViews>
    <sheetView showGridLines="0" topLeftCell="A5" zoomScaleNormal="100" zoomScaleSheetLayoutView="100" workbookViewId="0">
      <selection activeCell="P15" sqref="P15:Q15"/>
    </sheetView>
  </sheetViews>
  <sheetFormatPr defaultRowHeight="12.75" x14ac:dyDescent="0.2"/>
  <cols>
    <col min="1" max="2" width="1.7109375" customWidth="1"/>
    <col min="3" max="3" width="21.42578125" customWidth="1"/>
    <col min="4" max="4" width="11" customWidth="1"/>
    <col min="5" max="5" width="21.42578125" customWidth="1"/>
    <col min="6" max="6" width="8.85546875" customWidth="1"/>
    <col min="7" max="8" width="9.140625" customWidth="1"/>
    <col min="9" max="9" width="2.85546875" customWidth="1"/>
    <col min="10" max="11" width="9.140625" customWidth="1"/>
    <col min="12" max="12" width="2.7109375" customWidth="1"/>
    <col min="13" max="14" width="9.140625" customWidth="1"/>
    <col min="15" max="15" width="10" customWidth="1"/>
    <col min="16" max="17" width="9.140625" customWidth="1"/>
    <col min="18" max="18" width="3.7109375" customWidth="1"/>
    <col min="19" max="19" width="2.85546875" customWidth="1"/>
  </cols>
  <sheetData>
    <row r="1" spans="1:20" ht="18.75" customHeight="1" x14ac:dyDescent="0.2">
      <c r="A1" s="198"/>
      <c r="B1" s="199"/>
      <c r="C1" s="199"/>
      <c r="D1" s="199"/>
      <c r="E1" s="199"/>
      <c r="F1" s="200">
        <f>+'Part 1'!F1</f>
        <v>327</v>
      </c>
      <c r="G1" s="199"/>
      <c r="H1" s="199"/>
      <c r="I1" s="199"/>
      <c r="J1" s="199"/>
      <c r="K1" s="199"/>
      <c r="L1" s="199"/>
      <c r="M1" s="199"/>
      <c r="N1" s="199"/>
      <c r="O1" s="199"/>
      <c r="P1" s="199"/>
      <c r="Q1" s="199"/>
      <c r="R1" s="201"/>
      <c r="S1" s="202"/>
    </row>
    <row r="2" spans="1:20" ht="18.75" customHeight="1" x14ac:dyDescent="0.2">
      <c r="A2" s="152"/>
      <c r="B2" s="153"/>
      <c r="C2" s="153"/>
      <c r="D2" s="153"/>
      <c r="E2" s="153"/>
      <c r="F2" s="154"/>
      <c r="G2" s="153"/>
      <c r="H2" s="153"/>
      <c r="I2" s="153"/>
      <c r="J2" s="153"/>
      <c r="K2" s="153"/>
      <c r="L2" s="153"/>
      <c r="M2" s="153"/>
      <c r="N2" s="153"/>
      <c r="O2" s="153"/>
      <c r="P2" s="153"/>
      <c r="Q2" s="153"/>
      <c r="R2" s="105"/>
      <c r="S2" s="161"/>
    </row>
    <row r="3" spans="1:20" s="157" customFormat="1" ht="18.75" customHeight="1" x14ac:dyDescent="0.3">
      <c r="A3" s="384" t="s">
        <v>852</v>
      </c>
      <c r="B3" s="385"/>
      <c r="C3" s="385"/>
      <c r="D3" s="385"/>
      <c r="E3" s="385"/>
      <c r="F3" s="385"/>
      <c r="G3" s="385"/>
      <c r="H3" s="385"/>
      <c r="I3" s="385"/>
      <c r="J3" s="385"/>
      <c r="K3" s="385"/>
      <c r="L3" s="385"/>
      <c r="M3" s="385"/>
      <c r="N3" s="385"/>
      <c r="O3" s="385"/>
      <c r="P3" s="385"/>
      <c r="Q3" s="385"/>
      <c r="R3" s="385"/>
      <c r="S3" s="386"/>
    </row>
    <row r="4" spans="1:20" s="157" customFormat="1" ht="18.75" customHeight="1" x14ac:dyDescent="0.3">
      <c r="A4" s="384" t="s">
        <v>853</v>
      </c>
      <c r="B4" s="387"/>
      <c r="C4" s="387"/>
      <c r="D4" s="387"/>
      <c r="E4" s="387"/>
      <c r="F4" s="387"/>
      <c r="G4" s="387"/>
      <c r="H4" s="387"/>
      <c r="I4" s="387"/>
      <c r="J4" s="387"/>
      <c r="K4" s="387"/>
      <c r="L4" s="387"/>
      <c r="M4" s="387"/>
      <c r="N4" s="387"/>
      <c r="O4" s="387"/>
      <c r="P4" s="387"/>
      <c r="Q4" s="387"/>
      <c r="R4" s="387"/>
      <c r="S4" s="388"/>
    </row>
    <row r="5" spans="1:20" ht="18.75" customHeight="1" x14ac:dyDescent="0.25">
      <c r="A5" s="380"/>
      <c r="B5" s="381"/>
      <c r="C5" s="381"/>
      <c r="D5" s="381"/>
      <c r="E5" s="381"/>
      <c r="F5" s="381"/>
      <c r="G5" s="381"/>
      <c r="H5" s="381"/>
      <c r="I5" s="381"/>
      <c r="J5" s="381"/>
      <c r="K5" s="381"/>
      <c r="L5" s="381"/>
      <c r="M5" s="381"/>
      <c r="N5" s="381"/>
      <c r="O5" s="381"/>
      <c r="P5" s="381"/>
      <c r="Q5" s="381"/>
      <c r="R5" s="381"/>
      <c r="S5" s="382"/>
    </row>
    <row r="6" spans="1:20" ht="18.75" customHeight="1" thickBot="1" x14ac:dyDescent="0.25">
      <c r="A6" s="54"/>
      <c r="B6" s="55"/>
      <c r="C6" s="55"/>
      <c r="D6" s="55"/>
      <c r="E6" s="55"/>
      <c r="F6" s="55"/>
      <c r="G6" s="55"/>
      <c r="H6" s="55"/>
      <c r="I6" s="55"/>
      <c r="J6" s="55"/>
      <c r="K6" s="55"/>
      <c r="L6" s="55"/>
      <c r="M6" s="55"/>
      <c r="N6" s="55"/>
      <c r="O6" s="55"/>
      <c r="P6" s="55"/>
      <c r="Q6" s="55"/>
      <c r="R6" s="50"/>
      <c r="S6" s="159"/>
    </row>
    <row r="7" spans="1:20" x14ac:dyDescent="0.2">
      <c r="A7" s="203"/>
      <c r="B7" s="204"/>
      <c r="C7" s="376"/>
      <c r="D7" s="376"/>
      <c r="E7" s="376"/>
      <c r="F7" s="376"/>
      <c r="G7" s="376"/>
      <c r="H7" s="376"/>
      <c r="I7" s="204"/>
      <c r="J7" s="204"/>
      <c r="K7" s="204"/>
      <c r="L7" s="204"/>
      <c r="M7" s="204"/>
      <c r="N7" s="204"/>
      <c r="O7" s="204"/>
      <c r="P7" s="204"/>
      <c r="Q7" s="204"/>
      <c r="R7" s="204"/>
      <c r="S7" s="205"/>
    </row>
    <row r="8" spans="1:20" s="26" customFormat="1" ht="18" x14ac:dyDescent="0.25">
      <c r="A8" s="30"/>
      <c r="B8" s="24"/>
      <c r="C8" s="58" t="str">
        <f>+CONCATENATE("Local Authority : ",VLOOKUP(F1,Part2,5,FALSE))</f>
        <v>Local Authority : England</v>
      </c>
      <c r="D8" s="58"/>
      <c r="E8" s="58"/>
      <c r="F8" s="51"/>
      <c r="G8" s="51"/>
      <c r="H8" s="51"/>
      <c r="I8" s="24"/>
      <c r="J8" s="24"/>
      <c r="K8" s="24"/>
      <c r="L8" s="24"/>
      <c r="M8" s="24"/>
      <c r="N8" s="24"/>
      <c r="O8" s="24"/>
      <c r="P8" s="24"/>
      <c r="Q8" s="24"/>
      <c r="R8" s="24"/>
      <c r="S8" s="25"/>
      <c r="T8"/>
    </row>
    <row r="9" spans="1:20" s="26" customFormat="1" ht="15.75" x14ac:dyDescent="0.25">
      <c r="A9" s="30"/>
      <c r="B9" s="51"/>
      <c r="C9" s="51"/>
      <c r="D9" s="51"/>
      <c r="E9" s="51"/>
      <c r="F9" s="51"/>
      <c r="G9" s="51"/>
      <c r="H9" s="51"/>
      <c r="I9" s="24"/>
      <c r="J9" s="24"/>
      <c r="K9" s="24"/>
      <c r="L9" s="24"/>
      <c r="M9" s="24"/>
      <c r="N9" s="24"/>
      <c r="O9" s="24"/>
      <c r="P9" s="24"/>
      <c r="Q9" s="24"/>
      <c r="R9" s="24"/>
      <c r="S9" s="25"/>
      <c r="T9"/>
    </row>
    <row r="10" spans="1:20" s="7" customFormat="1" ht="15.75" x14ac:dyDescent="0.25">
      <c r="A10" s="175"/>
      <c r="B10" s="11"/>
      <c r="C10" s="11" t="s">
        <v>854</v>
      </c>
      <c r="D10" s="11"/>
      <c r="E10" s="176"/>
      <c r="F10" s="15"/>
      <c r="G10" s="15"/>
      <c r="H10" s="15"/>
      <c r="I10" s="8"/>
      <c r="J10" s="8"/>
      <c r="K10" s="8"/>
      <c r="L10" s="8"/>
      <c r="M10" s="8"/>
      <c r="N10" s="8"/>
      <c r="O10" s="8"/>
      <c r="P10" s="8"/>
      <c r="Q10" s="8"/>
      <c r="R10" s="8"/>
      <c r="S10" s="10"/>
    </row>
    <row r="11" spans="1:20" s="7" customFormat="1" ht="15" x14ac:dyDescent="0.2">
      <c r="A11" s="177"/>
      <c r="B11" s="176"/>
      <c r="C11" s="176"/>
      <c r="D11" s="176"/>
      <c r="E11" s="176"/>
      <c r="F11" s="176"/>
      <c r="G11" s="383" t="s">
        <v>545</v>
      </c>
      <c r="H11" s="383"/>
      <c r="I11" s="178"/>
      <c r="J11" s="383" t="s">
        <v>546</v>
      </c>
      <c r="K11" s="383"/>
      <c r="L11" s="8"/>
      <c r="M11" s="383" t="s">
        <v>547</v>
      </c>
      <c r="N11" s="383"/>
      <c r="O11" s="178"/>
      <c r="P11" s="383" t="s">
        <v>548</v>
      </c>
      <c r="Q11" s="383"/>
      <c r="R11" s="178"/>
      <c r="S11" s="10"/>
    </row>
    <row r="12" spans="1:20" s="7" customFormat="1" ht="15.75" customHeight="1" x14ac:dyDescent="0.25">
      <c r="A12" s="177"/>
      <c r="B12" s="176"/>
      <c r="C12" s="176"/>
      <c r="D12" s="176"/>
      <c r="E12" s="176"/>
      <c r="F12" s="176"/>
      <c r="G12" s="389" t="s">
        <v>34</v>
      </c>
      <c r="H12" s="389"/>
      <c r="I12" s="13"/>
      <c r="J12" s="378" t="s">
        <v>549</v>
      </c>
      <c r="K12" s="378"/>
      <c r="L12" s="13"/>
      <c r="M12" s="378" t="s">
        <v>550</v>
      </c>
      <c r="N12" s="378"/>
      <c r="O12" s="13"/>
      <c r="P12" s="389" t="s">
        <v>33</v>
      </c>
      <c r="Q12" s="389"/>
      <c r="R12" s="13"/>
      <c r="S12" s="10"/>
    </row>
    <row r="13" spans="1:20" s="7" customFormat="1" ht="15.75" x14ac:dyDescent="0.25">
      <c r="A13" s="177"/>
      <c r="B13" s="176"/>
      <c r="C13" s="176"/>
      <c r="D13" s="176"/>
      <c r="E13" s="176"/>
      <c r="F13" s="176"/>
      <c r="G13" s="390"/>
      <c r="H13" s="390"/>
      <c r="I13" s="13"/>
      <c r="J13" s="8"/>
      <c r="K13" s="8"/>
      <c r="L13" s="8"/>
      <c r="M13" s="8"/>
      <c r="N13" s="8"/>
      <c r="O13" s="13"/>
      <c r="P13" s="389"/>
      <c r="Q13" s="389"/>
      <c r="R13" s="8"/>
      <c r="S13" s="10"/>
    </row>
    <row r="14" spans="1:20" s="7" customFormat="1" ht="16.5" thickBot="1" x14ac:dyDescent="0.3">
      <c r="A14" s="177"/>
      <c r="B14" s="11"/>
      <c r="C14" s="163" t="s">
        <v>558</v>
      </c>
      <c r="D14" s="163"/>
      <c r="E14" s="71"/>
      <c r="F14" s="176"/>
      <c r="G14" s="378" t="s">
        <v>542</v>
      </c>
      <c r="H14" s="378"/>
      <c r="I14" s="8"/>
      <c r="J14" s="378" t="s">
        <v>542</v>
      </c>
      <c r="K14" s="378"/>
      <c r="L14" s="8"/>
      <c r="M14" s="378" t="s">
        <v>542</v>
      </c>
      <c r="N14" s="378"/>
      <c r="O14" s="8"/>
      <c r="P14" s="378" t="s">
        <v>542</v>
      </c>
      <c r="Q14" s="378"/>
      <c r="R14" s="8"/>
      <c r="S14" s="10"/>
    </row>
    <row r="15" spans="1:20" s="7" customFormat="1" ht="16.5" thickBot="1" x14ac:dyDescent="0.3">
      <c r="A15" s="177"/>
      <c r="B15" s="176"/>
      <c r="C15" s="360" t="s">
        <v>578</v>
      </c>
      <c r="D15" s="360"/>
      <c r="E15" s="360"/>
      <c r="F15" s="176"/>
      <c r="G15" s="374">
        <f>VLOOKUP($F$1,Part2,6,FALSE)</f>
        <v>22596734280.900009</v>
      </c>
      <c r="H15" s="375"/>
      <c r="I15" s="59"/>
      <c r="J15" s="374">
        <f>VLOOKUP($F$1,Part2,7,FALSE)</f>
        <v>14226928</v>
      </c>
      <c r="K15" s="375"/>
      <c r="L15" s="59"/>
      <c r="M15" s="374">
        <f>VLOOKUP($F$1,Part2,8,FALSE)</f>
        <v>74390880.439999998</v>
      </c>
      <c r="N15" s="375"/>
      <c r="O15" s="59"/>
      <c r="P15" s="374">
        <f>VLOOKUP($F$1,Part2,9,FALSE)</f>
        <v>22685352089.200005</v>
      </c>
      <c r="Q15" s="375"/>
      <c r="R15" s="13"/>
      <c r="S15" s="10"/>
    </row>
    <row r="16" spans="1:20" s="7" customFormat="1" ht="15" x14ac:dyDescent="0.2">
      <c r="A16" s="177"/>
      <c r="B16" s="176"/>
      <c r="C16" s="360"/>
      <c r="D16" s="360"/>
      <c r="E16" s="360"/>
      <c r="F16" s="176"/>
      <c r="G16" s="59"/>
      <c r="H16" s="59"/>
      <c r="I16" s="59"/>
      <c r="J16" s="59"/>
      <c r="K16" s="59"/>
      <c r="L16" s="59"/>
      <c r="M16" s="59"/>
      <c r="N16" s="59"/>
      <c r="O16" s="59"/>
      <c r="P16" s="59"/>
      <c r="Q16" s="59"/>
      <c r="R16" s="8"/>
      <c r="S16" s="10"/>
    </row>
    <row r="17" spans="1:19" s="7" customFormat="1" ht="15" x14ac:dyDescent="0.2">
      <c r="A17" s="177"/>
      <c r="B17" s="176"/>
      <c r="C17" s="373"/>
      <c r="D17" s="373"/>
      <c r="E17" s="373"/>
      <c r="F17" s="176"/>
      <c r="G17" s="59"/>
      <c r="H17" s="59"/>
      <c r="I17" s="59"/>
      <c r="J17" s="59"/>
      <c r="K17" s="59"/>
      <c r="L17" s="59"/>
      <c r="M17" s="59"/>
      <c r="N17" s="59"/>
      <c r="O17" s="59"/>
      <c r="P17" s="59"/>
      <c r="Q17" s="59"/>
      <c r="R17" s="8"/>
      <c r="S17" s="10"/>
    </row>
    <row r="18" spans="1:19" s="7" customFormat="1" ht="15" x14ac:dyDescent="0.2">
      <c r="A18" s="177"/>
      <c r="B18" s="176"/>
      <c r="C18" s="71"/>
      <c r="D18" s="71"/>
      <c r="E18" s="71"/>
      <c r="F18" s="176"/>
      <c r="G18" s="59"/>
      <c r="H18" s="59"/>
      <c r="I18" s="59"/>
      <c r="J18" s="59"/>
      <c r="K18" s="59"/>
      <c r="L18" s="59"/>
      <c r="M18" s="59"/>
      <c r="N18" s="59"/>
      <c r="O18" s="59"/>
      <c r="P18" s="59"/>
      <c r="Q18" s="59"/>
      <c r="R18" s="8"/>
      <c r="S18" s="10"/>
    </row>
    <row r="19" spans="1:19" s="7" customFormat="1" ht="15.75" x14ac:dyDescent="0.25">
      <c r="A19" s="177"/>
      <c r="B19" s="15"/>
      <c r="C19" s="70" t="s">
        <v>855</v>
      </c>
      <c r="D19" s="71"/>
      <c r="E19" s="71"/>
      <c r="F19" s="176"/>
      <c r="G19" s="59"/>
      <c r="H19" s="59"/>
      <c r="I19" s="59"/>
      <c r="J19" s="59"/>
      <c r="K19" s="59"/>
      <c r="L19" s="59"/>
      <c r="M19" s="59"/>
      <c r="N19" s="59"/>
      <c r="O19" s="59"/>
      <c r="P19" s="59"/>
      <c r="Q19" s="59"/>
      <c r="R19" s="8"/>
      <c r="S19" s="10"/>
    </row>
    <row r="20" spans="1:19" s="7" customFormat="1" ht="15.75" x14ac:dyDescent="0.25">
      <c r="A20" s="177"/>
      <c r="B20" s="15"/>
      <c r="C20" s="70"/>
      <c r="D20" s="71"/>
      <c r="E20" s="71"/>
      <c r="F20" s="176"/>
      <c r="G20" s="59"/>
      <c r="H20" s="59"/>
      <c r="I20" s="59"/>
      <c r="J20" s="59"/>
      <c r="K20" s="59"/>
      <c r="L20" s="59"/>
      <c r="M20" s="59"/>
      <c r="N20" s="59"/>
      <c r="O20" s="59"/>
      <c r="P20" s="59"/>
      <c r="Q20" s="59"/>
      <c r="R20" s="8"/>
      <c r="S20" s="10"/>
    </row>
    <row r="21" spans="1:19" s="7" customFormat="1" ht="16.5" thickBot="1" x14ac:dyDescent="0.3">
      <c r="A21" s="177"/>
      <c r="B21" s="15"/>
      <c r="C21" s="70" t="s">
        <v>856</v>
      </c>
      <c r="D21" s="71"/>
      <c r="E21" s="71"/>
      <c r="F21" s="176"/>
      <c r="G21" s="59"/>
      <c r="H21" s="59"/>
      <c r="I21" s="59"/>
      <c r="J21" s="59"/>
      <c r="K21" s="59"/>
      <c r="L21" s="59"/>
      <c r="M21" s="59"/>
      <c r="N21" s="59"/>
      <c r="O21" s="59"/>
      <c r="P21" s="59"/>
      <c r="Q21" s="59"/>
      <c r="R21" s="8"/>
      <c r="S21" s="10"/>
    </row>
    <row r="22" spans="1:19" s="7" customFormat="1" ht="16.5" thickBot="1" x14ac:dyDescent="0.25">
      <c r="A22" s="177"/>
      <c r="B22" s="176"/>
      <c r="C22" s="71" t="s">
        <v>857</v>
      </c>
      <c r="D22" s="71"/>
      <c r="E22" s="71"/>
      <c r="F22" s="176"/>
      <c r="G22" s="374">
        <f>VLOOKUP($F$1,Part2,10,FALSE)</f>
        <v>161724790.69000003</v>
      </c>
      <c r="H22" s="375"/>
      <c r="I22" s="59"/>
      <c r="J22" s="374">
        <f>VLOOKUP($F$1,Part2,11,FALSE)</f>
        <v>17108</v>
      </c>
      <c r="K22" s="375"/>
      <c r="L22" s="59"/>
      <c r="M22" s="374">
        <f>VLOOKUP($F$1,Part2,12,FALSE)</f>
        <v>205838</v>
      </c>
      <c r="N22" s="375"/>
      <c r="O22" s="59"/>
      <c r="P22" s="374">
        <f>VLOOKUP($F$1,Part2,13,FALSE)</f>
        <v>161947736.69000003</v>
      </c>
      <c r="Q22" s="375"/>
      <c r="R22" s="8"/>
      <c r="S22" s="10"/>
    </row>
    <row r="23" spans="1:19" s="7" customFormat="1" ht="15.75" thickBot="1" x14ac:dyDescent="0.25">
      <c r="A23" s="177"/>
      <c r="B23" s="176"/>
      <c r="C23" s="71"/>
      <c r="D23" s="71"/>
      <c r="E23" s="71"/>
      <c r="F23" s="176"/>
      <c r="G23" s="59"/>
      <c r="H23" s="59"/>
      <c r="I23" s="59"/>
      <c r="J23" s="59"/>
      <c r="K23" s="59"/>
      <c r="L23" s="59"/>
      <c r="M23" s="59"/>
      <c r="N23" s="59"/>
      <c r="O23" s="59"/>
      <c r="P23" s="59"/>
      <c r="Q23" s="59"/>
      <c r="R23" s="8"/>
      <c r="S23" s="10"/>
    </row>
    <row r="24" spans="1:19" s="7" customFormat="1" ht="16.5" customHeight="1" thickBot="1" x14ac:dyDescent="0.25">
      <c r="A24" s="177"/>
      <c r="B24" s="176"/>
      <c r="C24" s="71" t="s">
        <v>858</v>
      </c>
      <c r="D24" s="71"/>
      <c r="E24" s="71"/>
      <c r="F24" s="176"/>
      <c r="G24" s="374">
        <f>VLOOKUP($F$1,Part2,14,FALSE)</f>
        <v>89915766.520000026</v>
      </c>
      <c r="H24" s="375"/>
      <c r="I24" s="59"/>
      <c r="J24" s="374">
        <f>VLOOKUP($F$1,Part2,15,FALSE)</f>
        <v>2742</v>
      </c>
      <c r="K24" s="375"/>
      <c r="L24" s="59"/>
      <c r="M24" s="374">
        <f>VLOOKUP($F$1,Part2,16,FALSE)</f>
        <v>536144</v>
      </c>
      <c r="N24" s="375"/>
      <c r="O24" s="59"/>
      <c r="P24" s="374">
        <f>VLOOKUP($F$1,Part2,17,FALSE)</f>
        <v>90454652.520000026</v>
      </c>
      <c r="Q24" s="375"/>
      <c r="R24" s="8"/>
      <c r="S24" s="10"/>
    </row>
    <row r="25" spans="1:19" s="7" customFormat="1" ht="15.75" x14ac:dyDescent="0.2">
      <c r="A25" s="177"/>
      <c r="B25" s="176"/>
      <c r="C25" s="71"/>
      <c r="D25" s="71"/>
      <c r="E25" s="71"/>
      <c r="F25" s="176"/>
      <c r="G25" s="73"/>
      <c r="H25" s="73"/>
      <c r="I25" s="59"/>
      <c r="J25" s="73"/>
      <c r="K25" s="73"/>
      <c r="L25" s="59"/>
      <c r="M25" s="73"/>
      <c r="N25" s="73"/>
      <c r="O25" s="59"/>
      <c r="P25" s="73"/>
      <c r="Q25" s="59"/>
      <c r="R25" s="178"/>
      <c r="S25" s="10"/>
    </row>
    <row r="26" spans="1:19" s="7" customFormat="1" ht="16.5" thickBot="1" x14ac:dyDescent="0.25">
      <c r="A26" s="177"/>
      <c r="B26" s="176"/>
      <c r="C26" s="70" t="s">
        <v>859</v>
      </c>
      <c r="D26" s="71"/>
      <c r="E26" s="71"/>
      <c r="F26" s="176"/>
      <c r="G26" s="59"/>
      <c r="H26" s="59"/>
      <c r="I26" s="59"/>
      <c r="J26" s="59"/>
      <c r="K26" s="59"/>
      <c r="L26" s="59"/>
      <c r="M26" s="59"/>
      <c r="N26" s="59"/>
      <c r="O26" s="59"/>
      <c r="P26" s="59"/>
      <c r="Q26" s="59"/>
      <c r="R26" s="178"/>
      <c r="S26" s="10"/>
    </row>
    <row r="27" spans="1:19" s="7" customFormat="1" ht="16.5" thickBot="1" x14ac:dyDescent="0.25">
      <c r="A27" s="177"/>
      <c r="B27" s="176"/>
      <c r="C27" s="71" t="s">
        <v>860</v>
      </c>
      <c r="D27" s="71"/>
      <c r="E27" s="71"/>
      <c r="F27" s="176"/>
      <c r="G27" s="374">
        <f>VLOOKUP($F$1,Part2,18,FALSE)</f>
        <v>477991501.65999991</v>
      </c>
      <c r="H27" s="375"/>
      <c r="I27" s="59"/>
      <c r="J27" s="374">
        <f>VLOOKUP($F$1,Part2,19,FALSE)</f>
        <v>101033</v>
      </c>
      <c r="K27" s="375"/>
      <c r="L27" s="59"/>
      <c r="M27" s="374">
        <f>VLOOKUP($F$1,Part2,20,FALSE)</f>
        <v>541289</v>
      </c>
      <c r="N27" s="375"/>
      <c r="O27" s="59"/>
      <c r="P27" s="374">
        <f>VLOOKUP($F$1,Part2,21,FALSE)</f>
        <v>478633823.65999991</v>
      </c>
      <c r="Q27" s="375"/>
      <c r="R27" s="178"/>
      <c r="S27" s="10"/>
    </row>
    <row r="28" spans="1:19" s="7" customFormat="1" ht="15.75" thickBot="1" x14ac:dyDescent="0.25">
      <c r="A28" s="177"/>
      <c r="B28" s="176"/>
      <c r="C28" s="160"/>
      <c r="D28" s="160"/>
      <c r="E28" s="160"/>
      <c r="F28" s="176"/>
      <c r="G28" s="59"/>
      <c r="H28" s="59"/>
      <c r="I28" s="59"/>
      <c r="J28" s="59"/>
      <c r="K28" s="59"/>
      <c r="L28" s="59"/>
      <c r="M28" s="59"/>
      <c r="N28" s="59"/>
      <c r="O28" s="59"/>
      <c r="P28" s="59"/>
      <c r="Q28" s="59"/>
      <c r="R28" s="178"/>
      <c r="S28" s="10"/>
    </row>
    <row r="29" spans="1:19" s="7" customFormat="1" ht="16.5" customHeight="1" thickBot="1" x14ac:dyDescent="0.25">
      <c r="A29" s="177"/>
      <c r="B29" s="176"/>
      <c r="C29" s="71" t="s">
        <v>861</v>
      </c>
      <c r="D29" s="71"/>
      <c r="E29" s="71"/>
      <c r="F29" s="176"/>
      <c r="G29" s="374">
        <f>VLOOKUP($F$1,Part2,22,FALSE)</f>
        <v>1264495655.6300001</v>
      </c>
      <c r="H29" s="375"/>
      <c r="I29" s="59"/>
      <c r="J29" s="374">
        <f>VLOOKUP($F$1,Part2,23,FALSE)</f>
        <v>275722</v>
      </c>
      <c r="K29" s="375"/>
      <c r="L29" s="59"/>
      <c r="M29" s="374">
        <f>VLOOKUP($F$1,Part2,24,FALSE)</f>
        <v>1376791.26</v>
      </c>
      <c r="N29" s="375"/>
      <c r="O29" s="59"/>
      <c r="P29" s="374">
        <f>VLOOKUP($F$1,Part2,25,FALSE)</f>
        <v>1266148168.8900003</v>
      </c>
      <c r="Q29" s="375"/>
      <c r="R29" s="178"/>
      <c r="S29" s="10"/>
    </row>
    <row r="30" spans="1:19" s="7" customFormat="1" ht="16.5" thickBot="1" x14ac:dyDescent="0.25">
      <c r="A30" s="177"/>
      <c r="B30" s="176"/>
      <c r="C30" s="71"/>
      <c r="D30" s="71"/>
      <c r="E30" s="71"/>
      <c r="F30" s="176"/>
      <c r="G30" s="73"/>
      <c r="H30" s="73"/>
      <c r="I30" s="59"/>
      <c r="J30" s="73"/>
      <c r="K30" s="73"/>
      <c r="L30" s="59"/>
      <c r="M30" s="73"/>
      <c r="N30" s="73"/>
      <c r="O30" s="59"/>
      <c r="P30" s="73"/>
      <c r="Q30" s="59"/>
      <c r="R30" s="178"/>
      <c r="S30" s="10"/>
    </row>
    <row r="31" spans="1:19" s="7" customFormat="1" ht="15.75" x14ac:dyDescent="0.2">
      <c r="A31" s="177"/>
      <c r="B31" s="206"/>
      <c r="C31" s="207"/>
      <c r="D31" s="207"/>
      <c r="E31" s="207"/>
      <c r="F31" s="206"/>
      <c r="G31" s="208"/>
      <c r="H31" s="208"/>
      <c r="I31" s="209"/>
      <c r="J31" s="208"/>
      <c r="K31" s="208"/>
      <c r="L31" s="209"/>
      <c r="M31" s="208"/>
      <c r="N31" s="208"/>
      <c r="O31" s="209"/>
      <c r="P31" s="208"/>
      <c r="Q31" s="209"/>
      <c r="R31" s="210"/>
      <c r="S31" s="10"/>
    </row>
    <row r="32" spans="1:19" s="7" customFormat="1" ht="16.5" thickBot="1" x14ac:dyDescent="0.25">
      <c r="A32" s="177"/>
      <c r="B32" s="176"/>
      <c r="C32" s="70" t="s">
        <v>541</v>
      </c>
      <c r="D32" s="71"/>
      <c r="E32" s="71"/>
      <c r="F32" s="176"/>
      <c r="G32" s="59"/>
      <c r="H32" s="59"/>
      <c r="I32" s="59"/>
      <c r="J32" s="59"/>
      <c r="K32" s="59"/>
      <c r="L32" s="59"/>
      <c r="M32" s="59"/>
      <c r="N32" s="59"/>
      <c r="O32" s="59"/>
      <c r="P32" s="59"/>
      <c r="Q32" s="59"/>
      <c r="R32" s="8"/>
      <c r="S32" s="10"/>
    </row>
    <row r="33" spans="1:19" s="7" customFormat="1" ht="16.5" thickBot="1" x14ac:dyDescent="0.3">
      <c r="A33" s="177"/>
      <c r="B33" s="15"/>
      <c r="C33" s="71" t="s">
        <v>862</v>
      </c>
      <c r="D33" s="71"/>
      <c r="E33" s="71"/>
      <c r="F33" s="176"/>
      <c r="G33" s="374">
        <f>VLOOKUP($F$1,Part2,26,FALSE)</f>
        <v>20602606575</v>
      </c>
      <c r="H33" s="375"/>
      <c r="I33" s="59"/>
      <c r="J33" s="374">
        <f>VLOOKUP($F$1,Part2,27,FALSE)</f>
        <v>13830323</v>
      </c>
      <c r="K33" s="375"/>
      <c r="L33" s="59"/>
      <c r="M33" s="374">
        <f>VLOOKUP($F$1,Part2,28,FALSE)</f>
        <v>71730818</v>
      </c>
      <c r="N33" s="375"/>
      <c r="O33" s="59"/>
      <c r="P33" s="374">
        <f>VLOOKUP($F$1,Part2,29,FALSE)</f>
        <v>20688167716</v>
      </c>
      <c r="Q33" s="375"/>
      <c r="R33" s="178"/>
      <c r="S33" s="10"/>
    </row>
    <row r="34" spans="1:19" s="7" customFormat="1" ht="15.75" thickBot="1" x14ac:dyDescent="0.25">
      <c r="A34" s="177"/>
      <c r="B34" s="180"/>
      <c r="C34" s="179"/>
      <c r="D34" s="179"/>
      <c r="E34" s="179"/>
      <c r="F34" s="180"/>
      <c r="G34" s="181"/>
      <c r="H34" s="181"/>
      <c r="I34" s="181"/>
      <c r="J34" s="181"/>
      <c r="K34" s="181"/>
      <c r="L34" s="181"/>
      <c r="M34" s="181"/>
      <c r="N34" s="181"/>
      <c r="O34" s="181"/>
      <c r="P34" s="181"/>
      <c r="Q34" s="181"/>
      <c r="R34" s="211"/>
      <c r="S34" s="10"/>
    </row>
    <row r="35" spans="1:19" s="7" customFormat="1" ht="15" x14ac:dyDescent="0.2">
      <c r="A35" s="177"/>
      <c r="B35" s="176"/>
      <c r="C35" s="71"/>
      <c r="D35" s="71"/>
      <c r="E35" s="71"/>
      <c r="F35" s="176"/>
      <c r="G35" s="59"/>
      <c r="H35" s="59"/>
      <c r="I35" s="59"/>
      <c r="J35" s="59"/>
      <c r="K35" s="59"/>
      <c r="L35" s="59"/>
      <c r="M35" s="59"/>
      <c r="N35" s="59"/>
      <c r="O35" s="59"/>
      <c r="P35" s="59"/>
      <c r="Q35" s="59"/>
      <c r="R35" s="8"/>
      <c r="S35" s="10"/>
    </row>
    <row r="36" spans="1:19" s="7" customFormat="1" ht="15" customHeight="1" x14ac:dyDescent="0.2">
      <c r="A36" s="177"/>
      <c r="B36" s="176"/>
      <c r="C36" s="70"/>
      <c r="D36" s="71"/>
      <c r="E36" s="71"/>
      <c r="F36" s="176"/>
      <c r="G36" s="59"/>
      <c r="H36" s="59"/>
      <c r="I36" s="59"/>
      <c r="J36" s="59"/>
      <c r="K36" s="59"/>
      <c r="L36" s="59"/>
      <c r="M36" s="59"/>
      <c r="N36" s="59"/>
      <c r="O36" s="391" t="s">
        <v>551</v>
      </c>
      <c r="P36" s="392"/>
      <c r="Q36" s="392"/>
      <c r="R36" s="8"/>
      <c r="S36" s="10"/>
    </row>
    <row r="37" spans="1:19" s="7" customFormat="1" ht="16.5" thickBot="1" x14ac:dyDescent="0.3">
      <c r="A37" s="177"/>
      <c r="B37" s="15"/>
      <c r="C37" s="70" t="s">
        <v>863</v>
      </c>
      <c r="D37" s="71"/>
      <c r="E37" s="71"/>
      <c r="F37" s="176"/>
      <c r="G37" s="59"/>
      <c r="H37" s="59"/>
      <c r="I37" s="59"/>
      <c r="J37" s="59"/>
      <c r="K37" s="59"/>
      <c r="L37" s="59"/>
      <c r="M37" s="59"/>
      <c r="N37" s="59"/>
      <c r="O37" s="392"/>
      <c r="P37" s="392"/>
      <c r="Q37" s="392"/>
      <c r="R37" s="27"/>
      <c r="S37" s="10"/>
    </row>
    <row r="38" spans="1:19" s="7" customFormat="1" ht="16.5" thickBot="1" x14ac:dyDescent="0.25">
      <c r="A38" s="177"/>
      <c r="B38" s="8"/>
      <c r="C38" s="71" t="s">
        <v>864</v>
      </c>
      <c r="D38" s="71"/>
      <c r="E38" s="71"/>
      <c r="F38" s="8"/>
      <c r="G38" s="374">
        <f>VLOOKUP($F$1,Part2,30,FALSE)</f>
        <v>3595456.7100000009</v>
      </c>
      <c r="H38" s="375"/>
      <c r="I38" s="59"/>
      <c r="J38" s="374">
        <f>VLOOKUP($F$1,Part2,31,FALSE)</f>
        <v>0</v>
      </c>
      <c r="K38" s="375"/>
      <c r="L38" s="59"/>
      <c r="M38" s="374">
        <f>VLOOKUP($F$1,Part2,32,FALSE)</f>
        <v>0</v>
      </c>
      <c r="N38" s="375"/>
      <c r="O38" s="59"/>
      <c r="P38" s="374">
        <f>VLOOKUP($F$1,Part2,33,FALSE)</f>
        <v>3595456.7100000009</v>
      </c>
      <c r="Q38" s="375"/>
      <c r="R38" s="178"/>
      <c r="S38" s="10"/>
    </row>
    <row r="39" spans="1:19" s="7" customFormat="1" ht="15.75" thickBot="1" x14ac:dyDescent="0.25">
      <c r="A39" s="177"/>
      <c r="B39" s="8"/>
      <c r="C39" s="71"/>
      <c r="D39" s="71"/>
      <c r="E39" s="71"/>
      <c r="F39" s="8"/>
      <c r="G39" s="59"/>
      <c r="H39" s="59"/>
      <c r="I39" s="59"/>
      <c r="J39" s="59"/>
      <c r="K39" s="59"/>
      <c r="L39" s="59"/>
      <c r="M39" s="59"/>
      <c r="N39" s="59"/>
      <c r="O39" s="59"/>
      <c r="P39" s="59"/>
      <c r="Q39" s="59"/>
      <c r="R39" s="8"/>
      <c r="S39" s="10"/>
    </row>
    <row r="40" spans="1:19" s="7" customFormat="1" ht="16.5" thickBot="1" x14ac:dyDescent="0.25">
      <c r="A40" s="177"/>
      <c r="B40" s="8"/>
      <c r="C40" s="71" t="s">
        <v>865</v>
      </c>
      <c r="D40" s="71"/>
      <c r="E40" s="71"/>
      <c r="F40" s="8"/>
      <c r="G40" s="59"/>
      <c r="H40" s="59"/>
      <c r="I40" s="59"/>
      <c r="J40" s="374">
        <f>VLOOKUP($F$1,Part2,34,FALSE)</f>
        <v>5426</v>
      </c>
      <c r="K40" s="375"/>
      <c r="L40" s="59"/>
      <c r="M40" s="374">
        <f>VLOOKUP($F$1,Part2,35,FALSE)</f>
        <v>80051.610000000015</v>
      </c>
      <c r="N40" s="375"/>
      <c r="O40" s="59"/>
      <c r="P40" s="59"/>
      <c r="Q40" s="59"/>
      <c r="R40" s="8"/>
      <c r="S40" s="10"/>
    </row>
    <row r="41" spans="1:19" s="7" customFormat="1" ht="15.75" thickBot="1" x14ac:dyDescent="0.25">
      <c r="A41" s="177"/>
      <c r="B41" s="8"/>
      <c r="C41" s="71"/>
      <c r="D41" s="71"/>
      <c r="E41" s="71"/>
      <c r="F41" s="8"/>
      <c r="G41" s="59"/>
      <c r="H41" s="59"/>
      <c r="I41" s="59"/>
      <c r="J41" s="59"/>
      <c r="K41" s="59"/>
      <c r="L41" s="59"/>
      <c r="M41" s="59"/>
      <c r="N41" s="59"/>
      <c r="O41" s="59"/>
      <c r="P41" s="59"/>
      <c r="Q41" s="59"/>
      <c r="R41" s="8"/>
      <c r="S41" s="10"/>
    </row>
    <row r="42" spans="1:19" s="7" customFormat="1" ht="16.5" thickBot="1" x14ac:dyDescent="0.25">
      <c r="A42" s="9"/>
      <c r="B42" s="8"/>
      <c r="C42" s="71" t="s">
        <v>866</v>
      </c>
      <c r="D42" s="71"/>
      <c r="E42" s="71"/>
      <c r="F42" s="8"/>
      <c r="G42" s="59"/>
      <c r="H42" s="59"/>
      <c r="I42" s="59"/>
      <c r="J42" s="374">
        <f>VLOOKUP($F$1,Part2,36,FALSE)</f>
        <v>13967736</v>
      </c>
      <c r="K42" s="375"/>
      <c r="L42" s="59"/>
      <c r="M42" s="374">
        <f>VLOOKUP($F$1,Part2,37,FALSE)</f>
        <v>79450539.590000004</v>
      </c>
      <c r="N42" s="375"/>
      <c r="O42" s="59"/>
      <c r="P42" s="59"/>
      <c r="Q42" s="59"/>
      <c r="R42" s="8"/>
      <c r="S42" s="10"/>
    </row>
    <row r="43" spans="1:19" s="7" customFormat="1" ht="16.5" thickBot="1" x14ac:dyDescent="0.25">
      <c r="A43" s="9"/>
      <c r="B43" s="8"/>
      <c r="C43" s="71"/>
      <c r="D43" s="71"/>
      <c r="E43" s="71"/>
      <c r="F43" s="8"/>
      <c r="G43" s="59"/>
      <c r="H43" s="59"/>
      <c r="I43" s="59"/>
      <c r="J43" s="73"/>
      <c r="K43" s="59"/>
      <c r="L43" s="59"/>
      <c r="M43" s="73"/>
      <c r="N43" s="59"/>
      <c r="O43" s="59"/>
      <c r="P43" s="59"/>
      <c r="Q43" s="59"/>
      <c r="R43" s="8"/>
      <c r="S43" s="10"/>
    </row>
    <row r="44" spans="1:19" s="7" customFormat="1" ht="15" x14ac:dyDescent="0.2">
      <c r="A44" s="9"/>
      <c r="B44" s="212"/>
      <c r="C44" s="213"/>
      <c r="D44" s="213"/>
      <c r="E44" s="213"/>
      <c r="F44" s="212"/>
      <c r="G44" s="214"/>
      <c r="H44" s="214"/>
      <c r="I44" s="214"/>
      <c r="J44" s="214"/>
      <c r="K44" s="214"/>
      <c r="L44" s="214"/>
      <c r="M44" s="214"/>
      <c r="N44" s="214"/>
      <c r="O44" s="214"/>
      <c r="P44" s="214"/>
      <c r="Q44" s="214"/>
      <c r="R44" s="215"/>
      <c r="S44" s="10"/>
    </row>
    <row r="45" spans="1:19" s="7" customFormat="1" ht="16.5" thickBot="1" x14ac:dyDescent="0.25">
      <c r="A45" s="9"/>
      <c r="B45" s="6"/>
      <c r="C45" s="182" t="s">
        <v>575</v>
      </c>
      <c r="D45" s="183"/>
      <c r="E45" s="183"/>
      <c r="F45" s="6"/>
      <c r="G45" s="74"/>
      <c r="H45" s="74"/>
      <c r="I45" s="74"/>
      <c r="J45" s="379" t="s">
        <v>542</v>
      </c>
      <c r="K45" s="379"/>
      <c r="L45" s="184"/>
      <c r="M45" s="379" t="s">
        <v>542</v>
      </c>
      <c r="N45" s="379"/>
      <c r="O45" s="184"/>
      <c r="P45" s="379" t="s">
        <v>542</v>
      </c>
      <c r="Q45" s="379"/>
      <c r="R45" s="106"/>
      <c r="S45" s="10"/>
    </row>
    <row r="46" spans="1:19" s="7" customFormat="1" ht="16.5" thickBot="1" x14ac:dyDescent="0.25">
      <c r="A46" s="9"/>
      <c r="B46" s="6"/>
      <c r="C46" s="183" t="s">
        <v>867</v>
      </c>
      <c r="D46" s="183"/>
      <c r="E46" s="183"/>
      <c r="F46" s="6"/>
      <c r="G46" s="74"/>
      <c r="H46" s="74"/>
      <c r="I46" s="74"/>
      <c r="J46" s="374">
        <f>VLOOKUP($F$1,Part2,38,FALSE)</f>
        <v>1132971</v>
      </c>
      <c r="K46" s="375"/>
      <c r="L46" s="74"/>
      <c r="M46" s="374">
        <f>VLOOKUP($F$1,Part2,39,FALSE)</f>
        <v>2727860.66</v>
      </c>
      <c r="N46" s="375"/>
      <c r="O46" s="74"/>
      <c r="P46" s="374">
        <f>VLOOKUP($F$1,Part2,40,FALSE)</f>
        <v>3595456.7100000009</v>
      </c>
      <c r="Q46" s="375"/>
      <c r="R46" s="106"/>
      <c r="S46" s="10"/>
    </row>
    <row r="47" spans="1:19" s="7" customFormat="1" ht="15.75" thickBot="1" x14ac:dyDescent="0.25">
      <c r="A47" s="9"/>
      <c r="B47" s="20"/>
      <c r="C47" s="185"/>
      <c r="D47" s="185"/>
      <c r="E47" s="185"/>
      <c r="F47" s="20"/>
      <c r="G47" s="186"/>
      <c r="H47" s="186"/>
      <c r="I47" s="186"/>
      <c r="J47" s="186"/>
      <c r="K47" s="186"/>
      <c r="L47" s="186"/>
      <c r="M47" s="186"/>
      <c r="N47" s="186"/>
      <c r="O47" s="186"/>
      <c r="P47" s="186"/>
      <c r="Q47" s="186"/>
      <c r="R47" s="216"/>
      <c r="S47" s="10"/>
    </row>
    <row r="48" spans="1:19" s="7" customFormat="1" ht="15.75" thickBot="1" x14ac:dyDescent="0.25">
      <c r="A48" s="9"/>
      <c r="B48" s="8"/>
      <c r="C48" s="71"/>
      <c r="D48" s="71"/>
      <c r="E48" s="71"/>
      <c r="F48" s="8"/>
      <c r="G48" s="187"/>
      <c r="H48" s="187"/>
      <c r="I48" s="187"/>
      <c r="J48" s="187"/>
      <c r="K48" s="187"/>
      <c r="L48" s="187"/>
      <c r="M48" s="187"/>
      <c r="N48" s="187"/>
      <c r="O48" s="187"/>
      <c r="P48" s="187"/>
      <c r="Q48" s="187"/>
      <c r="R48" s="8"/>
      <c r="S48" s="10"/>
    </row>
    <row r="49" spans="1:21" s="7" customFormat="1" ht="15" x14ac:dyDescent="0.2">
      <c r="A49" s="9"/>
      <c r="B49" s="189"/>
      <c r="C49" s="188"/>
      <c r="D49" s="188"/>
      <c r="E49" s="188"/>
      <c r="F49" s="189"/>
      <c r="G49" s="190"/>
      <c r="H49" s="190"/>
      <c r="I49" s="190"/>
      <c r="J49" s="190"/>
      <c r="K49" s="190"/>
      <c r="L49" s="190"/>
      <c r="M49" s="190"/>
      <c r="N49" s="190"/>
      <c r="O49" s="190"/>
      <c r="P49" s="190"/>
      <c r="Q49" s="190"/>
      <c r="R49" s="189"/>
      <c r="S49" s="10"/>
    </row>
    <row r="50" spans="1:21" s="7" customFormat="1" ht="16.5" thickBot="1" x14ac:dyDescent="0.25">
      <c r="A50" s="9"/>
      <c r="B50" s="8"/>
      <c r="C50" s="70" t="s">
        <v>868</v>
      </c>
      <c r="D50" s="71"/>
      <c r="E50" s="71"/>
      <c r="F50" s="176"/>
      <c r="G50" s="176"/>
      <c r="H50" s="176"/>
      <c r="I50" s="176"/>
      <c r="J50" s="176"/>
      <c r="K50" s="176"/>
      <c r="L50" s="176"/>
      <c r="M50" s="176"/>
      <c r="N50" s="176"/>
      <c r="O50" s="187"/>
      <c r="P50" s="187"/>
      <c r="Q50" s="187"/>
      <c r="R50" s="8"/>
      <c r="S50" s="10"/>
    </row>
    <row r="51" spans="1:21" s="7" customFormat="1" ht="16.5" thickBot="1" x14ac:dyDescent="0.25">
      <c r="A51" s="9"/>
      <c r="B51" s="8"/>
      <c r="C51" s="71" t="s">
        <v>869</v>
      </c>
      <c r="D51" s="71"/>
      <c r="E51" s="71"/>
      <c r="F51" s="176"/>
      <c r="G51" s="176"/>
      <c r="H51" s="176"/>
      <c r="I51" s="176"/>
      <c r="J51" s="176"/>
      <c r="K51" s="176"/>
      <c r="L51" s="176"/>
      <c r="M51" s="176"/>
      <c r="N51" s="176"/>
      <c r="O51" s="59"/>
      <c r="P51" s="374">
        <f>VLOOKUP($F$1,Part2,41,FALSE)</f>
        <v>1240697166.2200003</v>
      </c>
      <c r="Q51" s="375"/>
      <c r="R51" s="178"/>
      <c r="S51" s="10"/>
    </row>
    <row r="52" spans="1:21" s="7" customFormat="1" ht="15.75" thickBot="1" x14ac:dyDescent="0.25">
      <c r="A52" s="9"/>
      <c r="B52" s="8"/>
      <c r="C52" s="71"/>
      <c r="D52" s="71"/>
      <c r="E52" s="71"/>
      <c r="F52" s="176"/>
      <c r="G52" s="176"/>
      <c r="H52" s="176"/>
      <c r="I52" s="176"/>
      <c r="J52" s="176"/>
      <c r="K52" s="176"/>
      <c r="L52" s="176"/>
      <c r="M52" s="176"/>
      <c r="N52" s="176"/>
      <c r="O52" s="59"/>
      <c r="P52" s="59"/>
      <c r="Q52" s="59"/>
      <c r="R52" s="178"/>
      <c r="S52" s="10"/>
    </row>
    <row r="53" spans="1:21" s="7" customFormat="1" ht="16.5" thickBot="1" x14ac:dyDescent="0.25">
      <c r="A53" s="9"/>
      <c r="B53" s="8"/>
      <c r="C53" s="71" t="s">
        <v>870</v>
      </c>
      <c r="D53" s="71"/>
      <c r="E53" s="71"/>
      <c r="F53" s="176"/>
      <c r="G53" s="176"/>
      <c r="H53" s="176"/>
      <c r="I53" s="176"/>
      <c r="J53" s="176"/>
      <c r="K53" s="176"/>
      <c r="L53" s="176"/>
      <c r="M53" s="176"/>
      <c r="N53" s="176"/>
      <c r="O53" s="59"/>
      <c r="P53" s="374">
        <f>VLOOKUP($F$1,Part2,42,FALSE)</f>
        <v>470910607.76000023</v>
      </c>
      <c r="Q53" s="375"/>
      <c r="R53" s="178"/>
      <c r="S53" s="10"/>
    </row>
    <row r="54" spans="1:21" s="7" customFormat="1" ht="15.75" thickBot="1" x14ac:dyDescent="0.25">
      <c r="A54" s="9"/>
      <c r="B54" s="191"/>
      <c r="C54" s="191"/>
      <c r="D54" s="191"/>
      <c r="E54" s="191"/>
      <c r="F54" s="191"/>
      <c r="G54" s="191"/>
      <c r="H54" s="191"/>
      <c r="I54" s="191"/>
      <c r="J54" s="191"/>
      <c r="K54" s="191"/>
      <c r="L54" s="191"/>
      <c r="M54" s="191"/>
      <c r="N54" s="191"/>
      <c r="O54" s="191"/>
      <c r="P54" s="191"/>
      <c r="Q54" s="191"/>
      <c r="R54" s="191"/>
      <c r="S54" s="10"/>
    </row>
    <row r="55" spans="1:21" s="7" customFormat="1" ht="16.5" thickBot="1" x14ac:dyDescent="0.3">
      <c r="A55" s="149"/>
      <c r="B55" s="23"/>
      <c r="C55" s="192"/>
      <c r="D55" s="67"/>
      <c r="E55" s="67"/>
      <c r="F55" s="67"/>
      <c r="G55" s="67"/>
      <c r="H55" s="67"/>
      <c r="I55" s="67"/>
      <c r="J55" s="151"/>
      <c r="K55" s="151"/>
      <c r="L55" s="151"/>
      <c r="M55" s="151"/>
      <c r="N55" s="151"/>
      <c r="O55" s="151"/>
      <c r="P55" s="151"/>
      <c r="Q55" s="151"/>
      <c r="R55" s="151"/>
      <c r="S55" s="193"/>
      <c r="T55"/>
      <c r="U55"/>
    </row>
    <row r="56" spans="1:21" ht="15.75" customHeight="1" x14ac:dyDescent="0.2">
      <c r="A56" s="169"/>
      <c r="B56" s="169"/>
      <c r="C56" s="194"/>
      <c r="D56" s="194"/>
      <c r="E56" s="194"/>
      <c r="F56" s="194"/>
      <c r="G56" s="194"/>
      <c r="H56" s="194"/>
      <c r="I56" s="194"/>
      <c r="J56" s="377"/>
      <c r="K56" s="377"/>
      <c r="L56" s="195"/>
      <c r="M56" s="195"/>
      <c r="N56" s="377"/>
      <c r="O56" s="377"/>
      <c r="P56" s="195"/>
      <c r="Q56" s="195"/>
      <c r="R56" s="377"/>
      <c r="S56" s="377"/>
    </row>
    <row r="57" spans="1:21" ht="15" x14ac:dyDescent="0.2">
      <c r="A57" s="168"/>
      <c r="B57" s="169"/>
      <c r="C57" s="194"/>
      <c r="D57" s="194"/>
      <c r="E57" s="194"/>
      <c r="F57" s="194"/>
      <c r="G57" s="194"/>
      <c r="H57" s="194"/>
      <c r="I57" s="194"/>
      <c r="J57" s="196"/>
      <c r="K57" s="196"/>
      <c r="L57" s="196"/>
      <c r="M57" s="196"/>
      <c r="N57" s="196"/>
      <c r="O57" s="196"/>
      <c r="P57" s="196"/>
      <c r="Q57" s="196"/>
      <c r="R57" s="196"/>
      <c r="S57" s="196"/>
    </row>
    <row r="58" spans="1:21" x14ac:dyDescent="0.2">
      <c r="A58" s="168"/>
      <c r="B58" s="197"/>
      <c r="C58" s="197"/>
      <c r="D58" s="197"/>
      <c r="E58" s="197"/>
      <c r="F58" s="197"/>
      <c r="G58" s="197"/>
      <c r="H58" s="197"/>
      <c r="I58" s="197"/>
      <c r="J58" s="197"/>
      <c r="K58" s="197"/>
      <c r="L58" s="197"/>
      <c r="M58" s="197"/>
      <c r="N58" s="197"/>
      <c r="O58" s="197"/>
      <c r="P58" s="197"/>
      <c r="Q58" s="197"/>
      <c r="R58" s="197"/>
      <c r="S58" s="197"/>
    </row>
    <row r="59" spans="1:21" x14ac:dyDescent="0.2">
      <c r="A59" s="168"/>
      <c r="B59" s="197"/>
      <c r="C59" s="197"/>
      <c r="D59" s="197"/>
      <c r="E59" s="197"/>
      <c r="F59" s="197"/>
      <c r="G59" s="197"/>
      <c r="H59" s="197"/>
      <c r="I59" s="197"/>
      <c r="J59" s="197"/>
      <c r="K59" s="197"/>
      <c r="L59" s="197"/>
      <c r="M59" s="197"/>
      <c r="N59" s="197"/>
      <c r="O59" s="197"/>
      <c r="P59" s="197"/>
      <c r="Q59" s="197"/>
      <c r="R59" s="197"/>
      <c r="S59" s="197"/>
    </row>
    <row r="60" spans="1:21" x14ac:dyDescent="0.2">
      <c r="A60" s="169"/>
      <c r="B60" s="197"/>
      <c r="C60" s="197"/>
      <c r="D60" s="197"/>
      <c r="E60" s="197"/>
      <c r="F60" s="197"/>
      <c r="G60" s="197"/>
      <c r="H60" s="197"/>
      <c r="I60" s="197"/>
      <c r="J60" s="197"/>
      <c r="K60" s="197"/>
      <c r="L60" s="197"/>
      <c r="M60" s="197"/>
      <c r="N60" s="197"/>
      <c r="O60" s="197"/>
      <c r="P60" s="197"/>
      <c r="Q60" s="197"/>
      <c r="R60" s="197"/>
      <c r="S60" s="197"/>
    </row>
    <row r="61" spans="1:21" x14ac:dyDescent="0.2">
      <c r="A61" s="169"/>
      <c r="B61" s="197"/>
      <c r="C61" s="197"/>
      <c r="D61" s="197"/>
      <c r="E61" s="197"/>
      <c r="F61" s="197"/>
      <c r="G61" s="197"/>
      <c r="H61" s="197"/>
      <c r="I61" s="197"/>
      <c r="J61" s="197"/>
      <c r="K61" s="197"/>
      <c r="L61" s="197"/>
      <c r="M61" s="197"/>
      <c r="N61" s="197"/>
      <c r="O61" s="197"/>
      <c r="P61" s="197"/>
      <c r="Q61" s="197"/>
      <c r="R61" s="197"/>
      <c r="S61" s="197"/>
    </row>
    <row r="62" spans="1:21" x14ac:dyDescent="0.2">
      <c r="A62" s="169"/>
      <c r="B62" s="197"/>
      <c r="C62" s="197"/>
      <c r="D62" s="197"/>
      <c r="E62" s="197"/>
      <c r="F62" s="197"/>
      <c r="G62" s="197"/>
      <c r="H62" s="197"/>
      <c r="I62" s="197"/>
      <c r="J62" s="197"/>
      <c r="K62" s="197"/>
      <c r="L62" s="197"/>
      <c r="M62" s="197"/>
      <c r="N62" s="197"/>
      <c r="O62" s="197"/>
      <c r="P62" s="197"/>
      <c r="Q62" s="197"/>
      <c r="R62" s="197"/>
      <c r="S62" s="197"/>
    </row>
    <row r="63" spans="1:21" x14ac:dyDescent="0.2">
      <c r="A63" s="169"/>
      <c r="B63" s="197"/>
      <c r="C63" s="197"/>
      <c r="D63" s="197"/>
      <c r="E63" s="197"/>
      <c r="F63" s="197"/>
      <c r="G63" s="197"/>
      <c r="H63" s="197"/>
      <c r="I63" s="197"/>
      <c r="J63" s="197"/>
      <c r="K63" s="197"/>
      <c r="L63" s="197"/>
      <c r="M63" s="197"/>
      <c r="N63" s="197"/>
      <c r="O63" s="197"/>
      <c r="P63" s="197"/>
      <c r="Q63" s="197"/>
      <c r="R63" s="197"/>
      <c r="S63" s="197"/>
    </row>
    <row r="64" spans="1:21" x14ac:dyDescent="0.2">
      <c r="A64" s="169"/>
    </row>
    <row r="65" spans="1:1" x14ac:dyDescent="0.2">
      <c r="A65" s="169"/>
    </row>
    <row r="66" spans="1:1" x14ac:dyDescent="0.2">
      <c r="A66" s="169"/>
    </row>
    <row r="67" spans="1:1" x14ac:dyDescent="0.2">
      <c r="A67" s="169"/>
    </row>
    <row r="68" spans="1:1" x14ac:dyDescent="0.2">
      <c r="A68" s="169"/>
    </row>
    <row r="69" spans="1:1" x14ac:dyDescent="0.2">
      <c r="A69" s="169"/>
    </row>
    <row r="70" spans="1:1" x14ac:dyDescent="0.2">
      <c r="A70" s="169"/>
    </row>
    <row r="71" spans="1:1" x14ac:dyDescent="0.2">
      <c r="A71" s="169"/>
    </row>
    <row r="72" spans="1:1" x14ac:dyDescent="0.2">
      <c r="A72" s="169"/>
    </row>
    <row r="73" spans="1:1" x14ac:dyDescent="0.2">
      <c r="A73" s="169"/>
    </row>
    <row r="74" spans="1:1" x14ac:dyDescent="0.2">
      <c r="A74" s="169"/>
    </row>
    <row r="75" spans="1:1" ht="15.75" customHeight="1" x14ac:dyDescent="0.2">
      <c r="A75" s="169"/>
    </row>
    <row r="76" spans="1:1" x14ac:dyDescent="0.2">
      <c r="A76" s="169"/>
    </row>
    <row r="77" spans="1:1" x14ac:dyDescent="0.2">
      <c r="A77" s="169"/>
    </row>
    <row r="78" spans="1:1" x14ac:dyDescent="0.2">
      <c r="A78" s="169"/>
    </row>
    <row r="79" spans="1:1" x14ac:dyDescent="0.2">
      <c r="A79" s="169"/>
    </row>
    <row r="80" spans="1:1" x14ac:dyDescent="0.2">
      <c r="A80" s="169"/>
    </row>
    <row r="81" spans="1:1" hidden="1" x14ac:dyDescent="0.2">
      <c r="A81" s="168"/>
    </row>
    <row r="82" spans="1:1" x14ac:dyDescent="0.2">
      <c r="A82" s="197"/>
    </row>
    <row r="83" spans="1:1" x14ac:dyDescent="0.2">
      <c r="A83" s="197"/>
    </row>
    <row r="84" spans="1:1" x14ac:dyDescent="0.2">
      <c r="A84" s="197"/>
    </row>
    <row r="85" spans="1:1" x14ac:dyDescent="0.2">
      <c r="A85" s="197"/>
    </row>
    <row r="86" spans="1:1" ht="15" customHeight="1" x14ac:dyDescent="0.2">
      <c r="A86" s="197"/>
    </row>
    <row r="87" spans="1:1" x14ac:dyDescent="0.2">
      <c r="A87" s="197"/>
    </row>
    <row r="88" spans="1:1" ht="16.5" customHeight="1" x14ac:dyDescent="0.2"/>
    <row r="89" spans="1:1" ht="15" customHeight="1" x14ac:dyDescent="0.2"/>
    <row r="95" spans="1:1" ht="15.75" customHeight="1" x14ac:dyDescent="0.2"/>
    <row r="96" spans="1:1" ht="15.75" customHeight="1" x14ac:dyDescent="0.2"/>
    <row r="125" ht="16.5" customHeight="1" x14ac:dyDescent="0.2"/>
    <row r="126" ht="16.5" customHeight="1" x14ac:dyDescent="0.2"/>
    <row r="127" ht="15.75" customHeight="1" x14ac:dyDescent="0.2"/>
    <row r="159" ht="16.5" customHeight="1" x14ac:dyDescent="0.2"/>
    <row r="168" ht="15.75" customHeight="1" x14ac:dyDescent="0.2"/>
    <row r="171" ht="25.5" customHeight="1" x14ac:dyDescent="0.2"/>
  </sheetData>
  <mergeCells count="61">
    <mergeCell ref="M46:N46"/>
    <mergeCell ref="P46:Q46"/>
    <mergeCell ref="P51:Q51"/>
    <mergeCell ref="G33:H33"/>
    <mergeCell ref="M33:N33"/>
    <mergeCell ref="P33:Q33"/>
    <mergeCell ref="O36:Q37"/>
    <mergeCell ref="G38:H38"/>
    <mergeCell ref="J38:K38"/>
    <mergeCell ref="M38:N38"/>
    <mergeCell ref="P38:Q38"/>
    <mergeCell ref="G27:H27"/>
    <mergeCell ref="M27:N27"/>
    <mergeCell ref="P27:Q27"/>
    <mergeCell ref="G29:H29"/>
    <mergeCell ref="J29:K29"/>
    <mergeCell ref="M29:N29"/>
    <mergeCell ref="P29:Q29"/>
    <mergeCell ref="G24:H24"/>
    <mergeCell ref="J24:K24"/>
    <mergeCell ref="M24:N24"/>
    <mergeCell ref="P24:Q24"/>
    <mergeCell ref="P11:Q11"/>
    <mergeCell ref="G12:H13"/>
    <mergeCell ref="J12:K12"/>
    <mergeCell ref="M12:N12"/>
    <mergeCell ref="P12:Q13"/>
    <mergeCell ref="G14:H14"/>
    <mergeCell ref="M14:N14"/>
    <mergeCell ref="P14:Q14"/>
    <mergeCell ref="P15:Q15"/>
    <mergeCell ref="G22:H22"/>
    <mergeCell ref="J22:K22"/>
    <mergeCell ref="M22:N22"/>
    <mergeCell ref="A5:S5"/>
    <mergeCell ref="G11:H11"/>
    <mergeCell ref="J11:K11"/>
    <mergeCell ref="M11:N11"/>
    <mergeCell ref="A3:S3"/>
    <mergeCell ref="A4:S4"/>
    <mergeCell ref="N56:O56"/>
    <mergeCell ref="J56:K56"/>
    <mergeCell ref="R56:S56"/>
    <mergeCell ref="J33:K33"/>
    <mergeCell ref="J14:K14"/>
    <mergeCell ref="J27:K27"/>
    <mergeCell ref="P22:Q22"/>
    <mergeCell ref="P53:Q53"/>
    <mergeCell ref="J40:K40"/>
    <mergeCell ref="M40:N40"/>
    <mergeCell ref="J42:K42"/>
    <mergeCell ref="M42:N42"/>
    <mergeCell ref="J45:K45"/>
    <mergeCell ref="M45:N45"/>
    <mergeCell ref="P45:Q45"/>
    <mergeCell ref="J46:K46"/>
    <mergeCell ref="C15:E17"/>
    <mergeCell ref="G15:H15"/>
    <mergeCell ref="C7:H7"/>
    <mergeCell ref="J15:K15"/>
    <mergeCell ref="M15:N15"/>
  </mergeCells>
  <phoneticPr fontId="4" type="noConversion"/>
  <printOptions horizontalCentered="1"/>
  <pageMargins left="0.39370078740157483" right="0.39370078740157483" top="0.59055118110236227" bottom="0.59055118110236227" header="0.51181102362204722" footer="0.51181102362204722"/>
  <pageSetup paperSize="9" scale="58"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4"/>
  <sheetViews>
    <sheetView showGridLines="0" zoomScaleNormal="100" zoomScaleSheetLayoutView="100" workbookViewId="0"/>
  </sheetViews>
  <sheetFormatPr defaultRowHeight="12.75" x14ac:dyDescent="0.2"/>
  <cols>
    <col min="1" max="2" width="1.7109375" customWidth="1"/>
    <col min="3" max="3" width="17.140625" customWidth="1"/>
    <col min="4" max="4" width="11" customWidth="1"/>
    <col min="5" max="5" width="17.28515625" customWidth="1"/>
    <col min="6" max="6" width="10.28515625" customWidth="1"/>
    <col min="7" max="7" width="9.140625" customWidth="1"/>
    <col min="8" max="8" width="2.5703125" customWidth="1"/>
    <col min="9" max="9" width="2.85546875" customWidth="1"/>
    <col min="10" max="11" width="9.140625" customWidth="1"/>
    <col min="12" max="12" width="2.7109375" customWidth="1"/>
    <col min="13" max="13" width="2.28515625" customWidth="1"/>
    <col min="14" max="14" width="9.140625" customWidth="1"/>
    <col min="15" max="15" width="10" customWidth="1"/>
    <col min="16" max="17" width="2.28515625" customWidth="1"/>
    <col min="18" max="19" width="9.140625" customWidth="1"/>
    <col min="20" max="20" width="2.140625" customWidth="1"/>
    <col min="21" max="21" width="2.5703125" customWidth="1"/>
    <col min="22" max="23" width="9.140625" customWidth="1"/>
    <col min="24" max="24" width="3" customWidth="1"/>
    <col min="25" max="25" width="2.85546875" customWidth="1"/>
    <col min="26" max="26" width="3.7109375" style="259" customWidth="1"/>
    <col min="27" max="27" width="2.85546875" style="259" customWidth="1"/>
    <col min="28" max="28" width="8.85546875" style="259"/>
  </cols>
  <sheetData>
    <row r="1" spans="1:28" ht="18.75" customHeight="1" x14ac:dyDescent="0.2">
      <c r="A1" s="198"/>
      <c r="B1" s="199"/>
      <c r="C1" s="199"/>
      <c r="D1" s="199"/>
      <c r="E1" s="199"/>
      <c r="F1" s="200">
        <f>+'Part 1'!F1</f>
        <v>327</v>
      </c>
      <c r="G1" s="199"/>
      <c r="H1" s="199"/>
      <c r="I1" s="199"/>
      <c r="J1" s="199"/>
      <c r="K1" s="199"/>
      <c r="L1" s="199"/>
      <c r="M1" s="199"/>
      <c r="N1" s="199"/>
      <c r="O1" s="199"/>
      <c r="P1" s="199"/>
      <c r="Q1" s="199"/>
      <c r="R1" s="199"/>
      <c r="S1" s="199"/>
      <c r="T1" s="199"/>
      <c r="U1" s="199"/>
      <c r="V1" s="199"/>
      <c r="W1" s="199"/>
      <c r="X1" s="201"/>
      <c r="Y1" s="202"/>
      <c r="Z1" s="105"/>
      <c r="AA1" s="105"/>
    </row>
    <row r="2" spans="1:28" ht="18.75" customHeight="1" x14ac:dyDescent="0.2">
      <c r="A2" s="152"/>
      <c r="B2" s="153"/>
      <c r="C2" s="153"/>
      <c r="D2" s="153"/>
      <c r="E2" s="153"/>
      <c r="F2" s="154"/>
      <c r="G2" s="153"/>
      <c r="H2" s="153"/>
      <c r="I2" s="153"/>
      <c r="J2" s="153"/>
      <c r="K2" s="153"/>
      <c r="L2" s="153"/>
      <c r="M2" s="153"/>
      <c r="N2" s="153"/>
      <c r="O2" s="153"/>
      <c r="P2" s="153"/>
      <c r="Q2" s="153"/>
      <c r="R2" s="153"/>
      <c r="S2" s="153"/>
      <c r="T2" s="153"/>
      <c r="U2" s="153"/>
      <c r="V2" s="153"/>
      <c r="W2" s="153"/>
      <c r="X2" s="105"/>
      <c r="Y2" s="161"/>
      <c r="Z2" s="105"/>
      <c r="AA2" s="105"/>
    </row>
    <row r="3" spans="1:28" s="157" customFormat="1" ht="18.75" customHeight="1" x14ac:dyDescent="0.3">
      <c r="A3" s="384" t="s">
        <v>852</v>
      </c>
      <c r="B3" s="385"/>
      <c r="C3" s="385"/>
      <c r="D3" s="385"/>
      <c r="E3" s="385"/>
      <c r="F3" s="385"/>
      <c r="G3" s="385"/>
      <c r="H3" s="385"/>
      <c r="I3" s="385"/>
      <c r="J3" s="385"/>
      <c r="K3" s="385"/>
      <c r="L3" s="385"/>
      <c r="M3" s="385"/>
      <c r="N3" s="385"/>
      <c r="O3" s="385"/>
      <c r="P3" s="385"/>
      <c r="Q3" s="385"/>
      <c r="R3" s="385"/>
      <c r="S3" s="385"/>
      <c r="T3" s="385"/>
      <c r="U3" s="385"/>
      <c r="V3" s="385"/>
      <c r="W3" s="385"/>
      <c r="X3" s="385"/>
      <c r="Y3" s="386"/>
      <c r="Z3" s="264"/>
      <c r="AA3" s="264"/>
      <c r="AB3" s="264"/>
    </row>
    <row r="4" spans="1:28" s="157" customFormat="1" ht="18.75" customHeight="1" x14ac:dyDescent="0.3">
      <c r="A4" s="384" t="s">
        <v>853</v>
      </c>
      <c r="B4" s="387"/>
      <c r="C4" s="387"/>
      <c r="D4" s="387"/>
      <c r="E4" s="387"/>
      <c r="F4" s="387"/>
      <c r="G4" s="387"/>
      <c r="H4" s="387"/>
      <c r="I4" s="387"/>
      <c r="J4" s="387"/>
      <c r="K4" s="387"/>
      <c r="L4" s="387"/>
      <c r="M4" s="387"/>
      <c r="N4" s="387"/>
      <c r="O4" s="387"/>
      <c r="P4" s="387"/>
      <c r="Q4" s="387"/>
      <c r="R4" s="387"/>
      <c r="S4" s="387"/>
      <c r="T4" s="387"/>
      <c r="U4" s="387"/>
      <c r="V4" s="387"/>
      <c r="W4" s="387"/>
      <c r="X4" s="387"/>
      <c r="Y4" s="388"/>
      <c r="Z4" s="264"/>
      <c r="AA4" s="264"/>
      <c r="AB4" s="264"/>
    </row>
    <row r="5" spans="1:28" ht="18.75" customHeight="1" x14ac:dyDescent="0.25">
      <c r="A5" s="380"/>
      <c r="B5" s="381"/>
      <c r="C5" s="381"/>
      <c r="D5" s="381"/>
      <c r="E5" s="381"/>
      <c r="F5" s="381"/>
      <c r="G5" s="381"/>
      <c r="H5" s="381"/>
      <c r="I5" s="381"/>
      <c r="J5" s="381"/>
      <c r="K5" s="381"/>
      <c r="L5" s="381"/>
      <c r="M5" s="381"/>
      <c r="N5" s="381"/>
      <c r="O5" s="381"/>
      <c r="P5" s="381"/>
      <c r="Q5" s="381"/>
      <c r="R5" s="381"/>
      <c r="S5" s="381"/>
      <c r="T5" s="381"/>
      <c r="U5" s="381"/>
      <c r="V5" s="381"/>
      <c r="W5" s="381"/>
      <c r="X5" s="381"/>
      <c r="Y5" s="382"/>
    </row>
    <row r="6" spans="1:28" ht="18.75" customHeight="1" thickBot="1" x14ac:dyDescent="0.25">
      <c r="A6" s="54"/>
      <c r="B6" s="55"/>
      <c r="C6" s="55"/>
      <c r="D6" s="55"/>
      <c r="E6" s="55"/>
      <c r="F6" s="55"/>
      <c r="G6" s="55"/>
      <c r="H6" s="55"/>
      <c r="I6" s="55"/>
      <c r="J6" s="55"/>
      <c r="K6" s="55"/>
      <c r="L6" s="55"/>
      <c r="M6" s="55"/>
      <c r="N6" s="55"/>
      <c r="O6" s="55"/>
      <c r="P6" s="55"/>
      <c r="Q6" s="55"/>
      <c r="R6" s="55"/>
      <c r="S6" s="55"/>
      <c r="T6" s="55"/>
      <c r="U6" s="55"/>
      <c r="V6" s="55"/>
      <c r="W6" s="55"/>
      <c r="X6" s="50"/>
      <c r="Y6" s="159"/>
      <c r="Z6" s="105"/>
      <c r="AA6" s="105"/>
    </row>
    <row r="7" spans="1:28" x14ac:dyDescent="0.2">
      <c r="A7" s="203"/>
      <c r="B7" s="204"/>
      <c r="C7" s="376"/>
      <c r="D7" s="376"/>
      <c r="E7" s="376"/>
      <c r="F7" s="376"/>
      <c r="G7" s="376"/>
      <c r="H7" s="376"/>
      <c r="I7" s="204"/>
      <c r="J7" s="204"/>
      <c r="K7" s="204"/>
      <c r="L7" s="204"/>
      <c r="M7" s="204"/>
      <c r="N7" s="204"/>
      <c r="O7" s="204"/>
      <c r="P7" s="204"/>
      <c r="Q7" s="204"/>
      <c r="R7" s="204"/>
      <c r="S7" s="204"/>
      <c r="T7" s="204"/>
      <c r="U7" s="204"/>
      <c r="V7" s="204"/>
      <c r="W7" s="204"/>
      <c r="X7" s="204"/>
      <c r="Y7" s="205"/>
      <c r="Z7" s="2"/>
      <c r="AA7" s="2"/>
    </row>
    <row r="8" spans="1:28" s="26" customFormat="1" ht="18" x14ac:dyDescent="0.25">
      <c r="A8" s="30"/>
      <c r="B8" s="24"/>
      <c r="C8" s="58" t="str">
        <f>+CONCATENATE("Local Authority : ",VLOOKUP(F1,Part3,5,FALSE))</f>
        <v>Local Authority : England</v>
      </c>
      <c r="D8" s="58"/>
      <c r="E8" s="58"/>
      <c r="F8" s="51"/>
      <c r="G8" s="51"/>
      <c r="H8" s="51"/>
      <c r="I8" s="24"/>
      <c r="J8" s="24"/>
      <c r="K8" s="24"/>
      <c r="L8" s="24"/>
      <c r="M8" s="24"/>
      <c r="N8" s="24"/>
      <c r="O8" s="24"/>
      <c r="P8" s="24"/>
      <c r="Q8" s="24"/>
      <c r="R8" s="24"/>
      <c r="S8" s="24"/>
      <c r="T8" s="24"/>
      <c r="U8" s="24"/>
      <c r="V8" s="24"/>
      <c r="W8" s="24"/>
      <c r="X8" s="24"/>
      <c r="Y8" s="25"/>
      <c r="Z8" s="24"/>
      <c r="AA8" s="24"/>
      <c r="AB8" s="265"/>
    </row>
    <row r="9" spans="1:28" s="26" customFormat="1" ht="15.75" x14ac:dyDescent="0.25">
      <c r="A9" s="30"/>
      <c r="B9" s="51"/>
      <c r="C9" s="51"/>
      <c r="D9" s="51"/>
      <c r="E9" s="51"/>
      <c r="F9" s="51"/>
      <c r="G9" s="51"/>
      <c r="H9" s="51"/>
      <c r="I9" s="24"/>
      <c r="J9" s="24"/>
      <c r="K9" s="24"/>
      <c r="L9" s="24"/>
      <c r="M9" s="24"/>
      <c r="N9" s="24"/>
      <c r="O9" s="24"/>
      <c r="P9" s="24"/>
      <c r="Q9" s="24"/>
      <c r="R9" s="24"/>
      <c r="S9" s="24"/>
      <c r="T9" s="24"/>
      <c r="U9" s="24"/>
      <c r="V9" s="24"/>
      <c r="W9" s="24"/>
      <c r="X9" s="24"/>
      <c r="Y9" s="25"/>
      <c r="Z9" s="24"/>
      <c r="AA9" s="24"/>
      <c r="AB9" s="265"/>
    </row>
    <row r="10" spans="1:28" ht="15.75" x14ac:dyDescent="0.25">
      <c r="A10" s="21"/>
      <c r="B10" s="2"/>
      <c r="C10" s="393" t="s">
        <v>871</v>
      </c>
      <c r="D10" s="393"/>
      <c r="E10" s="393"/>
      <c r="F10" s="393"/>
      <c r="G10" s="393"/>
      <c r="H10" s="393"/>
      <c r="I10" s="8"/>
      <c r="J10" s="8"/>
      <c r="K10" s="8"/>
      <c r="L10" s="8"/>
      <c r="M10" s="8"/>
      <c r="N10" s="8"/>
      <c r="O10" s="8"/>
      <c r="P10" s="8"/>
      <c r="Q10" s="8"/>
      <c r="R10" s="8"/>
      <c r="S10" s="8"/>
      <c r="T10" s="8"/>
      <c r="U10" s="8"/>
      <c r="V10" s="8"/>
      <c r="W10" s="8"/>
      <c r="X10" s="1"/>
      <c r="Y10" s="48"/>
      <c r="AA10" s="260"/>
    </row>
    <row r="11" spans="1:28" ht="15.75" x14ac:dyDescent="0.25">
      <c r="A11" s="21"/>
      <c r="B11" s="2"/>
      <c r="C11" s="11"/>
      <c r="D11" s="11"/>
      <c r="E11" s="11"/>
      <c r="F11" s="11"/>
      <c r="G11" s="11"/>
      <c r="H11" s="11"/>
      <c r="I11" s="8"/>
      <c r="J11" s="383" t="s">
        <v>545</v>
      </c>
      <c r="K11" s="383"/>
      <c r="L11" s="178"/>
      <c r="M11" s="178"/>
      <c r="N11" s="383" t="s">
        <v>546</v>
      </c>
      <c r="O11" s="383"/>
      <c r="P11" s="178"/>
      <c r="Q11" s="178"/>
      <c r="R11" s="383" t="s">
        <v>547</v>
      </c>
      <c r="S11" s="383"/>
      <c r="T11" s="178"/>
      <c r="U11" s="8"/>
      <c r="V11" s="383" t="s">
        <v>548</v>
      </c>
      <c r="W11" s="383"/>
      <c r="X11" s="1"/>
      <c r="Y11" s="48"/>
      <c r="AA11" s="260"/>
    </row>
    <row r="12" spans="1:28" ht="15.75" customHeight="1" x14ac:dyDescent="0.25">
      <c r="A12" s="21"/>
      <c r="B12" s="2"/>
      <c r="C12" s="8"/>
      <c r="D12" s="8"/>
      <c r="E12" s="8"/>
      <c r="F12" s="8"/>
      <c r="G12" s="8"/>
      <c r="H12" s="8"/>
      <c r="I12" s="8"/>
      <c r="J12" s="389" t="s">
        <v>34</v>
      </c>
      <c r="K12" s="389"/>
      <c r="L12" s="13"/>
      <c r="M12" s="13"/>
      <c r="N12" s="378" t="s">
        <v>549</v>
      </c>
      <c r="O12" s="378"/>
      <c r="P12" s="13"/>
      <c r="Q12" s="13"/>
      <c r="R12" s="378" t="s">
        <v>550</v>
      </c>
      <c r="S12" s="378"/>
      <c r="T12" s="13"/>
      <c r="U12" s="8"/>
      <c r="V12" s="389" t="s">
        <v>33</v>
      </c>
      <c r="W12" s="389"/>
      <c r="X12" s="3"/>
      <c r="Y12" s="48"/>
      <c r="AA12" s="260"/>
    </row>
    <row r="13" spans="1:28" ht="15.75" x14ac:dyDescent="0.25">
      <c r="A13" s="21"/>
      <c r="B13" s="2"/>
      <c r="C13" s="8"/>
      <c r="D13" s="8"/>
      <c r="E13" s="8"/>
      <c r="F13" s="8"/>
      <c r="G13" s="8"/>
      <c r="H13" s="8"/>
      <c r="I13" s="8"/>
      <c r="J13" s="394"/>
      <c r="K13" s="394"/>
      <c r="L13" s="8"/>
      <c r="M13" s="8"/>
      <c r="N13" s="378"/>
      <c r="O13" s="378"/>
      <c r="P13" s="8"/>
      <c r="Q13" s="8"/>
      <c r="R13" s="378"/>
      <c r="S13" s="378"/>
      <c r="T13" s="8"/>
      <c r="U13" s="8"/>
      <c r="V13" s="389"/>
      <c r="W13" s="389"/>
      <c r="X13" s="2"/>
      <c r="Y13" s="48"/>
      <c r="AA13" s="260"/>
    </row>
    <row r="14" spans="1:28" ht="16.5" customHeight="1" thickBot="1" x14ac:dyDescent="0.25">
      <c r="A14" s="217"/>
      <c r="B14" s="218"/>
      <c r="C14" s="70" t="s">
        <v>872</v>
      </c>
      <c r="D14" s="71"/>
      <c r="E14" s="71"/>
      <c r="F14" s="71"/>
      <c r="G14" s="71"/>
      <c r="H14" s="8"/>
      <c r="I14" s="8"/>
      <c r="J14" s="397" t="s">
        <v>542</v>
      </c>
      <c r="K14" s="398"/>
      <c r="L14" s="59"/>
      <c r="M14" s="59"/>
      <c r="N14" s="397" t="s">
        <v>542</v>
      </c>
      <c r="O14" s="398"/>
      <c r="P14" s="59"/>
      <c r="Q14" s="59"/>
      <c r="R14" s="397" t="s">
        <v>542</v>
      </c>
      <c r="S14" s="398"/>
      <c r="T14" s="59"/>
      <c r="U14" s="59"/>
      <c r="V14" s="399" t="s">
        <v>542</v>
      </c>
      <c r="W14" s="400"/>
      <c r="X14" s="2"/>
      <c r="Y14" s="48"/>
      <c r="AA14" s="261"/>
    </row>
    <row r="15" spans="1:28" ht="16.5" thickBot="1" x14ac:dyDescent="0.25">
      <c r="A15" s="217"/>
      <c r="B15" s="218"/>
      <c r="C15" s="71" t="s">
        <v>873</v>
      </c>
      <c r="D15" s="71"/>
      <c r="E15" s="71"/>
      <c r="F15" s="71"/>
      <c r="G15" s="71"/>
      <c r="H15" s="8"/>
      <c r="I15" s="8"/>
      <c r="J15" s="395">
        <f>VLOOKUP($F$1,Part3,6,FALSE)</f>
        <v>158334445.09999999</v>
      </c>
      <c r="K15" s="396"/>
      <c r="L15" s="59"/>
      <c r="M15" s="59"/>
      <c r="N15" s="374">
        <f>VLOOKUP($F$1,Part3,7,FALSE)</f>
        <v>9665</v>
      </c>
      <c r="O15" s="375"/>
      <c r="P15" s="59"/>
      <c r="Q15" s="59"/>
      <c r="R15" s="374">
        <f>VLOOKUP($F$1,Part3,8,FALSE)</f>
        <v>218215.64</v>
      </c>
      <c r="S15" s="375"/>
      <c r="T15" s="59"/>
      <c r="U15" s="59"/>
      <c r="V15" s="374">
        <f>VLOOKUP($F$1,Part3,9,FALSE)</f>
        <v>158562325.73999998</v>
      </c>
      <c r="W15" s="375"/>
      <c r="X15" s="2"/>
      <c r="Y15" s="48"/>
      <c r="AA15" s="262"/>
    </row>
    <row r="16" spans="1:28" ht="15.75" customHeight="1" thickBot="1" x14ac:dyDescent="0.25">
      <c r="A16" s="217"/>
      <c r="B16" s="218"/>
      <c r="C16" s="71"/>
      <c r="D16" s="71"/>
      <c r="E16" s="71"/>
      <c r="F16" s="71"/>
      <c r="G16" s="71"/>
      <c r="H16" s="8"/>
      <c r="I16" s="8"/>
      <c r="J16" s="347"/>
      <c r="K16" s="347"/>
      <c r="L16" s="8"/>
      <c r="M16" s="8"/>
      <c r="N16" s="8"/>
      <c r="O16" s="8"/>
      <c r="P16" s="8"/>
      <c r="Q16" s="8"/>
      <c r="R16" s="8"/>
      <c r="S16" s="8"/>
      <c r="T16" s="8"/>
      <c r="U16" s="59"/>
      <c r="V16" s="73"/>
      <c r="W16" s="59"/>
      <c r="X16" s="2"/>
      <c r="Y16" s="48"/>
      <c r="AA16" s="261"/>
    </row>
    <row r="17" spans="1:27" ht="15.75" customHeight="1" thickBot="1" x14ac:dyDescent="0.25">
      <c r="A17" s="217"/>
      <c r="B17" s="218"/>
      <c r="C17" s="71" t="s">
        <v>874</v>
      </c>
      <c r="D17" s="71"/>
      <c r="E17" s="71"/>
      <c r="F17" s="71"/>
      <c r="G17" s="71"/>
      <c r="H17" s="8"/>
      <c r="I17" s="8"/>
      <c r="J17" s="395">
        <f>VLOOKUP($F$1,Part3,10,FALSE)</f>
        <v>-95894251.399999976</v>
      </c>
      <c r="K17" s="396"/>
      <c r="L17" s="59"/>
      <c r="M17" s="59"/>
      <c r="N17" s="374">
        <f>VLOOKUP($F$1,Part3,11,FALSE)</f>
        <v>0</v>
      </c>
      <c r="O17" s="375"/>
      <c r="P17" s="59"/>
      <c r="Q17" s="59"/>
      <c r="R17" s="374">
        <f>VLOOKUP($F$1,Part3,12,FALSE)</f>
        <v>-74331.87</v>
      </c>
      <c r="S17" s="375"/>
      <c r="T17" s="59"/>
      <c r="U17" s="59"/>
      <c r="V17" s="374">
        <f>VLOOKUP($F$1,Part3,13,FALSE)</f>
        <v>-95968583.269999966</v>
      </c>
      <c r="W17" s="375"/>
      <c r="X17" s="2"/>
      <c r="Y17" s="48"/>
      <c r="AA17" s="262"/>
    </row>
    <row r="18" spans="1:27" ht="15.75" customHeight="1" thickBot="1" x14ac:dyDescent="0.25">
      <c r="A18" s="217"/>
      <c r="B18" s="218"/>
      <c r="C18" s="71"/>
      <c r="D18" s="71"/>
      <c r="E18" s="71"/>
      <c r="F18" s="71"/>
      <c r="G18" s="71"/>
      <c r="H18" s="8"/>
      <c r="I18" s="8"/>
      <c r="J18" s="347"/>
      <c r="K18" s="347"/>
      <c r="L18" s="8"/>
      <c r="M18" s="8"/>
      <c r="N18" s="8"/>
      <c r="O18" s="8"/>
      <c r="P18" s="8"/>
      <c r="Q18" s="8"/>
      <c r="R18" s="8"/>
      <c r="S18" s="8"/>
      <c r="T18" s="8"/>
      <c r="U18" s="59"/>
      <c r="V18" s="73"/>
      <c r="W18" s="59"/>
      <c r="X18" s="2"/>
      <c r="Y18" s="48"/>
      <c r="AA18" s="261"/>
    </row>
    <row r="19" spans="1:27" ht="16.5" thickBot="1" x14ac:dyDescent="0.25">
      <c r="A19" s="217"/>
      <c r="B19" s="218"/>
      <c r="C19" s="360" t="s">
        <v>875</v>
      </c>
      <c r="D19" s="360"/>
      <c r="E19" s="360"/>
      <c r="F19" s="360"/>
      <c r="G19" s="360"/>
      <c r="H19" s="8"/>
      <c r="I19" s="8"/>
      <c r="J19" s="395">
        <f>VLOOKUP($F$1,Part3,14,FALSE)</f>
        <v>30059233.230000004</v>
      </c>
      <c r="K19" s="396"/>
      <c r="L19" s="59"/>
      <c r="M19" s="59"/>
      <c r="N19" s="374">
        <f>VLOOKUP($F$1,Part3,15,FALSE)</f>
        <v>59665</v>
      </c>
      <c r="O19" s="375"/>
      <c r="P19" s="59"/>
      <c r="Q19" s="59"/>
      <c r="R19" s="374">
        <f>VLOOKUP($F$1,Part3,16,FALSE)</f>
        <v>10741.380000000001</v>
      </c>
      <c r="S19" s="375"/>
      <c r="T19" s="59"/>
      <c r="U19" s="59"/>
      <c r="V19" s="374">
        <f>VLOOKUP($F$1,Part3,17,FALSE)</f>
        <v>30129639.610000003</v>
      </c>
      <c r="W19" s="375"/>
      <c r="X19" s="2"/>
      <c r="Y19" s="48"/>
      <c r="AA19" s="262"/>
    </row>
    <row r="20" spans="1:27" ht="15.75" customHeight="1" x14ac:dyDescent="0.2">
      <c r="A20" s="217"/>
      <c r="B20" s="218"/>
      <c r="C20" s="360"/>
      <c r="D20" s="360"/>
      <c r="E20" s="360"/>
      <c r="F20" s="360"/>
      <c r="G20" s="360"/>
      <c r="H20" s="8"/>
      <c r="I20" s="8"/>
      <c r="J20" s="59"/>
      <c r="K20" s="59"/>
      <c r="L20" s="59"/>
      <c r="M20" s="59"/>
      <c r="N20" s="59"/>
      <c r="O20" s="59"/>
      <c r="P20" s="59"/>
      <c r="Q20" s="59"/>
      <c r="R20" s="59"/>
      <c r="S20" s="59"/>
      <c r="T20" s="59"/>
      <c r="U20" s="59"/>
      <c r="V20" s="59"/>
      <c r="W20" s="59"/>
      <c r="X20" s="2"/>
      <c r="Y20" s="48"/>
      <c r="AA20" s="261"/>
    </row>
    <row r="21" spans="1:27" ht="15.75" customHeight="1" thickBot="1" x14ac:dyDescent="0.25">
      <c r="A21" s="217"/>
      <c r="B21" s="218"/>
      <c r="C21" s="71"/>
      <c r="D21" s="71"/>
      <c r="E21" s="71"/>
      <c r="F21" s="71"/>
      <c r="G21" s="71"/>
      <c r="H21" s="8"/>
      <c r="I21" s="8"/>
      <c r="J21" s="59"/>
      <c r="K21" s="59"/>
      <c r="L21" s="59"/>
      <c r="M21" s="59"/>
      <c r="N21" s="59"/>
      <c r="O21" s="59"/>
      <c r="P21" s="59"/>
      <c r="Q21" s="59"/>
      <c r="R21" s="59"/>
      <c r="S21" s="59"/>
      <c r="T21" s="59"/>
      <c r="U21" s="59"/>
      <c r="V21" s="59"/>
      <c r="W21" s="59"/>
      <c r="X21" s="2"/>
      <c r="Y21" s="48"/>
      <c r="AA21" s="261"/>
    </row>
    <row r="22" spans="1:27" ht="15.75" customHeight="1" thickBot="1" x14ac:dyDescent="0.25">
      <c r="A22" s="217"/>
      <c r="B22" s="218"/>
      <c r="C22" s="360" t="s">
        <v>876</v>
      </c>
      <c r="D22" s="360"/>
      <c r="E22" s="360"/>
      <c r="F22" s="360"/>
      <c r="G22" s="360"/>
      <c r="H22" s="8"/>
      <c r="I22" s="8"/>
      <c r="J22" s="395">
        <f>VLOOKUP($F$1,Part3,18,FALSE)</f>
        <v>68024504.169999957</v>
      </c>
      <c r="K22" s="396"/>
      <c r="L22" s="59"/>
      <c r="M22" s="59"/>
      <c r="N22" s="374">
        <f>VLOOKUP($F$1,Part3,19,FALSE)</f>
        <v>17062</v>
      </c>
      <c r="O22" s="375"/>
      <c r="P22" s="59"/>
      <c r="Q22" s="59"/>
      <c r="R22" s="374">
        <f>VLOOKUP($F$1,Part3,20,FALSE)</f>
        <v>113289.74</v>
      </c>
      <c r="S22" s="375"/>
      <c r="T22" s="59"/>
      <c r="U22" s="59"/>
      <c r="V22" s="374">
        <f>VLOOKUP($F$1,Part3,21,FALSE)</f>
        <v>68154855.909999967</v>
      </c>
      <c r="W22" s="375"/>
      <c r="X22" s="2"/>
      <c r="Y22" s="48"/>
      <c r="AA22" s="262"/>
    </row>
    <row r="23" spans="1:27" ht="15.75" customHeight="1" x14ac:dyDescent="0.2">
      <c r="A23" s="217"/>
      <c r="B23" s="218"/>
      <c r="C23" s="360"/>
      <c r="D23" s="360"/>
      <c r="E23" s="360"/>
      <c r="F23" s="360"/>
      <c r="G23" s="360"/>
      <c r="H23" s="8"/>
      <c r="I23" s="8"/>
      <c r="J23" s="59"/>
      <c r="K23" s="59"/>
      <c r="L23" s="59"/>
      <c r="M23" s="59"/>
      <c r="N23" s="59"/>
      <c r="O23" s="59"/>
      <c r="P23" s="59"/>
      <c r="Q23" s="59"/>
      <c r="R23" s="59"/>
      <c r="S23" s="59"/>
      <c r="T23" s="59"/>
      <c r="U23" s="59"/>
      <c r="V23" s="59"/>
      <c r="W23" s="59"/>
      <c r="X23" s="2"/>
      <c r="Y23" s="48"/>
      <c r="AA23" s="261"/>
    </row>
    <row r="24" spans="1:27" ht="15.75" x14ac:dyDescent="0.2">
      <c r="A24" s="217"/>
      <c r="B24" s="218"/>
      <c r="C24" s="71"/>
      <c r="D24" s="71"/>
      <c r="E24" s="71"/>
      <c r="F24" s="71"/>
      <c r="G24" s="71"/>
      <c r="H24" s="8"/>
      <c r="I24" s="8"/>
      <c r="J24" s="73"/>
      <c r="K24" s="59"/>
      <c r="L24" s="59"/>
      <c r="M24" s="59"/>
      <c r="N24" s="73"/>
      <c r="O24" s="59"/>
      <c r="P24" s="59"/>
      <c r="Q24" s="59"/>
      <c r="R24" s="73"/>
      <c r="S24" s="59"/>
      <c r="T24" s="59"/>
      <c r="U24" s="59"/>
      <c r="V24" s="73"/>
      <c r="W24" s="59"/>
      <c r="X24" s="2"/>
      <c r="Y24" s="48"/>
      <c r="AA24" s="261"/>
    </row>
    <row r="25" spans="1:27" ht="15.75" x14ac:dyDescent="0.2">
      <c r="A25" s="219"/>
      <c r="B25" s="220"/>
      <c r="C25" s="70" t="s">
        <v>877</v>
      </c>
      <c r="D25" s="71"/>
      <c r="E25" s="71"/>
      <c r="F25" s="71"/>
      <c r="G25" s="71"/>
      <c r="H25" s="8"/>
      <c r="I25" s="59"/>
      <c r="J25" s="59"/>
      <c r="K25" s="59"/>
      <c r="L25" s="59"/>
      <c r="M25" s="59"/>
      <c r="N25" s="59"/>
      <c r="O25" s="59"/>
      <c r="P25" s="59"/>
      <c r="Q25" s="59"/>
      <c r="R25" s="59"/>
      <c r="S25" s="59"/>
      <c r="T25" s="59"/>
      <c r="U25" s="59"/>
      <c r="V25" s="59"/>
      <c r="W25" s="59"/>
      <c r="X25" s="2"/>
      <c r="Y25" s="48"/>
      <c r="AA25" s="261"/>
    </row>
    <row r="26" spans="1:27" ht="16.5" thickBot="1" x14ac:dyDescent="0.25">
      <c r="A26" s="217"/>
      <c r="B26" s="218"/>
      <c r="C26" s="70" t="s">
        <v>552</v>
      </c>
      <c r="D26" s="71"/>
      <c r="E26" s="71"/>
      <c r="F26" s="71"/>
      <c r="G26" s="71"/>
      <c r="H26" s="8"/>
      <c r="I26" s="8"/>
      <c r="J26" s="59"/>
      <c r="K26" s="59"/>
      <c r="L26" s="59"/>
      <c r="M26" s="59"/>
      <c r="N26" s="59"/>
      <c r="O26" s="59"/>
      <c r="P26" s="59"/>
      <c r="Q26" s="59"/>
      <c r="R26" s="59"/>
      <c r="S26" s="59"/>
      <c r="T26" s="59"/>
      <c r="U26" s="59"/>
      <c r="V26" s="59"/>
      <c r="W26" s="59"/>
      <c r="X26" s="2"/>
      <c r="Y26" s="48"/>
      <c r="AA26" s="261"/>
    </row>
    <row r="27" spans="1:27" ht="16.5" thickBot="1" x14ac:dyDescent="0.25">
      <c r="A27" s="217"/>
      <c r="B27" s="218"/>
      <c r="C27" s="71" t="s">
        <v>878</v>
      </c>
      <c r="D27" s="71"/>
      <c r="E27" s="71"/>
      <c r="F27" s="71"/>
      <c r="G27" s="71"/>
      <c r="H27" s="8"/>
      <c r="I27" s="8"/>
      <c r="J27" s="395">
        <f>VLOOKUP($F$1,Part3,22,FALSE)</f>
        <v>984683765.9400003</v>
      </c>
      <c r="K27" s="396"/>
      <c r="L27" s="59"/>
      <c r="M27" s="59"/>
      <c r="N27" s="374">
        <f>VLOOKUP($F$1,Part3,23,FALSE)</f>
        <v>276137</v>
      </c>
      <c r="O27" s="375"/>
      <c r="P27" s="59"/>
      <c r="Q27" s="59"/>
      <c r="R27" s="374">
        <f>VLOOKUP($F$1,Part3,24,FALSE)</f>
        <v>904536.86</v>
      </c>
      <c r="S27" s="375"/>
      <c r="T27" s="59"/>
      <c r="U27" s="59"/>
      <c r="V27" s="374">
        <f>VLOOKUP($F$1,Part3,25,FALSE)</f>
        <v>985864439.80000019</v>
      </c>
      <c r="W27" s="375"/>
      <c r="X27" s="2"/>
      <c r="Y27" s="48"/>
      <c r="AA27" s="262"/>
    </row>
    <row r="28" spans="1:27" ht="16.5" thickBot="1" x14ac:dyDescent="0.25">
      <c r="A28" s="217"/>
      <c r="B28" s="218"/>
      <c r="C28" s="71"/>
      <c r="D28" s="71"/>
      <c r="E28" s="71"/>
      <c r="F28" s="71"/>
      <c r="G28" s="71"/>
      <c r="H28" s="8"/>
      <c r="I28" s="8"/>
      <c r="J28" s="73"/>
      <c r="K28" s="59"/>
      <c r="L28" s="59"/>
      <c r="M28" s="59"/>
      <c r="N28" s="73"/>
      <c r="O28" s="59"/>
      <c r="P28" s="59"/>
      <c r="Q28" s="59"/>
      <c r="R28" s="73"/>
      <c r="S28" s="59"/>
      <c r="T28" s="59"/>
      <c r="U28" s="59"/>
      <c r="V28" s="73"/>
      <c r="W28" s="59"/>
      <c r="X28" s="2"/>
      <c r="Y28" s="48"/>
      <c r="AA28" s="261"/>
    </row>
    <row r="29" spans="1:27" ht="16.5" thickBot="1" x14ac:dyDescent="0.25">
      <c r="A29" s="217"/>
      <c r="B29" s="218"/>
      <c r="C29" s="71" t="s">
        <v>879</v>
      </c>
      <c r="D29" s="71"/>
      <c r="E29" s="71"/>
      <c r="F29" s="71"/>
      <c r="G29" s="71"/>
      <c r="H29" s="8"/>
      <c r="I29" s="8"/>
      <c r="J29" s="395">
        <f>VLOOKUP($F$1,Part3,26,FALSE)</f>
        <v>48087897.360000022</v>
      </c>
      <c r="K29" s="396"/>
      <c r="L29" s="59"/>
      <c r="M29" s="59"/>
      <c r="N29" s="374">
        <f>VLOOKUP($F$1,Part3,27,FALSE)</f>
        <v>3882</v>
      </c>
      <c r="O29" s="375"/>
      <c r="P29" s="59"/>
      <c r="Q29" s="59"/>
      <c r="R29" s="374">
        <f>VLOOKUP($F$1,Part3,28,FALSE)</f>
        <v>54677.440000000002</v>
      </c>
      <c r="S29" s="375"/>
      <c r="T29" s="59"/>
      <c r="U29" s="59"/>
      <c r="V29" s="374">
        <f>VLOOKUP($F$1,Part3,29,FALSE)</f>
        <v>48146456.800000027</v>
      </c>
      <c r="W29" s="375"/>
      <c r="X29" s="2"/>
      <c r="Y29" s="48"/>
      <c r="AA29" s="262"/>
    </row>
    <row r="30" spans="1:27" ht="16.5" thickBot="1" x14ac:dyDescent="0.25">
      <c r="A30" s="217"/>
      <c r="B30" s="218"/>
      <c r="C30" s="71"/>
      <c r="D30" s="71"/>
      <c r="E30" s="71"/>
      <c r="F30" s="71"/>
      <c r="G30" s="71"/>
      <c r="H30" s="8"/>
      <c r="I30" s="8"/>
      <c r="J30" s="73"/>
      <c r="K30" s="59"/>
      <c r="L30" s="59"/>
      <c r="M30" s="59"/>
      <c r="N30" s="73"/>
      <c r="O30" s="59"/>
      <c r="P30" s="59"/>
      <c r="Q30" s="59"/>
      <c r="R30" s="73"/>
      <c r="S30" s="59"/>
      <c r="T30" s="59"/>
      <c r="U30" s="59"/>
      <c r="V30" s="73"/>
      <c r="W30" s="59"/>
      <c r="X30" s="2"/>
      <c r="Y30" s="48"/>
      <c r="AA30" s="261"/>
    </row>
    <row r="31" spans="1:27" ht="16.5" thickBot="1" x14ac:dyDescent="0.25">
      <c r="A31" s="217"/>
      <c r="B31" s="218"/>
      <c r="C31" s="360" t="s">
        <v>880</v>
      </c>
      <c r="D31" s="360"/>
      <c r="E31" s="360"/>
      <c r="F31" s="360"/>
      <c r="G31" s="360"/>
      <c r="H31" s="8"/>
      <c r="I31" s="8"/>
      <c r="J31" s="395">
        <f>VLOOKUP($F$1,Part3,30,FALSE)</f>
        <v>445797640.33000016</v>
      </c>
      <c r="K31" s="396"/>
      <c r="L31" s="59"/>
      <c r="M31" s="59"/>
      <c r="N31" s="374">
        <f>VLOOKUP($F$1,Part3,31,FALSE)</f>
        <v>289379</v>
      </c>
      <c r="O31" s="375"/>
      <c r="P31" s="59"/>
      <c r="Q31" s="59"/>
      <c r="R31" s="374">
        <f>VLOOKUP($F$1,Part3,32,FALSE)</f>
        <v>763066.03</v>
      </c>
      <c r="S31" s="375"/>
      <c r="T31" s="59"/>
      <c r="U31" s="59"/>
      <c r="V31" s="374">
        <f>VLOOKUP($F$1,Part3,33,FALSE)</f>
        <v>446850085.36000013</v>
      </c>
      <c r="W31" s="375"/>
      <c r="X31" s="2"/>
      <c r="Y31" s="48"/>
      <c r="AA31" s="262"/>
    </row>
    <row r="32" spans="1:27" ht="15.75" customHeight="1" x14ac:dyDescent="0.2">
      <c r="A32" s="217"/>
      <c r="B32" s="218"/>
      <c r="C32" s="373"/>
      <c r="D32" s="373"/>
      <c r="E32" s="373"/>
      <c r="F32" s="373"/>
      <c r="G32" s="373"/>
      <c r="H32" s="8"/>
      <c r="I32" s="8"/>
      <c r="J32" s="73"/>
      <c r="K32" s="59"/>
      <c r="L32" s="59"/>
      <c r="M32" s="59"/>
      <c r="N32" s="73"/>
      <c r="O32" s="59"/>
      <c r="P32" s="59"/>
      <c r="Q32" s="59"/>
      <c r="R32" s="73"/>
      <c r="S32" s="59"/>
      <c r="T32" s="59"/>
      <c r="U32" s="59"/>
      <c r="V32" s="73"/>
      <c r="W32" s="59"/>
      <c r="X32" s="2"/>
      <c r="Y32" s="48"/>
      <c r="AA32" s="261"/>
    </row>
    <row r="33" spans="1:27" ht="16.5" thickBot="1" x14ac:dyDescent="0.25">
      <c r="A33" s="217"/>
      <c r="B33" s="218"/>
      <c r="C33" s="160"/>
      <c r="D33" s="160"/>
      <c r="E33" s="160"/>
      <c r="F33" s="160"/>
      <c r="G33" s="160"/>
      <c r="H33" s="8"/>
      <c r="I33" s="8"/>
      <c r="J33" s="73"/>
      <c r="K33" s="59"/>
      <c r="L33" s="59"/>
      <c r="M33" s="59"/>
      <c r="N33" s="73"/>
      <c r="O33" s="59"/>
      <c r="P33" s="59"/>
      <c r="Q33" s="59"/>
      <c r="R33" s="73"/>
      <c r="S33" s="59"/>
      <c r="T33" s="59"/>
      <c r="U33" s="59"/>
      <c r="V33" s="73"/>
      <c r="W33" s="59"/>
      <c r="X33" s="2"/>
      <c r="Y33" s="48"/>
      <c r="AA33" s="261"/>
    </row>
    <row r="34" spans="1:27" ht="16.5" thickBot="1" x14ac:dyDescent="0.25">
      <c r="A34" s="217"/>
      <c r="B34" s="218"/>
      <c r="C34" s="360" t="s">
        <v>881</v>
      </c>
      <c r="D34" s="360"/>
      <c r="E34" s="360"/>
      <c r="F34" s="360"/>
      <c r="G34" s="360"/>
      <c r="H34" s="8"/>
      <c r="I34" s="8"/>
      <c r="J34" s="374">
        <f>VLOOKUP($F$1,Part3,34,FALSE)</f>
        <v>-3487457.8600000003</v>
      </c>
      <c r="K34" s="375"/>
      <c r="L34" s="59"/>
      <c r="M34" s="59"/>
      <c r="N34" s="374">
        <f>VLOOKUP($F$1,Part3,35,FALSE)</f>
        <v>1124</v>
      </c>
      <c r="O34" s="375"/>
      <c r="P34" s="59"/>
      <c r="Q34" s="59"/>
      <c r="R34" s="374">
        <f>VLOOKUP($F$1,Part3,36,FALSE)</f>
        <v>-26663.84</v>
      </c>
      <c r="S34" s="375"/>
      <c r="T34" s="59"/>
      <c r="U34" s="59"/>
      <c r="V34" s="374">
        <f>VLOOKUP($F$1,Part3,37,FALSE)</f>
        <v>-3512997.7</v>
      </c>
      <c r="W34" s="375"/>
      <c r="X34" s="2"/>
      <c r="Y34" s="48"/>
      <c r="AA34" s="262"/>
    </row>
    <row r="35" spans="1:27" ht="15.75" x14ac:dyDescent="0.2">
      <c r="A35" s="217"/>
      <c r="B35" s="218"/>
      <c r="C35" s="373"/>
      <c r="D35" s="373"/>
      <c r="E35" s="373"/>
      <c r="F35" s="373"/>
      <c r="G35" s="373"/>
      <c r="H35" s="8"/>
      <c r="I35" s="8"/>
      <c r="J35" s="73"/>
      <c r="K35" s="59"/>
      <c r="L35" s="59"/>
      <c r="M35" s="59"/>
      <c r="N35" s="73"/>
      <c r="O35" s="59"/>
      <c r="P35" s="59"/>
      <c r="Q35" s="59"/>
      <c r="R35" s="73"/>
      <c r="S35" s="59"/>
      <c r="T35" s="59"/>
      <c r="U35" s="59"/>
      <c r="V35" s="73"/>
      <c r="W35" s="59"/>
      <c r="X35" s="2"/>
      <c r="Y35" s="48"/>
      <c r="AA35" s="261"/>
    </row>
    <row r="36" spans="1:27" ht="15" x14ac:dyDescent="0.2">
      <c r="A36" s="217"/>
      <c r="B36" s="218"/>
      <c r="C36" s="71"/>
      <c r="D36" s="71"/>
      <c r="E36" s="71"/>
      <c r="F36" s="71"/>
      <c r="G36" s="71"/>
      <c r="H36" s="8"/>
      <c r="I36" s="8"/>
      <c r="J36" s="59"/>
      <c r="K36" s="59"/>
      <c r="L36" s="59"/>
      <c r="M36" s="59"/>
      <c r="N36" s="59"/>
      <c r="O36" s="59"/>
      <c r="P36" s="59"/>
      <c r="Q36" s="59"/>
      <c r="R36" s="59"/>
      <c r="S36" s="59"/>
      <c r="T36" s="59"/>
      <c r="U36" s="59"/>
      <c r="V36" s="59"/>
      <c r="W36" s="59"/>
      <c r="X36" s="2"/>
      <c r="Y36" s="48"/>
      <c r="AA36" s="261"/>
    </row>
    <row r="37" spans="1:27" ht="16.5" thickBot="1" x14ac:dyDescent="0.25">
      <c r="A37" s="217"/>
      <c r="B37" s="218"/>
      <c r="C37" s="70" t="s">
        <v>566</v>
      </c>
      <c r="D37" s="71"/>
      <c r="E37" s="71"/>
      <c r="F37" s="71"/>
      <c r="G37" s="71"/>
      <c r="H37" s="8"/>
      <c r="I37" s="8"/>
      <c r="J37" s="59"/>
      <c r="K37" s="59"/>
      <c r="L37" s="59"/>
      <c r="M37" s="59"/>
      <c r="N37" s="59"/>
      <c r="O37" s="59"/>
      <c r="P37" s="59"/>
      <c r="Q37" s="59"/>
      <c r="R37" s="59"/>
      <c r="S37" s="59"/>
      <c r="T37" s="59"/>
      <c r="U37" s="59"/>
      <c r="V37" s="59"/>
      <c r="W37" s="59"/>
      <c r="X37" s="2"/>
      <c r="Y37" s="48"/>
      <c r="AA37" s="261"/>
    </row>
    <row r="38" spans="1:27" ht="16.5" thickBot="1" x14ac:dyDescent="0.25">
      <c r="A38" s="217"/>
      <c r="B38" s="218"/>
      <c r="C38" s="71" t="s">
        <v>882</v>
      </c>
      <c r="D38" s="71"/>
      <c r="E38" s="71"/>
      <c r="F38" s="71"/>
      <c r="G38" s="71"/>
      <c r="H38" s="8"/>
      <c r="I38" s="8"/>
      <c r="J38" s="374">
        <f>VLOOKUP($F$1,Part3,38,FALSE)</f>
        <v>1387682147.0299997</v>
      </c>
      <c r="K38" s="375"/>
      <c r="L38" s="59"/>
      <c r="M38" s="59"/>
      <c r="N38" s="374">
        <f>VLOOKUP($F$1,Part3,39,FALSE)</f>
        <v>1606243</v>
      </c>
      <c r="O38" s="375"/>
      <c r="P38" s="59"/>
      <c r="Q38" s="59"/>
      <c r="R38" s="374">
        <f>VLOOKUP($F$1,Part3,40,FALSE)</f>
        <v>1480685.33</v>
      </c>
      <c r="S38" s="375"/>
      <c r="T38" s="59"/>
      <c r="U38" s="59"/>
      <c r="V38" s="374">
        <f>VLOOKUP($F$1,Part3,41,FALSE)</f>
        <v>1390769075.3599997</v>
      </c>
      <c r="W38" s="375"/>
      <c r="X38" s="2"/>
      <c r="Y38" s="48"/>
      <c r="AA38" s="262"/>
    </row>
    <row r="39" spans="1:27" ht="15.75" thickBot="1" x14ac:dyDescent="0.25">
      <c r="A39" s="217"/>
      <c r="B39" s="218"/>
      <c r="C39" s="71"/>
      <c r="D39" s="71"/>
      <c r="E39" s="71"/>
      <c r="F39" s="71"/>
      <c r="G39" s="71"/>
      <c r="H39" s="8"/>
      <c r="I39" s="8"/>
      <c r="J39" s="59"/>
      <c r="K39" s="59"/>
      <c r="L39" s="59"/>
      <c r="M39" s="59"/>
      <c r="N39" s="59"/>
      <c r="O39" s="59"/>
      <c r="P39" s="59"/>
      <c r="Q39" s="59"/>
      <c r="R39" s="59"/>
      <c r="S39" s="59"/>
      <c r="T39" s="59"/>
      <c r="U39" s="59"/>
      <c r="V39" s="59"/>
      <c r="W39" s="59"/>
      <c r="X39" s="2"/>
      <c r="Y39" s="48"/>
      <c r="AA39" s="261"/>
    </row>
    <row r="40" spans="1:27" ht="16.5" thickBot="1" x14ac:dyDescent="0.25">
      <c r="A40" s="217"/>
      <c r="B40" s="218"/>
      <c r="C40" s="360" t="s">
        <v>883</v>
      </c>
      <c r="D40" s="360"/>
      <c r="E40" s="360"/>
      <c r="F40" s="360"/>
      <c r="G40" s="360"/>
      <c r="H40" s="8"/>
      <c r="I40" s="8"/>
      <c r="J40" s="374">
        <f>VLOOKUP($F$1,Part3,42,FALSE)</f>
        <v>4840060.3499999996</v>
      </c>
      <c r="K40" s="375"/>
      <c r="L40" s="59"/>
      <c r="M40" s="59"/>
      <c r="N40" s="374">
        <f>VLOOKUP($F$1,Part3,43,FALSE)</f>
        <v>7541</v>
      </c>
      <c r="O40" s="375"/>
      <c r="P40" s="59"/>
      <c r="Q40" s="59"/>
      <c r="R40" s="374">
        <f>VLOOKUP($F$1,Part3,44,FALSE)</f>
        <v>567541.14</v>
      </c>
      <c r="S40" s="375"/>
      <c r="T40" s="59"/>
      <c r="U40" s="59"/>
      <c r="V40" s="374">
        <f>VLOOKUP($F$1,Part3,45,FALSE)</f>
        <v>5415142.4900000002</v>
      </c>
      <c r="W40" s="375"/>
      <c r="X40" s="2"/>
      <c r="Y40" s="48"/>
      <c r="AA40" s="262"/>
    </row>
    <row r="41" spans="1:27" ht="15.75" x14ac:dyDescent="0.2">
      <c r="A41" s="217"/>
      <c r="B41" s="218"/>
      <c r="C41" s="373"/>
      <c r="D41" s="373"/>
      <c r="E41" s="373"/>
      <c r="F41" s="373"/>
      <c r="G41" s="373"/>
      <c r="H41" s="8"/>
      <c r="I41" s="8"/>
      <c r="J41" s="73"/>
      <c r="K41" s="59"/>
      <c r="L41" s="59"/>
      <c r="M41" s="59"/>
      <c r="N41" s="73"/>
      <c r="O41" s="59"/>
      <c r="P41" s="59"/>
      <c r="Q41" s="59"/>
      <c r="R41" s="73"/>
      <c r="S41" s="59"/>
      <c r="T41" s="59"/>
      <c r="U41" s="59"/>
      <c r="V41" s="73"/>
      <c r="W41" s="59"/>
      <c r="X41" s="2"/>
      <c r="Y41" s="48"/>
      <c r="AA41" s="261"/>
    </row>
    <row r="42" spans="1:27" ht="15" x14ac:dyDescent="0.2">
      <c r="A42" s="217"/>
      <c r="B42" s="218"/>
      <c r="C42" s="71"/>
      <c r="D42" s="71"/>
      <c r="E42" s="71"/>
      <c r="F42" s="71"/>
      <c r="G42" s="71"/>
      <c r="H42" s="8"/>
      <c r="I42" s="8"/>
      <c r="J42" s="59"/>
      <c r="K42" s="59"/>
      <c r="L42" s="59"/>
      <c r="M42" s="59"/>
      <c r="N42" s="59"/>
      <c r="O42" s="59"/>
      <c r="P42" s="59"/>
      <c r="Q42" s="59"/>
      <c r="R42" s="59"/>
      <c r="S42" s="59"/>
      <c r="T42" s="59"/>
      <c r="U42" s="59"/>
      <c r="V42" s="59"/>
      <c r="W42" s="59"/>
      <c r="X42" s="2"/>
      <c r="Y42" s="48"/>
      <c r="AA42" s="261"/>
    </row>
    <row r="43" spans="1:27" ht="16.5" thickBot="1" x14ac:dyDescent="0.25">
      <c r="A43" s="217"/>
      <c r="B43" s="218"/>
      <c r="C43" s="70" t="s">
        <v>553</v>
      </c>
      <c r="D43" s="71"/>
      <c r="E43" s="71"/>
      <c r="F43" s="71"/>
      <c r="G43" s="71"/>
      <c r="H43" s="8"/>
      <c r="I43" s="8"/>
      <c r="J43" s="59"/>
      <c r="K43" s="59"/>
      <c r="L43" s="59"/>
      <c r="M43" s="59"/>
      <c r="N43" s="59"/>
      <c r="O43" s="59"/>
      <c r="P43" s="59"/>
      <c r="Q43" s="59"/>
      <c r="R43" s="59"/>
      <c r="S43" s="59"/>
      <c r="T43" s="59"/>
      <c r="U43" s="59"/>
      <c r="V43" s="59"/>
      <c r="W43" s="59"/>
      <c r="X43" s="2"/>
      <c r="Y43" s="48"/>
      <c r="AA43" s="261"/>
    </row>
    <row r="44" spans="1:27" ht="16.5" thickBot="1" x14ac:dyDescent="0.25">
      <c r="A44" s="217"/>
      <c r="B44" s="218"/>
      <c r="C44" s="71" t="s">
        <v>884</v>
      </c>
      <c r="D44" s="71"/>
      <c r="E44" s="71"/>
      <c r="F44" s="71"/>
      <c r="G44" s="71"/>
      <c r="H44" s="8"/>
      <c r="I44" s="8"/>
      <c r="J44" s="374">
        <f>VLOOKUP($F$1,Part3,46,FALSE)</f>
        <v>18215146.389999997</v>
      </c>
      <c r="K44" s="375"/>
      <c r="L44" s="59"/>
      <c r="M44" s="59"/>
      <c r="N44" s="374">
        <f>VLOOKUP($F$1,Part3,47,FALSE)</f>
        <v>0</v>
      </c>
      <c r="O44" s="375"/>
      <c r="P44" s="59"/>
      <c r="Q44" s="59"/>
      <c r="R44" s="374">
        <f>VLOOKUP($F$1,Part3,48,FALSE)</f>
        <v>0</v>
      </c>
      <c r="S44" s="375"/>
      <c r="T44" s="59"/>
      <c r="U44" s="59"/>
      <c r="V44" s="374">
        <f>VLOOKUP($F$1,Part3,49,FALSE)</f>
        <v>18215146.389999997</v>
      </c>
      <c r="W44" s="375"/>
      <c r="X44" s="2"/>
      <c r="Y44" s="48"/>
      <c r="AA44" s="262"/>
    </row>
    <row r="45" spans="1:27" ht="15.75" thickBot="1" x14ac:dyDescent="0.25">
      <c r="A45" s="217"/>
      <c r="B45" s="218"/>
      <c r="C45" s="71"/>
      <c r="D45" s="71"/>
      <c r="E45" s="71"/>
      <c r="F45" s="71"/>
      <c r="G45" s="71"/>
      <c r="H45" s="8"/>
      <c r="I45" s="8"/>
      <c r="J45" s="8"/>
      <c r="K45" s="8"/>
      <c r="L45" s="8"/>
      <c r="M45" s="8"/>
      <c r="N45" s="8"/>
      <c r="O45" s="8"/>
      <c r="P45" s="8"/>
      <c r="Q45" s="8"/>
      <c r="R45" s="8"/>
      <c r="S45" s="8"/>
      <c r="T45" s="8"/>
      <c r="U45" s="8"/>
      <c r="V45" s="8"/>
      <c r="W45" s="8"/>
      <c r="X45" s="2"/>
      <c r="Y45" s="48"/>
      <c r="AA45" s="262"/>
    </row>
    <row r="46" spans="1:27" ht="16.5" thickBot="1" x14ac:dyDescent="0.25">
      <c r="A46" s="217"/>
      <c r="B46" s="218"/>
      <c r="C46" s="360" t="s">
        <v>885</v>
      </c>
      <c r="D46" s="360"/>
      <c r="E46" s="360"/>
      <c r="F46" s="360"/>
      <c r="G46" s="360"/>
      <c r="H46" s="8"/>
      <c r="I46" s="8"/>
      <c r="J46" s="374">
        <f>VLOOKUP($F$1,Part3,50,FALSE)</f>
        <v>94658.55</v>
      </c>
      <c r="K46" s="375"/>
      <c r="L46" s="59"/>
      <c r="M46" s="59"/>
      <c r="N46" s="374">
        <f>VLOOKUP($F$1,Part3,51,FALSE)</f>
        <v>0</v>
      </c>
      <c r="O46" s="375"/>
      <c r="P46" s="59"/>
      <c r="Q46" s="59"/>
      <c r="R46" s="374">
        <f>VLOOKUP($F$1,Part3,52,FALSE)</f>
        <v>0</v>
      </c>
      <c r="S46" s="375"/>
      <c r="T46" s="59"/>
      <c r="U46" s="59"/>
      <c r="V46" s="374">
        <f>VLOOKUP($F$1,Part3,53,FALSE)</f>
        <v>94658.55</v>
      </c>
      <c r="W46" s="375"/>
      <c r="X46" s="2"/>
      <c r="Y46" s="48"/>
      <c r="AA46" s="262"/>
    </row>
    <row r="47" spans="1:27" ht="15.75" x14ac:dyDescent="0.2">
      <c r="A47" s="217"/>
      <c r="B47" s="218"/>
      <c r="C47" s="373"/>
      <c r="D47" s="373"/>
      <c r="E47" s="373"/>
      <c r="F47" s="373"/>
      <c r="G47" s="373"/>
      <c r="H47" s="8"/>
      <c r="I47" s="8"/>
      <c r="J47" s="73"/>
      <c r="K47" s="59"/>
      <c r="L47" s="59"/>
      <c r="M47" s="59"/>
      <c r="N47" s="73"/>
      <c r="O47" s="59"/>
      <c r="P47" s="59"/>
      <c r="Q47" s="59"/>
      <c r="R47" s="73"/>
      <c r="S47" s="59"/>
      <c r="T47" s="59"/>
      <c r="U47" s="59"/>
      <c r="V47" s="73"/>
      <c r="W47" s="59"/>
      <c r="X47" s="2"/>
      <c r="Y47" s="48"/>
      <c r="AA47" s="261"/>
    </row>
    <row r="48" spans="1:27" ht="15" x14ac:dyDescent="0.2">
      <c r="A48" s="217"/>
      <c r="B48" s="218"/>
      <c r="C48" s="71"/>
      <c r="D48" s="71"/>
      <c r="E48" s="71"/>
      <c r="F48" s="71"/>
      <c r="G48" s="71"/>
      <c r="H48" s="8"/>
      <c r="I48" s="8"/>
      <c r="J48" s="8"/>
      <c r="K48" s="8"/>
      <c r="L48" s="8"/>
      <c r="M48" s="8"/>
      <c r="N48" s="8"/>
      <c r="O48" s="8"/>
      <c r="P48" s="8"/>
      <c r="Q48" s="8"/>
      <c r="R48" s="8"/>
      <c r="S48" s="8"/>
      <c r="T48" s="8"/>
      <c r="U48" s="8"/>
      <c r="V48" s="8"/>
      <c r="W48" s="8"/>
      <c r="X48" s="8"/>
      <c r="Y48" s="48"/>
      <c r="AA48" s="262"/>
    </row>
    <row r="49" spans="1:27" ht="16.5" thickBot="1" x14ac:dyDescent="0.25">
      <c r="A49" s="217"/>
      <c r="B49" s="218"/>
      <c r="C49" s="70" t="s">
        <v>568</v>
      </c>
      <c r="D49" s="71"/>
      <c r="E49" s="71"/>
      <c r="F49" s="71"/>
      <c r="G49" s="71"/>
      <c r="H49" s="8"/>
      <c r="I49" s="8"/>
      <c r="J49" s="59"/>
      <c r="K49" s="59"/>
      <c r="L49" s="59"/>
      <c r="M49" s="59"/>
      <c r="N49" s="59"/>
      <c r="O49" s="59"/>
      <c r="P49" s="59"/>
      <c r="Q49" s="59"/>
      <c r="R49" s="59"/>
      <c r="S49" s="59"/>
      <c r="T49" s="59"/>
      <c r="U49" s="59"/>
      <c r="V49" s="59"/>
      <c r="W49" s="59"/>
      <c r="X49" s="2"/>
      <c r="Y49" s="48"/>
      <c r="AA49" s="261"/>
    </row>
    <row r="50" spans="1:27" ht="16.5" thickBot="1" x14ac:dyDescent="0.25">
      <c r="A50" s="217"/>
      <c r="B50" s="218"/>
      <c r="C50" s="71" t="s">
        <v>886</v>
      </c>
      <c r="D50" s="71"/>
      <c r="E50" s="71"/>
      <c r="F50" s="71"/>
      <c r="G50" s="71"/>
      <c r="H50" s="8"/>
      <c r="I50" s="8"/>
      <c r="J50" s="374">
        <f>VLOOKUP($F$1,Part3,54,FALSE)</f>
        <v>5999764.5700000012</v>
      </c>
      <c r="K50" s="375"/>
      <c r="L50" s="59"/>
      <c r="M50" s="59"/>
      <c r="N50" s="374">
        <f>VLOOKUP($F$1,Part3,55,FALSE)</f>
        <v>0</v>
      </c>
      <c r="O50" s="375"/>
      <c r="P50" s="59"/>
      <c r="Q50" s="59"/>
      <c r="R50" s="374">
        <f>VLOOKUP($F$1,Part3,56,FALSE)</f>
        <v>661</v>
      </c>
      <c r="S50" s="375"/>
      <c r="T50" s="59"/>
      <c r="U50" s="59"/>
      <c r="V50" s="374">
        <f>VLOOKUP($F$1,Part3,57,FALSE)</f>
        <v>6000425.5700000012</v>
      </c>
      <c r="W50" s="375"/>
      <c r="X50" s="2"/>
      <c r="Y50" s="48"/>
      <c r="AA50" s="262"/>
    </row>
    <row r="51" spans="1:27" ht="15.75" thickBot="1" x14ac:dyDescent="0.25">
      <c r="A51" s="217"/>
      <c r="B51" s="218"/>
      <c r="C51" s="71"/>
      <c r="D51" s="71"/>
      <c r="E51" s="71"/>
      <c r="F51" s="71"/>
      <c r="G51" s="71"/>
      <c r="H51" s="8"/>
      <c r="I51" s="8"/>
      <c r="J51" s="8"/>
      <c r="K51" s="8"/>
      <c r="L51" s="8"/>
      <c r="M51" s="8"/>
      <c r="N51" s="8"/>
      <c r="O51" s="8"/>
      <c r="P51" s="8"/>
      <c r="Q51" s="8"/>
      <c r="R51" s="8"/>
      <c r="S51" s="8"/>
      <c r="T51" s="8"/>
      <c r="U51" s="8"/>
      <c r="V51" s="8"/>
      <c r="W51" s="8"/>
      <c r="X51" s="2"/>
      <c r="Y51" s="48"/>
      <c r="AA51" s="262"/>
    </row>
    <row r="52" spans="1:27" ht="16.5" thickBot="1" x14ac:dyDescent="0.25">
      <c r="A52" s="217"/>
      <c r="B52" s="218"/>
      <c r="C52" s="360" t="s">
        <v>887</v>
      </c>
      <c r="D52" s="360"/>
      <c r="E52" s="360"/>
      <c r="F52" s="360"/>
      <c r="G52" s="360"/>
      <c r="H52" s="8"/>
      <c r="I52" s="8"/>
      <c r="J52" s="374">
        <f>VLOOKUP($F$1,Part3,58,FALSE)</f>
        <v>190725.09</v>
      </c>
      <c r="K52" s="375"/>
      <c r="L52" s="59"/>
      <c r="M52" s="59"/>
      <c r="N52" s="374">
        <f>VLOOKUP($F$1,Part3,59,FALSE)</f>
        <v>0</v>
      </c>
      <c r="O52" s="375"/>
      <c r="P52" s="59"/>
      <c r="Q52" s="59"/>
      <c r="R52" s="374">
        <f>VLOOKUP($F$1,Part3,60,FALSE)</f>
        <v>0</v>
      </c>
      <c r="S52" s="375"/>
      <c r="T52" s="59"/>
      <c r="U52" s="59"/>
      <c r="V52" s="374">
        <f>VLOOKUP($F$1,Part3,61,FALSE)</f>
        <v>190725.09</v>
      </c>
      <c r="W52" s="375"/>
      <c r="X52" s="2"/>
      <c r="Y52" s="48"/>
      <c r="AA52" s="262"/>
    </row>
    <row r="53" spans="1:27" ht="15.75" x14ac:dyDescent="0.2">
      <c r="A53" s="217"/>
      <c r="B53" s="218"/>
      <c r="C53" s="373"/>
      <c r="D53" s="373"/>
      <c r="E53" s="373"/>
      <c r="F53" s="373"/>
      <c r="G53" s="373"/>
      <c r="H53" s="8"/>
      <c r="I53" s="8"/>
      <c r="J53" s="73"/>
      <c r="K53" s="59"/>
      <c r="L53" s="59"/>
      <c r="M53" s="59"/>
      <c r="N53" s="73"/>
      <c r="O53" s="59"/>
      <c r="P53" s="59"/>
      <c r="Q53" s="59"/>
      <c r="R53" s="73"/>
      <c r="S53" s="59"/>
      <c r="T53" s="59"/>
      <c r="U53" s="59"/>
      <c r="V53" s="73"/>
      <c r="W53" s="59"/>
      <c r="X53" s="2"/>
      <c r="Y53" s="48"/>
      <c r="AA53" s="261"/>
    </row>
    <row r="54" spans="1:27" ht="15.75" x14ac:dyDescent="0.2">
      <c r="A54" s="217"/>
      <c r="B54" s="218"/>
      <c r="C54" s="71"/>
      <c r="D54" s="71"/>
      <c r="E54" s="71"/>
      <c r="F54" s="71"/>
      <c r="G54" s="71"/>
      <c r="H54" s="8"/>
      <c r="I54" s="8"/>
      <c r="J54" s="73"/>
      <c r="K54" s="59"/>
      <c r="L54" s="59"/>
      <c r="M54" s="59"/>
      <c r="N54" s="73"/>
      <c r="O54" s="59"/>
      <c r="P54" s="59"/>
      <c r="Q54" s="59"/>
      <c r="R54" s="73"/>
      <c r="S54" s="59"/>
      <c r="T54" s="59"/>
      <c r="U54" s="59"/>
      <c r="V54" s="73"/>
      <c r="W54" s="59"/>
      <c r="X54" s="2"/>
      <c r="Y54" s="48"/>
      <c r="AA54" s="261"/>
    </row>
    <row r="55" spans="1:27" ht="15.75" hidden="1" customHeight="1" thickBot="1" x14ac:dyDescent="0.25">
      <c r="A55" s="217"/>
      <c r="B55" s="218"/>
      <c r="C55" s="71"/>
      <c r="D55" s="71"/>
      <c r="E55" s="71"/>
      <c r="F55" s="71"/>
      <c r="G55" s="71"/>
      <c r="H55" s="8"/>
      <c r="I55" s="8"/>
      <c r="J55" s="73"/>
      <c r="K55" s="59"/>
      <c r="L55" s="59"/>
      <c r="M55" s="59"/>
      <c r="N55" s="73"/>
      <c r="O55" s="59"/>
      <c r="P55" s="59"/>
      <c r="Q55" s="59"/>
      <c r="R55" s="73"/>
      <c r="S55" s="59"/>
      <c r="T55" s="59"/>
      <c r="U55" s="59"/>
      <c r="V55" s="73"/>
      <c r="W55" s="59"/>
      <c r="X55" s="2"/>
      <c r="Y55" s="48"/>
      <c r="AA55" s="261"/>
    </row>
    <row r="56" spans="1:27" ht="15.75" x14ac:dyDescent="0.2">
      <c r="A56" s="217"/>
      <c r="B56" s="218"/>
      <c r="C56" s="70" t="s">
        <v>888</v>
      </c>
      <c r="D56" s="71"/>
      <c r="E56" s="71"/>
      <c r="F56" s="71"/>
      <c r="G56" s="71"/>
      <c r="H56" s="8"/>
      <c r="I56" s="8"/>
      <c r="J56" s="59"/>
      <c r="K56" s="59"/>
      <c r="L56" s="59"/>
      <c r="M56" s="59"/>
      <c r="N56" s="59"/>
      <c r="O56" s="59"/>
      <c r="P56" s="59"/>
      <c r="Q56" s="59"/>
      <c r="R56" s="59"/>
      <c r="S56" s="59"/>
      <c r="T56" s="59"/>
      <c r="U56" s="59"/>
      <c r="V56" s="59"/>
      <c r="W56" s="59"/>
      <c r="X56" s="2"/>
      <c r="Y56" s="48"/>
      <c r="AA56" s="261"/>
    </row>
    <row r="57" spans="1:27" ht="16.5" thickBot="1" x14ac:dyDescent="0.25">
      <c r="A57" s="217"/>
      <c r="B57" s="218"/>
      <c r="C57" s="70" t="s">
        <v>538</v>
      </c>
      <c r="D57" s="71"/>
      <c r="E57" s="71"/>
      <c r="F57" s="71"/>
      <c r="G57" s="71"/>
      <c r="H57" s="8"/>
      <c r="I57" s="8"/>
      <c r="J57" s="59"/>
      <c r="K57" s="59"/>
      <c r="L57" s="59"/>
      <c r="M57" s="59"/>
      <c r="N57" s="59"/>
      <c r="O57" s="59"/>
      <c r="P57" s="59"/>
      <c r="Q57" s="59"/>
      <c r="R57" s="59"/>
      <c r="S57" s="59"/>
      <c r="T57" s="59"/>
      <c r="U57" s="59"/>
      <c r="V57" s="59"/>
      <c r="W57" s="59"/>
      <c r="X57" s="2"/>
      <c r="Y57" s="48"/>
      <c r="AA57" s="261"/>
    </row>
    <row r="58" spans="1:27" ht="16.5" thickBot="1" x14ac:dyDescent="0.25">
      <c r="A58" s="217"/>
      <c r="B58" s="218"/>
      <c r="C58" s="71" t="s">
        <v>889</v>
      </c>
      <c r="D58" s="71"/>
      <c r="E58" s="71"/>
      <c r="F58" s="71"/>
      <c r="G58" s="71"/>
      <c r="H58" s="8"/>
      <c r="I58" s="8"/>
      <c r="J58" s="374">
        <f>VLOOKUP($F$1,Part3,62,FALSE)</f>
        <v>33846544.079999991</v>
      </c>
      <c r="K58" s="375"/>
      <c r="L58" s="59"/>
      <c r="M58" s="59"/>
      <c r="N58" s="374">
        <f>VLOOKUP($F$1,Part3,63,FALSE)</f>
        <v>103956</v>
      </c>
      <c r="O58" s="375"/>
      <c r="P58" s="59"/>
      <c r="Q58" s="59"/>
      <c r="R58" s="374">
        <f>VLOOKUP($F$1,Part3,64,FALSE)</f>
        <v>239914.88</v>
      </c>
      <c r="S58" s="375"/>
      <c r="T58" s="59"/>
      <c r="U58" s="59"/>
      <c r="V58" s="374">
        <f>VLOOKUP($F$1,Part3,65,FALSE)</f>
        <v>34190414.959999986</v>
      </c>
      <c r="W58" s="375"/>
      <c r="X58" s="2"/>
      <c r="Y58" s="48"/>
      <c r="AA58" s="262"/>
    </row>
    <row r="59" spans="1:27" ht="15.75" thickBot="1" x14ac:dyDescent="0.25">
      <c r="A59" s="217"/>
      <c r="B59" s="218"/>
      <c r="C59" s="71"/>
      <c r="D59" s="71"/>
      <c r="E59" s="71"/>
      <c r="F59" s="71"/>
      <c r="G59" s="71"/>
      <c r="H59" s="8"/>
      <c r="I59" s="8"/>
      <c r="J59" s="8"/>
      <c r="K59" s="8"/>
      <c r="L59" s="8"/>
      <c r="M59" s="8"/>
      <c r="N59" s="8"/>
      <c r="O59" s="8"/>
      <c r="P59" s="8"/>
      <c r="Q59" s="8"/>
      <c r="R59" s="8"/>
      <c r="S59" s="8"/>
      <c r="T59" s="8"/>
      <c r="U59" s="8"/>
      <c r="V59" s="8"/>
      <c r="W59" s="8"/>
      <c r="X59" s="8"/>
      <c r="Y59" s="48"/>
      <c r="AA59" s="262"/>
    </row>
    <row r="60" spans="1:27" ht="16.5" thickBot="1" x14ac:dyDescent="0.25">
      <c r="A60" s="217"/>
      <c r="B60" s="218"/>
      <c r="C60" s="360" t="s">
        <v>890</v>
      </c>
      <c r="D60" s="360"/>
      <c r="E60" s="360"/>
      <c r="F60" s="360"/>
      <c r="G60" s="360"/>
      <c r="H60" s="8"/>
      <c r="I60" s="8"/>
      <c r="J60" s="374">
        <f>VLOOKUP($F$1,Part3,66,FALSE)</f>
        <v>13956912.349999996</v>
      </c>
      <c r="K60" s="375"/>
      <c r="L60" s="59"/>
      <c r="M60" s="59"/>
      <c r="N60" s="374">
        <f>VLOOKUP($F$1,Part3,67,FALSE)</f>
        <v>0</v>
      </c>
      <c r="O60" s="375"/>
      <c r="P60" s="59"/>
      <c r="Q60" s="59"/>
      <c r="R60" s="374">
        <f>VLOOKUP($F$1,Part3,68,FALSE)</f>
        <v>-7382.47</v>
      </c>
      <c r="S60" s="375"/>
      <c r="T60" s="59"/>
      <c r="U60" s="59"/>
      <c r="V60" s="374">
        <f>VLOOKUP($F$1,Part3,69,FALSE)</f>
        <v>13949529.879999995</v>
      </c>
      <c r="W60" s="375"/>
      <c r="X60" s="2"/>
      <c r="Y60" s="48"/>
      <c r="AA60" s="262"/>
    </row>
    <row r="61" spans="1:27" ht="15.75" x14ac:dyDescent="0.2">
      <c r="A61" s="217"/>
      <c r="B61" s="218"/>
      <c r="C61" s="373"/>
      <c r="D61" s="373"/>
      <c r="E61" s="373"/>
      <c r="F61" s="373"/>
      <c r="G61" s="373"/>
      <c r="H61" s="8"/>
      <c r="I61" s="8"/>
      <c r="J61" s="73"/>
      <c r="K61" s="59"/>
      <c r="L61" s="59"/>
      <c r="M61" s="59"/>
      <c r="N61" s="73"/>
      <c r="O61" s="59"/>
      <c r="P61" s="59"/>
      <c r="Q61" s="59"/>
      <c r="R61" s="73"/>
      <c r="S61" s="59"/>
      <c r="T61" s="59"/>
      <c r="U61" s="59"/>
      <c r="V61" s="73"/>
      <c r="W61" s="59"/>
      <c r="X61" s="2"/>
      <c r="Y61" s="48"/>
      <c r="AA61" s="261"/>
    </row>
    <row r="62" spans="1:27" ht="15" x14ac:dyDescent="0.2">
      <c r="A62" s="217"/>
      <c r="B62" s="218"/>
      <c r="C62" s="71"/>
      <c r="D62" s="71"/>
      <c r="E62" s="71"/>
      <c r="F62" s="71"/>
      <c r="G62" s="71"/>
      <c r="H62" s="8"/>
      <c r="I62" s="8"/>
      <c r="J62" s="8"/>
      <c r="K62" s="8"/>
      <c r="L62" s="8"/>
      <c r="M62" s="8"/>
      <c r="N62" s="8"/>
      <c r="O62" s="8"/>
      <c r="P62" s="8"/>
      <c r="Q62" s="8"/>
      <c r="R62" s="8"/>
      <c r="S62" s="8"/>
      <c r="T62" s="8"/>
      <c r="U62" s="8"/>
      <c r="V62" s="8"/>
      <c r="W62" s="8"/>
      <c r="X62" s="2"/>
      <c r="Y62" s="48"/>
      <c r="AA62" s="262"/>
    </row>
    <row r="63" spans="1:27" ht="16.5" thickBot="1" x14ac:dyDescent="0.25">
      <c r="A63" s="217"/>
      <c r="B63" s="218"/>
      <c r="C63" s="70" t="s">
        <v>539</v>
      </c>
      <c r="D63" s="71"/>
      <c r="E63" s="71"/>
      <c r="F63" s="71"/>
      <c r="G63" s="71"/>
      <c r="H63" s="8"/>
      <c r="I63" s="8"/>
      <c r="J63" s="59"/>
      <c r="K63" s="59"/>
      <c r="L63" s="59"/>
      <c r="M63" s="59"/>
      <c r="N63" s="59"/>
      <c r="O63" s="59"/>
      <c r="P63" s="59"/>
      <c r="Q63" s="59"/>
      <c r="R63" s="59"/>
      <c r="S63" s="59"/>
      <c r="T63" s="59"/>
      <c r="U63" s="59"/>
      <c r="V63" s="59"/>
      <c r="W63" s="59"/>
      <c r="X63" s="2"/>
      <c r="Y63" s="48"/>
      <c r="AA63" s="261"/>
    </row>
    <row r="64" spans="1:27" ht="16.5" customHeight="1" thickBot="1" x14ac:dyDescent="0.25">
      <c r="A64" s="217"/>
      <c r="B64" s="218"/>
      <c r="C64" s="71" t="s">
        <v>891</v>
      </c>
      <c r="D64" s="71"/>
      <c r="E64" s="71"/>
      <c r="F64" s="71"/>
      <c r="G64" s="71"/>
      <c r="H64" s="8"/>
      <c r="I64" s="8"/>
      <c r="J64" s="374">
        <f>VLOOKUP($F$1,Part3,70,FALSE)</f>
        <v>974332570.65999985</v>
      </c>
      <c r="K64" s="375"/>
      <c r="L64" s="59"/>
      <c r="M64" s="59"/>
      <c r="N64" s="374">
        <f>VLOOKUP($F$1,Part3,71,FALSE)</f>
        <v>2026774</v>
      </c>
      <c r="O64" s="375"/>
      <c r="P64" s="59"/>
      <c r="Q64" s="59"/>
      <c r="R64" s="374">
        <f>VLOOKUP($F$1,Part3,72,FALSE)</f>
        <v>12082742.710000001</v>
      </c>
      <c r="S64" s="375"/>
      <c r="T64" s="59"/>
      <c r="U64" s="59"/>
      <c r="V64" s="374">
        <f>VLOOKUP($F$1,Part3,73,FALSE)</f>
        <v>988442087.36999989</v>
      </c>
      <c r="W64" s="375"/>
      <c r="X64" s="2"/>
      <c r="Y64" s="48"/>
      <c r="AA64" s="262"/>
    </row>
    <row r="65" spans="1:27" ht="16.5" customHeight="1" thickBot="1" x14ac:dyDescent="0.25">
      <c r="A65" s="217"/>
      <c r="B65" s="218"/>
      <c r="C65" s="71"/>
      <c r="D65" s="71"/>
      <c r="E65" s="71"/>
      <c r="F65" s="71"/>
      <c r="G65" s="71"/>
      <c r="H65" s="8"/>
      <c r="I65" s="8"/>
      <c r="J65" s="8"/>
      <c r="K65" s="8"/>
      <c r="L65" s="8"/>
      <c r="M65" s="8"/>
      <c r="N65" s="8"/>
      <c r="O65" s="8"/>
      <c r="P65" s="8"/>
      <c r="Q65" s="8"/>
      <c r="R65" s="8"/>
      <c r="S65" s="8"/>
      <c r="T65" s="8"/>
      <c r="U65" s="8"/>
      <c r="V65" s="8"/>
      <c r="W65" s="8"/>
      <c r="X65" s="8"/>
      <c r="Y65" s="48"/>
      <c r="AA65" s="262"/>
    </row>
    <row r="66" spans="1:27" ht="16.5" customHeight="1" thickBot="1" x14ac:dyDescent="0.25">
      <c r="A66" s="217"/>
      <c r="B66" s="218"/>
      <c r="C66" s="360" t="s">
        <v>892</v>
      </c>
      <c r="D66" s="360"/>
      <c r="E66" s="360"/>
      <c r="F66" s="360"/>
      <c r="G66" s="360"/>
      <c r="H66" s="8"/>
      <c r="I66" s="8"/>
      <c r="J66" s="374">
        <f>VLOOKUP($F$1,Part3,74,FALSE)</f>
        <v>-5639589.0800000029</v>
      </c>
      <c r="K66" s="375"/>
      <c r="L66" s="59"/>
      <c r="M66" s="59"/>
      <c r="N66" s="374">
        <f>VLOOKUP($F$1,Part3,75,FALSE)</f>
        <v>48872</v>
      </c>
      <c r="O66" s="375"/>
      <c r="P66" s="59"/>
      <c r="Q66" s="59"/>
      <c r="R66" s="374">
        <f>VLOOKUP($F$1,Part3,76,FALSE)</f>
        <v>20981.160000000003</v>
      </c>
      <c r="S66" s="375"/>
      <c r="T66" s="59"/>
      <c r="U66" s="59"/>
      <c r="V66" s="374">
        <f>VLOOKUP($F$1,Part3,77,FALSE)</f>
        <v>-5569735.9200000027</v>
      </c>
      <c r="W66" s="375"/>
      <c r="X66" s="2"/>
      <c r="Y66" s="48"/>
      <c r="AA66" s="262"/>
    </row>
    <row r="67" spans="1:27" ht="16.5" customHeight="1" x14ac:dyDescent="0.2">
      <c r="A67" s="217"/>
      <c r="B67" s="218"/>
      <c r="C67" s="373"/>
      <c r="D67" s="373"/>
      <c r="E67" s="373"/>
      <c r="F67" s="373"/>
      <c r="G67" s="373"/>
      <c r="H67" s="8"/>
      <c r="I67" s="8"/>
      <c r="J67" s="73"/>
      <c r="K67" s="59"/>
      <c r="L67" s="59"/>
      <c r="M67" s="59"/>
      <c r="N67" s="73"/>
      <c r="O67" s="59"/>
      <c r="P67" s="59"/>
      <c r="Q67" s="59"/>
      <c r="R67" s="73"/>
      <c r="S67" s="59"/>
      <c r="T67" s="59"/>
      <c r="U67" s="59"/>
      <c r="V67" s="73"/>
      <c r="W67" s="59"/>
      <c r="X67" s="2"/>
      <c r="Y67" s="48"/>
      <c r="AA67" s="261"/>
    </row>
    <row r="68" spans="1:27" ht="15" x14ac:dyDescent="0.2">
      <c r="A68" s="217"/>
      <c r="B68" s="218"/>
      <c r="C68" s="71"/>
      <c r="D68" s="71"/>
      <c r="E68" s="71"/>
      <c r="F68" s="71"/>
      <c r="G68" s="71"/>
      <c r="H68" s="8"/>
      <c r="I68" s="8"/>
      <c r="J68" s="59"/>
      <c r="K68" s="59"/>
      <c r="L68" s="59"/>
      <c r="M68" s="59"/>
      <c r="N68" s="59"/>
      <c r="O68" s="59"/>
      <c r="P68" s="59"/>
      <c r="Q68" s="59"/>
      <c r="R68" s="59"/>
      <c r="S68" s="59"/>
      <c r="T68" s="59"/>
      <c r="U68" s="59"/>
      <c r="V68" s="59"/>
      <c r="W68" s="59"/>
      <c r="X68" s="2"/>
      <c r="Y68" s="48"/>
      <c r="AA68" s="261"/>
    </row>
    <row r="69" spans="1:27" ht="15.75" x14ac:dyDescent="0.2">
      <c r="A69" s="217"/>
      <c r="B69" s="218"/>
      <c r="C69" s="70" t="s">
        <v>893</v>
      </c>
      <c r="D69" s="71"/>
      <c r="E69" s="71"/>
      <c r="F69" s="71"/>
      <c r="G69" s="71"/>
      <c r="H69" s="8"/>
      <c r="I69" s="8"/>
      <c r="J69" s="59"/>
      <c r="K69" s="59"/>
      <c r="L69" s="59"/>
      <c r="M69" s="59"/>
      <c r="N69" s="59"/>
      <c r="O69" s="59"/>
      <c r="P69" s="59"/>
      <c r="Q69" s="59"/>
      <c r="R69" s="59"/>
      <c r="S69" s="59"/>
      <c r="T69" s="59"/>
      <c r="U69" s="59"/>
      <c r="V69" s="59"/>
      <c r="W69" s="59"/>
      <c r="X69" s="2"/>
      <c r="Y69" s="48"/>
      <c r="AA69" s="261"/>
    </row>
    <row r="70" spans="1:27" ht="16.5" thickBot="1" x14ac:dyDescent="0.25">
      <c r="A70" s="217"/>
      <c r="B70" s="218"/>
      <c r="C70" s="70" t="s">
        <v>566</v>
      </c>
      <c r="D70" s="71"/>
      <c r="E70" s="71"/>
      <c r="F70" s="71"/>
      <c r="G70" s="71"/>
      <c r="H70" s="8"/>
      <c r="I70" s="8"/>
      <c r="J70" s="59"/>
      <c r="K70" s="59"/>
      <c r="L70" s="59"/>
      <c r="M70" s="59"/>
      <c r="N70" s="59"/>
      <c r="O70" s="59"/>
      <c r="P70" s="59"/>
      <c r="Q70" s="59"/>
      <c r="R70" s="59"/>
      <c r="S70" s="59"/>
      <c r="T70" s="59"/>
      <c r="U70" s="59"/>
      <c r="V70" s="59"/>
      <c r="W70" s="59"/>
      <c r="X70" s="2"/>
      <c r="Y70" s="48"/>
      <c r="AA70" s="261"/>
    </row>
    <row r="71" spans="1:27" ht="16.5" thickBot="1" x14ac:dyDescent="0.25">
      <c r="A71" s="217"/>
      <c r="B71" s="218"/>
      <c r="C71" s="71" t="s">
        <v>894</v>
      </c>
      <c r="D71" s="71"/>
      <c r="E71" s="71"/>
      <c r="F71" s="71"/>
      <c r="G71" s="71"/>
      <c r="H71" s="8"/>
      <c r="I71" s="8"/>
      <c r="J71" s="374">
        <f>VLOOKUP($F$1,Part3,78,FALSE)</f>
        <v>43297862.019999973</v>
      </c>
      <c r="K71" s="375"/>
      <c r="L71" s="59"/>
      <c r="M71" s="59"/>
      <c r="N71" s="374">
        <f>VLOOKUP($F$1,Part3,79,FALSE)</f>
        <v>2299</v>
      </c>
      <c r="O71" s="375"/>
      <c r="P71" s="59"/>
      <c r="Q71" s="59"/>
      <c r="R71" s="374">
        <f>VLOOKUP($F$1,Part3,80,FALSE)</f>
        <v>16987.800000000003</v>
      </c>
      <c r="S71" s="375"/>
      <c r="T71" s="59"/>
      <c r="U71" s="59"/>
      <c r="V71" s="374">
        <f>VLOOKUP($F$1,Part3,81,FALSE)</f>
        <v>43317148.81999997</v>
      </c>
      <c r="W71" s="375"/>
      <c r="X71" s="2"/>
      <c r="Y71" s="48"/>
      <c r="AA71" s="262"/>
    </row>
    <row r="72" spans="1:27" ht="15.75" thickBot="1" x14ac:dyDescent="0.25">
      <c r="A72" s="217"/>
      <c r="B72" s="218"/>
      <c r="C72" s="71"/>
      <c r="D72" s="71"/>
      <c r="E72" s="71"/>
      <c r="F72" s="71"/>
      <c r="G72" s="71"/>
      <c r="H72" s="8"/>
      <c r="I72" s="8"/>
      <c r="J72" s="8"/>
      <c r="K72" s="8"/>
      <c r="L72" s="8"/>
      <c r="M72" s="8"/>
      <c r="N72" s="8"/>
      <c r="O72" s="8"/>
      <c r="P72" s="8"/>
      <c r="Q72" s="8"/>
      <c r="R72" s="8"/>
      <c r="S72" s="8"/>
      <c r="T72" s="8"/>
      <c r="U72" s="8"/>
      <c r="V72" s="8"/>
      <c r="W72" s="8"/>
      <c r="X72" s="8"/>
      <c r="Y72" s="48"/>
      <c r="AA72" s="262"/>
    </row>
    <row r="73" spans="1:27" ht="16.5" thickBot="1" x14ac:dyDescent="0.25">
      <c r="A73" s="217"/>
      <c r="B73" s="218"/>
      <c r="C73" s="360" t="s">
        <v>895</v>
      </c>
      <c r="D73" s="360"/>
      <c r="E73" s="360"/>
      <c r="F73" s="360"/>
      <c r="G73" s="360"/>
      <c r="H73" s="8"/>
      <c r="I73" s="8"/>
      <c r="J73" s="374">
        <f>VLOOKUP($F$1,Part3,82,FALSE)</f>
        <v>-55680.249999999913</v>
      </c>
      <c r="K73" s="375"/>
      <c r="L73" s="59"/>
      <c r="M73" s="59"/>
      <c r="N73" s="374">
        <f>VLOOKUP($F$1,Part3,83,FALSE)</f>
        <v>0</v>
      </c>
      <c r="O73" s="375"/>
      <c r="P73" s="59"/>
      <c r="Q73" s="59"/>
      <c r="R73" s="374">
        <f>VLOOKUP($F$1,Part3,84,FALSE)</f>
        <v>-165.23</v>
      </c>
      <c r="S73" s="375"/>
      <c r="T73" s="59"/>
      <c r="U73" s="59"/>
      <c r="V73" s="374">
        <f>VLOOKUP($F$1,Part3,85,FALSE)</f>
        <v>-55845.479999999894</v>
      </c>
      <c r="W73" s="375"/>
      <c r="X73" s="2"/>
      <c r="Y73" s="48"/>
      <c r="AA73" s="262"/>
    </row>
    <row r="74" spans="1:27" ht="15.75" x14ac:dyDescent="0.2">
      <c r="A74" s="217"/>
      <c r="B74" s="218"/>
      <c r="C74" s="373"/>
      <c r="D74" s="373"/>
      <c r="E74" s="373"/>
      <c r="F74" s="373"/>
      <c r="G74" s="373"/>
      <c r="H74" s="8"/>
      <c r="I74" s="8"/>
      <c r="J74" s="73"/>
      <c r="K74" s="59"/>
      <c r="L74" s="59"/>
      <c r="M74" s="59"/>
      <c r="N74" s="73"/>
      <c r="O74" s="59"/>
      <c r="P74" s="59"/>
      <c r="Q74" s="59"/>
      <c r="R74" s="73"/>
      <c r="S74" s="59"/>
      <c r="T74" s="59"/>
      <c r="U74" s="59"/>
      <c r="V74" s="73"/>
      <c r="W74" s="59"/>
      <c r="X74" s="2"/>
      <c r="Y74" s="48"/>
      <c r="AA74" s="262"/>
    </row>
    <row r="75" spans="1:27" ht="15.75" x14ac:dyDescent="0.2">
      <c r="A75" s="217"/>
      <c r="B75" s="218"/>
      <c r="C75" s="70"/>
      <c r="D75" s="71"/>
      <c r="E75" s="71"/>
      <c r="F75" s="71"/>
      <c r="G75" s="71"/>
      <c r="H75" s="8"/>
      <c r="I75" s="8"/>
      <c r="J75" s="59"/>
      <c r="K75" s="59"/>
      <c r="L75" s="59"/>
      <c r="M75" s="59"/>
      <c r="N75" s="59"/>
      <c r="O75" s="59"/>
      <c r="P75" s="59"/>
      <c r="Q75" s="59"/>
      <c r="R75" s="59"/>
      <c r="S75" s="59"/>
      <c r="T75" s="59"/>
      <c r="U75" s="59"/>
      <c r="V75" s="59"/>
      <c r="W75" s="59"/>
      <c r="X75" s="2"/>
      <c r="Y75" s="48"/>
      <c r="AA75" s="261"/>
    </row>
    <row r="76" spans="1:27" ht="16.5" thickBot="1" x14ac:dyDescent="0.25">
      <c r="A76" s="217"/>
      <c r="B76" s="218"/>
      <c r="C76" s="70" t="s">
        <v>554</v>
      </c>
      <c r="D76" s="71"/>
      <c r="E76" s="71"/>
      <c r="F76" s="71"/>
      <c r="G76" s="71"/>
      <c r="H76" s="8"/>
      <c r="I76" s="8"/>
      <c r="J76" s="59"/>
      <c r="K76" s="59"/>
      <c r="L76" s="59"/>
      <c r="M76" s="59"/>
      <c r="N76" s="59"/>
      <c r="O76" s="59"/>
      <c r="P76" s="59"/>
      <c r="Q76" s="59"/>
      <c r="R76" s="59"/>
      <c r="S76" s="59"/>
      <c r="T76" s="59"/>
      <c r="U76" s="59"/>
      <c r="V76" s="59"/>
      <c r="W76" s="59"/>
      <c r="X76" s="2"/>
      <c r="Y76" s="48"/>
      <c r="AA76" s="261"/>
    </row>
    <row r="77" spans="1:27" ht="16.5" thickBot="1" x14ac:dyDescent="0.25">
      <c r="A77" s="217"/>
      <c r="B77" s="218"/>
      <c r="C77" s="71" t="s">
        <v>896</v>
      </c>
      <c r="D77" s="71"/>
      <c r="E77" s="71"/>
      <c r="F77" s="71"/>
      <c r="G77" s="71"/>
      <c r="H77" s="8"/>
      <c r="I77" s="8"/>
      <c r="J77" s="374">
        <f>VLOOKUP($F$1,Part3,86,FALSE)</f>
        <v>34849166.589999996</v>
      </c>
      <c r="K77" s="375"/>
      <c r="L77" s="59"/>
      <c r="M77" s="59"/>
      <c r="N77" s="374">
        <f>VLOOKUP($F$1,Part3,87,FALSE)</f>
        <v>263194</v>
      </c>
      <c r="O77" s="375"/>
      <c r="P77" s="59"/>
      <c r="Q77" s="59"/>
      <c r="R77" s="374">
        <f>VLOOKUP($F$1,Part3,88,FALSE)</f>
        <v>61920.5</v>
      </c>
      <c r="S77" s="375"/>
      <c r="T77" s="59"/>
      <c r="U77" s="59"/>
      <c r="V77" s="374">
        <f>VLOOKUP($F$1,Part3,89,FALSE)</f>
        <v>35174281.089999996</v>
      </c>
      <c r="W77" s="375"/>
      <c r="X77" s="2"/>
      <c r="Y77" s="48"/>
      <c r="AA77" s="262"/>
    </row>
    <row r="78" spans="1:27" ht="15.75" thickBot="1" x14ac:dyDescent="0.25">
      <c r="A78" s="217"/>
      <c r="B78" s="218"/>
      <c r="C78" s="71"/>
      <c r="D78" s="71"/>
      <c r="E78" s="71"/>
      <c r="F78" s="71"/>
      <c r="G78" s="71"/>
      <c r="H78" s="8"/>
      <c r="I78" s="8"/>
      <c r="J78" s="8"/>
      <c r="K78" s="8"/>
      <c r="L78" s="8"/>
      <c r="M78" s="8"/>
      <c r="N78" s="8"/>
      <c r="O78" s="8"/>
      <c r="P78" s="8"/>
      <c r="Q78" s="8"/>
      <c r="R78" s="8"/>
      <c r="S78" s="8"/>
      <c r="T78" s="8"/>
      <c r="U78" s="8"/>
      <c r="V78" s="8"/>
      <c r="W78" s="8"/>
      <c r="X78" s="2"/>
      <c r="Y78" s="48"/>
      <c r="AA78" s="262"/>
    </row>
    <row r="79" spans="1:27" ht="16.5" thickBot="1" x14ac:dyDescent="0.25">
      <c r="A79" s="217"/>
      <c r="B79" s="218"/>
      <c r="C79" s="360" t="s">
        <v>897</v>
      </c>
      <c r="D79" s="360"/>
      <c r="E79" s="360"/>
      <c r="F79" s="360"/>
      <c r="G79" s="360"/>
      <c r="H79" s="8"/>
      <c r="I79" s="8"/>
      <c r="J79" s="374">
        <f>VLOOKUP($F$1,Part3,90,FALSE)</f>
        <v>236790.28999999992</v>
      </c>
      <c r="K79" s="375"/>
      <c r="L79" s="59"/>
      <c r="M79" s="59"/>
      <c r="N79" s="374">
        <f>VLOOKUP($F$1,Part3,91,FALSE)</f>
        <v>-6686</v>
      </c>
      <c r="O79" s="375"/>
      <c r="P79" s="59"/>
      <c r="Q79" s="59"/>
      <c r="R79" s="374">
        <f>VLOOKUP($F$1,Part3,92,FALSE)</f>
        <v>454</v>
      </c>
      <c r="S79" s="375"/>
      <c r="T79" s="59"/>
      <c r="U79" s="59"/>
      <c r="V79" s="374">
        <f>VLOOKUP($F$1,Part3,93,FALSE)</f>
        <v>230558.28999999992</v>
      </c>
      <c r="W79" s="375"/>
      <c r="X79" s="2"/>
      <c r="Y79" s="48"/>
      <c r="AA79" s="262"/>
    </row>
    <row r="80" spans="1:27" ht="15.75" x14ac:dyDescent="0.2">
      <c r="A80" s="217"/>
      <c r="B80" s="218"/>
      <c r="C80" s="373"/>
      <c r="D80" s="373"/>
      <c r="E80" s="373"/>
      <c r="F80" s="373"/>
      <c r="G80" s="373"/>
      <c r="H80" s="8"/>
      <c r="I80" s="8"/>
      <c r="J80" s="73"/>
      <c r="K80" s="59"/>
      <c r="L80" s="59"/>
      <c r="M80" s="59"/>
      <c r="N80" s="73"/>
      <c r="O80" s="59"/>
      <c r="P80" s="59"/>
      <c r="Q80" s="59"/>
      <c r="R80" s="73"/>
      <c r="S80" s="59"/>
      <c r="T80" s="59"/>
      <c r="U80" s="59"/>
      <c r="V80" s="73"/>
      <c r="W80" s="59"/>
      <c r="X80" s="2"/>
      <c r="Y80" s="48"/>
      <c r="AA80" s="262"/>
    </row>
    <row r="81" spans="1:27" ht="15.75" x14ac:dyDescent="0.2">
      <c r="A81" s="217"/>
      <c r="B81" s="218"/>
      <c r="C81" s="160"/>
      <c r="D81" s="160"/>
      <c r="E81" s="160"/>
      <c r="F81" s="160"/>
      <c r="G81" s="160"/>
      <c r="H81" s="8"/>
      <c r="I81" s="8"/>
      <c r="J81" s="73"/>
      <c r="K81" s="59"/>
      <c r="L81" s="59"/>
      <c r="M81" s="59"/>
      <c r="N81" s="73"/>
      <c r="O81" s="59"/>
      <c r="P81" s="59"/>
      <c r="Q81" s="59"/>
      <c r="R81" s="73"/>
      <c r="S81" s="59"/>
      <c r="T81" s="59"/>
      <c r="U81" s="59"/>
      <c r="V81" s="73"/>
      <c r="W81" s="59"/>
      <c r="X81" s="2"/>
      <c r="Y81" s="48"/>
      <c r="AA81" s="262"/>
    </row>
    <row r="82" spans="1:27" ht="16.5" thickBot="1" x14ac:dyDescent="0.25">
      <c r="A82" s="217"/>
      <c r="B82" s="218"/>
      <c r="C82" s="70" t="s">
        <v>553</v>
      </c>
      <c r="D82" s="71"/>
      <c r="E82" s="71"/>
      <c r="F82" s="71"/>
      <c r="G82" s="71"/>
      <c r="H82" s="8"/>
      <c r="I82" s="8"/>
      <c r="J82" s="59"/>
      <c r="K82" s="59"/>
      <c r="L82" s="59"/>
      <c r="M82" s="59"/>
      <c r="N82" s="59"/>
      <c r="O82" s="59"/>
      <c r="P82" s="59"/>
      <c r="Q82" s="59"/>
      <c r="R82" s="59"/>
      <c r="S82" s="59"/>
      <c r="T82" s="59"/>
      <c r="U82" s="59"/>
      <c r="V82" s="59"/>
      <c r="W82" s="59"/>
      <c r="X82" s="2"/>
      <c r="Y82" s="48"/>
      <c r="AA82" s="261"/>
    </row>
    <row r="83" spans="1:27" ht="16.5" thickBot="1" x14ac:dyDescent="0.25">
      <c r="A83" s="217"/>
      <c r="B83" s="218"/>
      <c r="C83" s="71" t="s">
        <v>898</v>
      </c>
      <c r="D83" s="71"/>
      <c r="E83" s="71"/>
      <c r="F83" s="71"/>
      <c r="G83" s="71"/>
      <c r="H83" s="8"/>
      <c r="I83" s="8"/>
      <c r="J83" s="374">
        <f>VLOOKUP($F$1,Part3,94,FALSE)</f>
        <v>1128483.5599999998</v>
      </c>
      <c r="K83" s="375"/>
      <c r="L83" s="59"/>
      <c r="M83" s="59"/>
      <c r="N83" s="374">
        <f>VLOOKUP($F$1,Part3,95,FALSE)</f>
        <v>0</v>
      </c>
      <c r="O83" s="375"/>
      <c r="P83" s="59"/>
      <c r="Q83" s="59"/>
      <c r="R83" s="374">
        <f>VLOOKUP($F$1,Part3,96,FALSE)</f>
        <v>0</v>
      </c>
      <c r="S83" s="375"/>
      <c r="T83" s="59"/>
      <c r="U83" s="59"/>
      <c r="V83" s="374">
        <f>VLOOKUP($F$1,Part3,97,FALSE)</f>
        <v>1128483.5599999998</v>
      </c>
      <c r="W83" s="375"/>
      <c r="X83" s="2"/>
      <c r="Y83" s="48"/>
      <c r="AA83" s="262"/>
    </row>
    <row r="84" spans="1:27" ht="15.75" thickBot="1" x14ac:dyDescent="0.25">
      <c r="A84" s="217"/>
      <c r="B84" s="218"/>
      <c r="C84" s="71"/>
      <c r="D84" s="71"/>
      <c r="E84" s="71"/>
      <c r="F84" s="71"/>
      <c r="G84" s="71"/>
      <c r="H84" s="8"/>
      <c r="I84" s="8"/>
      <c r="J84" s="8"/>
      <c r="K84" s="8"/>
      <c r="L84" s="8"/>
      <c r="M84" s="8"/>
      <c r="N84" s="8"/>
      <c r="O84" s="8"/>
      <c r="P84" s="8"/>
      <c r="Q84" s="8"/>
      <c r="R84" s="8"/>
      <c r="S84" s="8"/>
      <c r="T84" s="8"/>
      <c r="U84" s="8"/>
      <c r="V84" s="8"/>
      <c r="W84" s="8"/>
      <c r="X84" s="2"/>
      <c r="Y84" s="48"/>
      <c r="AA84" s="262"/>
    </row>
    <row r="85" spans="1:27" ht="16.5" thickBot="1" x14ac:dyDescent="0.25">
      <c r="A85" s="217"/>
      <c r="B85" s="218"/>
      <c r="C85" s="360" t="s">
        <v>899</v>
      </c>
      <c r="D85" s="360"/>
      <c r="E85" s="360"/>
      <c r="F85" s="360"/>
      <c r="G85" s="360"/>
      <c r="H85" s="8"/>
      <c r="I85" s="8"/>
      <c r="J85" s="374">
        <f>VLOOKUP($F$1,Part3,98,FALSE)</f>
        <v>30487.61</v>
      </c>
      <c r="K85" s="375"/>
      <c r="L85" s="59"/>
      <c r="M85" s="59"/>
      <c r="N85" s="374">
        <f>VLOOKUP($F$1,Part3,99,FALSE)</f>
        <v>0</v>
      </c>
      <c r="O85" s="375"/>
      <c r="P85" s="59"/>
      <c r="Q85" s="59"/>
      <c r="R85" s="374">
        <f>VLOOKUP($F$1,Part3,100,FALSE)</f>
        <v>0</v>
      </c>
      <c r="S85" s="375"/>
      <c r="T85" s="59"/>
      <c r="U85" s="59"/>
      <c r="V85" s="374">
        <f>VLOOKUP($F$1,Part3,101,FALSE)</f>
        <v>30487.61</v>
      </c>
      <c r="W85" s="375"/>
      <c r="X85" s="2"/>
      <c r="Y85" s="48"/>
      <c r="AA85" s="262"/>
    </row>
    <row r="86" spans="1:27" ht="15.75" x14ac:dyDescent="0.2">
      <c r="A86" s="217"/>
      <c r="B86" s="218"/>
      <c r="C86" s="373"/>
      <c r="D86" s="373"/>
      <c r="E86" s="373"/>
      <c r="F86" s="373"/>
      <c r="G86" s="373"/>
      <c r="H86" s="8"/>
      <c r="I86" s="8"/>
      <c r="J86" s="73"/>
      <c r="K86" s="59"/>
      <c r="L86" s="59"/>
      <c r="M86" s="59"/>
      <c r="N86" s="73"/>
      <c r="O86" s="59"/>
      <c r="P86" s="59"/>
      <c r="Q86" s="59"/>
      <c r="R86" s="73"/>
      <c r="S86" s="59"/>
      <c r="T86" s="59"/>
      <c r="U86" s="59"/>
      <c r="V86" s="73"/>
      <c r="W86" s="59"/>
      <c r="X86" s="2"/>
      <c r="Y86" s="48"/>
      <c r="AA86" s="262"/>
    </row>
    <row r="87" spans="1:27" ht="15" x14ac:dyDescent="0.2">
      <c r="A87" s="217"/>
      <c r="B87" s="218"/>
      <c r="C87" s="71"/>
      <c r="D87" s="71"/>
      <c r="E87" s="71"/>
      <c r="F87" s="71"/>
      <c r="G87" s="71"/>
      <c r="H87" s="8"/>
      <c r="I87" s="8"/>
      <c r="J87" s="8"/>
      <c r="K87" s="8"/>
      <c r="L87" s="8"/>
      <c r="M87" s="8"/>
      <c r="N87" s="8"/>
      <c r="O87" s="8"/>
      <c r="P87" s="8"/>
      <c r="Q87" s="8"/>
      <c r="R87" s="8"/>
      <c r="S87" s="8"/>
      <c r="T87" s="8"/>
      <c r="U87" s="8"/>
      <c r="V87" s="8"/>
      <c r="W87" s="8"/>
      <c r="X87" s="2"/>
      <c r="Y87" s="48"/>
      <c r="AA87" s="262"/>
    </row>
    <row r="88" spans="1:27" ht="16.5" thickBot="1" x14ac:dyDescent="0.25">
      <c r="A88" s="217"/>
      <c r="B88" s="218"/>
      <c r="C88" s="70" t="s">
        <v>567</v>
      </c>
      <c r="D88" s="71"/>
      <c r="E88" s="71"/>
      <c r="F88" s="71"/>
      <c r="G88" s="71"/>
      <c r="H88" s="8"/>
      <c r="I88" s="8"/>
      <c r="J88" s="59"/>
      <c r="K88" s="59"/>
      <c r="L88" s="59"/>
      <c r="M88" s="59"/>
      <c r="N88" s="59"/>
      <c r="O88" s="59"/>
      <c r="P88" s="59"/>
      <c r="Q88" s="59"/>
      <c r="R88" s="59"/>
      <c r="S88" s="59"/>
      <c r="T88" s="59"/>
      <c r="U88" s="59"/>
      <c r="V88" s="59"/>
      <c r="W88" s="59"/>
      <c r="X88" s="2"/>
      <c r="Y88" s="48"/>
      <c r="AA88" s="261"/>
    </row>
    <row r="89" spans="1:27" ht="16.5" thickBot="1" x14ac:dyDescent="0.25">
      <c r="A89" s="217"/>
      <c r="B89" s="218"/>
      <c r="C89" s="71" t="s">
        <v>900</v>
      </c>
      <c r="D89" s="71"/>
      <c r="E89" s="71"/>
      <c r="F89" s="71"/>
      <c r="G89" s="71"/>
      <c r="H89" s="8"/>
      <c r="I89" s="8"/>
      <c r="J89" s="374">
        <f>VLOOKUP($F$1,Part3,102,FALSE)</f>
        <v>3023983.48</v>
      </c>
      <c r="K89" s="375"/>
      <c r="L89" s="59"/>
      <c r="M89" s="59"/>
      <c r="N89" s="374">
        <f>VLOOKUP($F$1,Part3,103,FALSE)</f>
        <v>0</v>
      </c>
      <c r="O89" s="375"/>
      <c r="P89" s="59"/>
      <c r="Q89" s="59"/>
      <c r="R89" s="374">
        <f>VLOOKUP($F$1,Part3,104,FALSE)</f>
        <v>661</v>
      </c>
      <c r="S89" s="375"/>
      <c r="T89" s="59"/>
      <c r="U89" s="59"/>
      <c r="V89" s="374">
        <f>VLOOKUP($F$1,Part3,105,FALSE)</f>
        <v>3024644.48</v>
      </c>
      <c r="W89" s="375"/>
      <c r="X89" s="2"/>
      <c r="Y89" s="48"/>
      <c r="AA89" s="262"/>
    </row>
    <row r="90" spans="1:27" ht="15.75" thickBot="1" x14ac:dyDescent="0.25">
      <c r="A90" s="217"/>
      <c r="B90" s="218"/>
      <c r="C90" s="71"/>
      <c r="D90" s="71"/>
      <c r="E90" s="71"/>
      <c r="F90" s="71"/>
      <c r="G90" s="71"/>
      <c r="H90" s="8"/>
      <c r="I90" s="8"/>
      <c r="J90" s="8"/>
      <c r="K90" s="8"/>
      <c r="L90" s="8"/>
      <c r="M90" s="8"/>
      <c r="N90" s="8"/>
      <c r="O90" s="8"/>
      <c r="P90" s="8"/>
      <c r="Q90" s="8"/>
      <c r="R90" s="8"/>
      <c r="S90" s="8"/>
      <c r="T90" s="8"/>
      <c r="U90" s="8"/>
      <c r="V90" s="8"/>
      <c r="W90" s="8"/>
      <c r="X90" s="8"/>
      <c r="Y90" s="48"/>
      <c r="AA90" s="262"/>
    </row>
    <row r="91" spans="1:27" ht="16.5" thickBot="1" x14ac:dyDescent="0.25">
      <c r="A91" s="217"/>
      <c r="B91" s="218"/>
      <c r="C91" s="360" t="s">
        <v>901</v>
      </c>
      <c r="D91" s="360"/>
      <c r="E91" s="360"/>
      <c r="F91" s="360"/>
      <c r="G91" s="360"/>
      <c r="H91" s="8"/>
      <c r="I91" s="8"/>
      <c r="J91" s="374">
        <f>VLOOKUP($F$1,Part3,106,FALSE)</f>
        <v>55451.299999999996</v>
      </c>
      <c r="K91" s="375"/>
      <c r="L91" s="59"/>
      <c r="M91" s="59"/>
      <c r="N91" s="374">
        <f>VLOOKUP($F$1,Part3,107,FALSE)</f>
        <v>0</v>
      </c>
      <c r="O91" s="375"/>
      <c r="P91" s="59"/>
      <c r="Q91" s="59"/>
      <c r="R91" s="374">
        <f>VLOOKUP($F$1,Part3,108,FALSE)</f>
        <v>0</v>
      </c>
      <c r="S91" s="375"/>
      <c r="T91" s="59"/>
      <c r="U91" s="59"/>
      <c r="V91" s="374">
        <f>VLOOKUP($F$1,Part3,109,FALSE)</f>
        <v>55451.299999999996</v>
      </c>
      <c r="W91" s="375"/>
      <c r="X91" s="2"/>
      <c r="Y91" s="48"/>
      <c r="AA91" s="262"/>
    </row>
    <row r="92" spans="1:27" ht="15.75" x14ac:dyDescent="0.2">
      <c r="A92" s="217"/>
      <c r="B92" s="218"/>
      <c r="C92" s="373"/>
      <c r="D92" s="373"/>
      <c r="E92" s="373"/>
      <c r="F92" s="373"/>
      <c r="G92" s="373"/>
      <c r="H92" s="8"/>
      <c r="I92" s="8"/>
      <c r="J92" s="73"/>
      <c r="K92" s="59"/>
      <c r="L92" s="59"/>
      <c r="M92" s="59"/>
      <c r="N92" s="73"/>
      <c r="O92" s="59"/>
      <c r="P92" s="59"/>
      <c r="Q92" s="59"/>
      <c r="R92" s="73"/>
      <c r="S92" s="59"/>
      <c r="T92" s="59"/>
      <c r="U92" s="59"/>
      <c r="V92" s="73"/>
      <c r="W92" s="59"/>
      <c r="X92" s="2"/>
      <c r="Y92" s="48"/>
      <c r="AA92" s="262"/>
    </row>
    <row r="93" spans="1:27" ht="16.5" thickBot="1" x14ac:dyDescent="0.25">
      <c r="A93" s="221"/>
      <c r="B93" s="222"/>
      <c r="C93" s="223"/>
      <c r="D93" s="223"/>
      <c r="E93" s="223"/>
      <c r="F93" s="223"/>
      <c r="G93" s="223"/>
      <c r="H93" s="164"/>
      <c r="I93" s="164"/>
      <c r="J93" s="224"/>
      <c r="K93" s="225"/>
      <c r="L93" s="225"/>
      <c r="M93" s="225"/>
      <c r="N93" s="224"/>
      <c r="O93" s="225"/>
      <c r="P93" s="225"/>
      <c r="Q93" s="225"/>
      <c r="R93" s="224"/>
      <c r="S93" s="225"/>
      <c r="T93" s="225"/>
      <c r="U93" s="225"/>
      <c r="V93" s="224"/>
      <c r="W93" s="225"/>
      <c r="X93" s="226"/>
      <c r="Y93" s="227"/>
      <c r="AA93" s="262"/>
    </row>
    <row r="94" spans="1:27" ht="15.75" hidden="1" x14ac:dyDescent="0.2">
      <c r="A94" s="266"/>
      <c r="B94" s="228"/>
      <c r="C94" s="229"/>
      <c r="D94" s="229"/>
      <c r="E94" s="229"/>
      <c r="F94" s="229"/>
      <c r="G94" s="229"/>
      <c r="H94" s="172"/>
      <c r="I94" s="172"/>
      <c r="J94" s="230"/>
      <c r="K94" s="231"/>
      <c r="L94" s="231"/>
      <c r="M94" s="231"/>
      <c r="N94" s="230"/>
      <c r="O94" s="231"/>
      <c r="P94" s="231"/>
      <c r="Q94" s="231"/>
      <c r="R94" s="230"/>
      <c r="S94" s="231"/>
      <c r="T94" s="231"/>
      <c r="U94" s="231"/>
      <c r="V94" s="230"/>
      <c r="W94" s="231"/>
      <c r="X94" s="232"/>
      <c r="Y94" s="235"/>
      <c r="AA94" s="262"/>
    </row>
    <row r="95" spans="1:27" ht="16.5" hidden="1" thickBot="1" x14ac:dyDescent="0.25">
      <c r="A95" s="267"/>
      <c r="B95" s="233"/>
      <c r="C95" s="223"/>
      <c r="D95" s="223"/>
      <c r="E95" s="223"/>
      <c r="F95" s="223"/>
      <c r="G95" s="223"/>
      <c r="H95" s="164"/>
      <c r="I95" s="164"/>
      <c r="J95" s="224"/>
      <c r="K95" s="225"/>
      <c r="L95" s="225"/>
      <c r="M95" s="225"/>
      <c r="N95" s="224"/>
      <c r="O95" s="225"/>
      <c r="P95" s="225"/>
      <c r="Q95" s="225"/>
      <c r="R95" s="224"/>
      <c r="S95" s="225"/>
      <c r="T95" s="225"/>
      <c r="U95" s="225"/>
      <c r="V95" s="224"/>
      <c r="W95" s="225"/>
      <c r="X95" s="226"/>
      <c r="Y95" s="227"/>
      <c r="AA95" s="262"/>
    </row>
    <row r="96" spans="1:27" ht="15" x14ac:dyDescent="0.2">
      <c r="A96" s="217"/>
      <c r="B96" s="218"/>
      <c r="C96" s="234"/>
      <c r="D96" s="234"/>
      <c r="E96" s="234"/>
      <c r="F96" s="234"/>
      <c r="G96" s="234"/>
      <c r="H96" s="172"/>
      <c r="I96" s="172"/>
      <c r="J96" s="172"/>
      <c r="K96" s="172"/>
      <c r="L96" s="172"/>
      <c r="M96" s="172"/>
      <c r="N96" s="172"/>
      <c r="O96" s="172"/>
      <c r="P96" s="172"/>
      <c r="Q96" s="172"/>
      <c r="R96" s="172"/>
      <c r="S96" s="172"/>
      <c r="T96" s="172"/>
      <c r="U96" s="172"/>
      <c r="V96" s="172"/>
      <c r="W96" s="172"/>
      <c r="X96" s="232"/>
      <c r="Y96" s="235"/>
      <c r="AA96" s="261"/>
    </row>
    <row r="97" spans="1:27" ht="16.5" thickBot="1" x14ac:dyDescent="0.25">
      <c r="A97" s="217"/>
      <c r="B97" s="218"/>
      <c r="C97" s="70" t="s">
        <v>555</v>
      </c>
      <c r="D97" s="71"/>
      <c r="E97" s="71"/>
      <c r="F97" s="71"/>
      <c r="G97" s="71"/>
      <c r="H97" s="8"/>
      <c r="I97" s="8"/>
      <c r="J97" s="236"/>
      <c r="K97" s="236"/>
      <c r="L97" s="236"/>
      <c r="M97" s="236"/>
      <c r="N97" s="236"/>
      <c r="O97" s="236"/>
      <c r="P97" s="236"/>
      <c r="Q97" s="236"/>
      <c r="R97" s="236"/>
      <c r="S97" s="236"/>
      <c r="T97" s="59"/>
      <c r="U97" s="59"/>
      <c r="V97" s="59"/>
      <c r="W97" s="59"/>
      <c r="X97" s="2"/>
      <c r="Y97" s="48"/>
      <c r="AA97" s="261"/>
    </row>
    <row r="98" spans="1:27" ht="16.5" thickBot="1" x14ac:dyDescent="0.25">
      <c r="A98" s="217"/>
      <c r="B98" s="218"/>
      <c r="C98" s="71" t="s">
        <v>902</v>
      </c>
      <c r="D98" s="71"/>
      <c r="E98" s="71"/>
      <c r="F98" s="71"/>
      <c r="G98" s="71"/>
      <c r="H98" s="8"/>
      <c r="I98" s="8"/>
      <c r="J98" s="374">
        <f>VLOOKUP($F$1,Part3,110,FALSE)</f>
        <v>1702346.6</v>
      </c>
      <c r="K98" s="375"/>
      <c r="L98" s="59"/>
      <c r="M98" s="59"/>
      <c r="N98" s="374">
        <f>VLOOKUP($F$1,Part3,111,FALSE)</f>
        <v>0</v>
      </c>
      <c r="O98" s="375"/>
      <c r="P98" s="59"/>
      <c r="Q98" s="59"/>
      <c r="R98" s="374">
        <f>VLOOKUP($F$1,Part3,112,FALSE)</f>
        <v>0</v>
      </c>
      <c r="S98" s="375"/>
      <c r="T98" s="59"/>
      <c r="U98" s="59"/>
      <c r="V98" s="374">
        <f>VLOOKUP($F$1,Part3,113,FALSE)</f>
        <v>1702346.6</v>
      </c>
      <c r="W98" s="375"/>
      <c r="X98" s="2"/>
      <c r="Y98" s="48"/>
      <c r="AA98" s="262"/>
    </row>
    <row r="99" spans="1:27" ht="15.75" thickBot="1" x14ac:dyDescent="0.25">
      <c r="A99" s="217"/>
      <c r="B99" s="218"/>
      <c r="C99" s="71"/>
      <c r="D99" s="71"/>
      <c r="E99" s="71"/>
      <c r="F99" s="71"/>
      <c r="G99" s="71"/>
      <c r="H99" s="8"/>
      <c r="I99" s="8"/>
      <c r="J99" s="8"/>
      <c r="K99" s="8"/>
      <c r="L99" s="8"/>
      <c r="M99" s="8"/>
      <c r="N99" s="8"/>
      <c r="O99" s="8"/>
      <c r="P99" s="8"/>
      <c r="Q99" s="8"/>
      <c r="R99" s="8"/>
      <c r="S99" s="8"/>
      <c r="T99" s="8"/>
      <c r="U99" s="8"/>
      <c r="V99" s="8"/>
      <c r="W99" s="8"/>
      <c r="X99" s="2"/>
      <c r="Y99" s="48"/>
      <c r="AA99" s="262"/>
    </row>
    <row r="100" spans="1:27" ht="16.5" thickBot="1" x14ac:dyDescent="0.25">
      <c r="A100" s="217"/>
      <c r="B100" s="218"/>
      <c r="C100" s="360" t="s">
        <v>903</v>
      </c>
      <c r="D100" s="360"/>
      <c r="E100" s="360"/>
      <c r="F100" s="360"/>
      <c r="G100" s="360"/>
      <c r="H100" s="8"/>
      <c r="I100" s="8"/>
      <c r="J100" s="374">
        <f>VLOOKUP($F$1,Part3,114,FALSE)</f>
        <v>164611.41</v>
      </c>
      <c r="K100" s="375"/>
      <c r="L100" s="59"/>
      <c r="M100" s="59"/>
      <c r="N100" s="374">
        <f>VLOOKUP($F$1,Part3,115,FALSE)</f>
        <v>0</v>
      </c>
      <c r="O100" s="375"/>
      <c r="P100" s="59"/>
      <c r="Q100" s="59"/>
      <c r="R100" s="374">
        <f>VLOOKUP($F$1,Part3,116,FALSE)</f>
        <v>0</v>
      </c>
      <c r="S100" s="375"/>
      <c r="T100" s="59"/>
      <c r="U100" s="59"/>
      <c r="V100" s="374">
        <f>VLOOKUP($F$1,Part3,117,FALSE)</f>
        <v>164611.41</v>
      </c>
      <c r="W100" s="375"/>
      <c r="X100" s="2"/>
      <c r="Y100" s="48"/>
      <c r="AA100" s="262"/>
    </row>
    <row r="101" spans="1:27" ht="15.75" x14ac:dyDescent="0.2">
      <c r="A101" s="217"/>
      <c r="B101" s="218"/>
      <c r="C101" s="373"/>
      <c r="D101" s="373"/>
      <c r="E101" s="373"/>
      <c r="F101" s="373"/>
      <c r="G101" s="373"/>
      <c r="H101" s="8"/>
      <c r="I101" s="8"/>
      <c r="J101" s="73"/>
      <c r="K101" s="59"/>
      <c r="L101" s="59"/>
      <c r="M101" s="59"/>
      <c r="N101" s="73"/>
      <c r="O101" s="59"/>
      <c r="P101" s="59"/>
      <c r="Q101" s="59"/>
      <c r="R101" s="73"/>
      <c r="S101" s="59"/>
      <c r="T101" s="59"/>
      <c r="U101" s="59"/>
      <c r="V101" s="73"/>
      <c r="W101" s="59"/>
      <c r="X101" s="2"/>
      <c r="Y101" s="48"/>
      <c r="AA101" s="262"/>
    </row>
    <row r="102" spans="1:27" ht="15" x14ac:dyDescent="0.2">
      <c r="A102" s="217"/>
      <c r="B102" s="218"/>
      <c r="C102" s="71"/>
      <c r="D102" s="71"/>
      <c r="E102" s="71"/>
      <c r="F102" s="71"/>
      <c r="G102" s="71"/>
      <c r="H102" s="8"/>
      <c r="I102" s="8"/>
      <c r="J102" s="236"/>
      <c r="K102" s="236"/>
      <c r="L102" s="236"/>
      <c r="M102" s="236"/>
      <c r="N102" s="236"/>
      <c r="O102" s="236"/>
      <c r="P102" s="236"/>
      <c r="Q102" s="236"/>
      <c r="R102" s="236"/>
      <c r="S102" s="236"/>
      <c r="T102" s="59"/>
      <c r="U102" s="59"/>
      <c r="V102" s="59"/>
      <c r="W102" s="59"/>
      <c r="X102" s="2"/>
      <c r="Y102" s="48"/>
      <c r="AA102" s="261"/>
    </row>
    <row r="103" spans="1:27" ht="16.5" thickBot="1" x14ac:dyDescent="0.25">
      <c r="A103" s="217"/>
      <c r="B103" s="218"/>
      <c r="C103" s="70" t="s">
        <v>569</v>
      </c>
      <c r="D103" s="71"/>
      <c r="E103" s="71"/>
      <c r="F103" s="71"/>
      <c r="G103" s="71"/>
      <c r="H103" s="8"/>
      <c r="I103" s="8"/>
      <c r="J103" s="236"/>
      <c r="K103" s="236"/>
      <c r="L103" s="236"/>
      <c r="M103" s="236"/>
      <c r="N103" s="236"/>
      <c r="O103" s="236"/>
      <c r="P103" s="236"/>
      <c r="Q103" s="236"/>
      <c r="R103" s="236"/>
      <c r="S103" s="236"/>
      <c r="T103" s="59"/>
      <c r="U103" s="59"/>
      <c r="V103" s="59"/>
      <c r="W103" s="59"/>
      <c r="X103" s="2"/>
      <c r="Y103" s="48"/>
      <c r="AA103" s="261"/>
    </row>
    <row r="104" spans="1:27" ht="16.5" thickBot="1" x14ac:dyDescent="0.25">
      <c r="A104" s="217"/>
      <c r="B104" s="218"/>
      <c r="C104" s="71" t="s">
        <v>904</v>
      </c>
      <c r="D104" s="71"/>
      <c r="E104" s="71"/>
      <c r="F104" s="71"/>
      <c r="G104" s="71"/>
      <c r="H104" s="8"/>
      <c r="I104" s="8"/>
      <c r="J104" s="374">
        <f>VLOOKUP($F$1,Part3,118,FALSE)</f>
        <v>2191971.44</v>
      </c>
      <c r="K104" s="375"/>
      <c r="L104" s="59"/>
      <c r="M104" s="59"/>
      <c r="N104" s="374">
        <f>VLOOKUP($F$1,Part3,119,FALSE)</f>
        <v>0</v>
      </c>
      <c r="O104" s="375"/>
      <c r="P104" s="59"/>
      <c r="Q104" s="59"/>
      <c r="R104" s="374">
        <f>VLOOKUP($F$1,Part3,120,FALSE)</f>
        <v>5340280.67</v>
      </c>
      <c r="S104" s="375"/>
      <c r="T104" s="59"/>
      <c r="U104" s="59"/>
      <c r="V104" s="374">
        <f>VLOOKUP($F$1,Part3,121,FALSE)</f>
        <v>7532252.1100000003</v>
      </c>
      <c r="W104" s="375"/>
      <c r="X104" s="2"/>
      <c r="Y104" s="48"/>
      <c r="AA104" s="262"/>
    </row>
    <row r="105" spans="1:27" ht="15.75" thickBot="1" x14ac:dyDescent="0.25">
      <c r="A105" s="217"/>
      <c r="B105" s="218"/>
      <c r="C105" s="71"/>
      <c r="D105" s="71"/>
      <c r="E105" s="71"/>
      <c r="F105" s="71"/>
      <c r="G105" s="71"/>
      <c r="H105" s="8"/>
      <c r="I105" s="8"/>
      <c r="J105" s="8"/>
      <c r="K105" s="8"/>
      <c r="L105" s="8"/>
      <c r="M105" s="8"/>
      <c r="N105" s="8"/>
      <c r="O105" s="8"/>
      <c r="P105" s="8"/>
      <c r="Q105" s="8"/>
      <c r="R105" s="8"/>
      <c r="S105" s="8"/>
      <c r="T105" s="8"/>
      <c r="U105" s="8"/>
      <c r="V105" s="8"/>
      <c r="W105" s="8"/>
      <c r="X105" s="8"/>
      <c r="Y105" s="48"/>
      <c r="AA105" s="262"/>
    </row>
    <row r="106" spans="1:27" ht="16.5" thickBot="1" x14ac:dyDescent="0.25">
      <c r="A106" s="217"/>
      <c r="B106" s="218"/>
      <c r="C106" s="360" t="s">
        <v>905</v>
      </c>
      <c r="D106" s="360"/>
      <c r="E106" s="360"/>
      <c r="F106" s="360"/>
      <c r="G106" s="360"/>
      <c r="H106" s="8"/>
      <c r="I106" s="8"/>
      <c r="J106" s="374">
        <f>VLOOKUP($F$1,Part3,122,FALSE)</f>
        <v>408038.82000000007</v>
      </c>
      <c r="K106" s="375"/>
      <c r="L106" s="59"/>
      <c r="M106" s="59"/>
      <c r="N106" s="374">
        <f>VLOOKUP($F$1,Part3,123,FALSE)</f>
        <v>0</v>
      </c>
      <c r="O106" s="375"/>
      <c r="P106" s="59"/>
      <c r="Q106" s="59"/>
      <c r="R106" s="374">
        <f>VLOOKUP($F$1,Part3,124,FALSE)</f>
        <v>473698.35</v>
      </c>
      <c r="S106" s="375"/>
      <c r="T106" s="59"/>
      <c r="U106" s="59"/>
      <c r="V106" s="374">
        <f>VLOOKUP($F$1,Part3,125,FALSE)</f>
        <v>881737.17</v>
      </c>
      <c r="W106" s="375"/>
      <c r="X106" s="2"/>
      <c r="Y106" s="48"/>
      <c r="AA106" s="262"/>
    </row>
    <row r="107" spans="1:27" ht="15.75" x14ac:dyDescent="0.2">
      <c r="A107" s="217"/>
      <c r="B107" s="218"/>
      <c r="C107" s="373"/>
      <c r="D107" s="373"/>
      <c r="E107" s="373"/>
      <c r="F107" s="373"/>
      <c r="G107" s="373"/>
      <c r="H107" s="8"/>
      <c r="I107" s="8"/>
      <c r="J107" s="73"/>
      <c r="K107" s="59"/>
      <c r="L107" s="59"/>
      <c r="M107" s="59"/>
      <c r="N107" s="73"/>
      <c r="O107" s="59"/>
      <c r="P107" s="59"/>
      <c r="Q107" s="59"/>
      <c r="R107" s="73"/>
      <c r="S107" s="59"/>
      <c r="T107" s="59"/>
      <c r="U107" s="59"/>
      <c r="V107" s="73"/>
      <c r="W107" s="59"/>
      <c r="X107" s="2"/>
      <c r="Y107" s="48"/>
      <c r="AA107" s="262"/>
    </row>
    <row r="108" spans="1:27" ht="15.75" thickBot="1" x14ac:dyDescent="0.25">
      <c r="A108" s="217"/>
      <c r="B108" s="218"/>
      <c r="C108" s="71"/>
      <c r="D108" s="71"/>
      <c r="E108" s="71"/>
      <c r="F108" s="71"/>
      <c r="G108" s="71"/>
      <c r="H108" s="8"/>
      <c r="I108" s="8"/>
      <c r="J108" s="8"/>
      <c r="K108" s="8"/>
      <c r="L108" s="8"/>
      <c r="M108" s="8"/>
      <c r="N108" s="8"/>
      <c r="O108" s="8"/>
      <c r="P108" s="8"/>
      <c r="Q108" s="8"/>
      <c r="R108" s="8"/>
      <c r="S108" s="8"/>
      <c r="T108" s="8"/>
      <c r="U108" s="8"/>
      <c r="V108" s="8"/>
      <c r="W108" s="8"/>
      <c r="X108" s="2"/>
      <c r="Y108" s="48"/>
      <c r="AA108" s="262"/>
    </row>
    <row r="109" spans="1:27" ht="15" x14ac:dyDescent="0.2">
      <c r="A109" s="217"/>
      <c r="B109" s="237"/>
      <c r="C109" s="238"/>
      <c r="D109" s="238"/>
      <c r="E109" s="238"/>
      <c r="F109" s="238"/>
      <c r="G109" s="238"/>
      <c r="H109" s="239"/>
      <c r="I109" s="239"/>
      <c r="J109" s="240"/>
      <c r="K109" s="240"/>
      <c r="L109" s="240"/>
      <c r="M109" s="240"/>
      <c r="N109" s="240"/>
      <c r="O109" s="240"/>
      <c r="P109" s="240"/>
      <c r="Q109" s="240"/>
      <c r="R109" s="240"/>
      <c r="S109" s="240"/>
      <c r="T109" s="240"/>
      <c r="U109" s="240"/>
      <c r="V109" s="240"/>
      <c r="W109" s="240"/>
      <c r="X109" s="241"/>
      <c r="Y109" s="48"/>
      <c r="AA109" s="261"/>
    </row>
    <row r="110" spans="1:27" ht="16.5" thickBot="1" x14ac:dyDescent="0.3">
      <c r="A110" s="217"/>
      <c r="B110" s="242"/>
      <c r="C110" s="70"/>
      <c r="D110" s="70"/>
      <c r="E110" s="70"/>
      <c r="F110" s="70"/>
      <c r="G110" s="70"/>
      <c r="H110" s="12"/>
      <c r="I110" s="8"/>
      <c r="J110" s="59" t="s">
        <v>570</v>
      </c>
      <c r="K110" s="59"/>
      <c r="L110" s="59"/>
      <c r="M110" s="59"/>
      <c r="N110" s="59"/>
      <c r="O110" s="59"/>
      <c r="P110" s="59"/>
      <c r="Q110" s="59"/>
      <c r="R110" s="59" t="s">
        <v>570</v>
      </c>
      <c r="S110" s="59"/>
      <c r="T110" s="59"/>
      <c r="U110" s="59"/>
      <c r="V110" s="73"/>
      <c r="W110" s="59"/>
      <c r="X110" s="4"/>
      <c r="Y110" s="48"/>
      <c r="AA110" s="261"/>
    </row>
    <row r="111" spans="1:27" ht="16.5" thickBot="1" x14ac:dyDescent="0.25">
      <c r="A111" s="217"/>
      <c r="B111" s="242"/>
      <c r="C111" s="243" t="s">
        <v>906</v>
      </c>
      <c r="D111" s="71"/>
      <c r="E111" s="71"/>
      <c r="F111" s="71"/>
      <c r="G111" s="71"/>
      <c r="H111" s="8"/>
      <c r="I111" s="8"/>
      <c r="J111" s="236"/>
      <c r="K111" s="236"/>
      <c r="L111" s="236"/>
      <c r="M111" s="236"/>
      <c r="N111" s="236"/>
      <c r="O111" s="236"/>
      <c r="P111" s="236"/>
      <c r="Q111" s="59"/>
      <c r="R111" s="374">
        <f>VLOOKUP($F$1,Part3,126,FALSE)</f>
        <v>5841456.6799999997</v>
      </c>
      <c r="S111" s="375"/>
      <c r="T111" s="59"/>
      <c r="U111" s="59"/>
      <c r="V111" s="59"/>
      <c r="W111" s="59"/>
      <c r="X111" s="4"/>
      <c r="Y111" s="48"/>
      <c r="AA111" s="261"/>
    </row>
    <row r="112" spans="1:27" ht="15.75" thickBot="1" x14ac:dyDescent="0.25">
      <c r="A112" s="217"/>
      <c r="B112" s="242"/>
      <c r="C112" s="71"/>
      <c r="D112" s="71"/>
      <c r="E112" s="71"/>
      <c r="F112" s="71"/>
      <c r="G112" s="71"/>
      <c r="H112" s="59"/>
      <c r="I112" s="59"/>
      <c r="J112" s="59"/>
      <c r="K112" s="59"/>
      <c r="L112" s="59"/>
      <c r="M112" s="59"/>
      <c r="N112" s="59"/>
      <c r="O112" s="59"/>
      <c r="P112" s="59"/>
      <c r="Q112" s="59"/>
      <c r="R112" s="59"/>
      <c r="S112" s="59"/>
      <c r="T112" s="59"/>
      <c r="U112" s="59"/>
      <c r="V112" s="59"/>
      <c r="W112" s="59"/>
      <c r="X112" s="4"/>
      <c r="Y112" s="48"/>
      <c r="AA112" s="261"/>
    </row>
    <row r="113" spans="1:27" ht="16.5" thickBot="1" x14ac:dyDescent="0.25">
      <c r="A113" s="217"/>
      <c r="B113" s="242"/>
      <c r="C113" s="243" t="s">
        <v>907</v>
      </c>
      <c r="D113" s="71"/>
      <c r="E113" s="71"/>
      <c r="F113" s="71"/>
      <c r="G113" s="71"/>
      <c r="H113" s="8"/>
      <c r="I113" s="8"/>
      <c r="J113" s="374">
        <f>VLOOKUP($F$1,Part3,127,FALSE)</f>
        <v>1992261.88</v>
      </c>
      <c r="K113" s="375"/>
      <c r="L113" s="236"/>
      <c r="M113" s="236"/>
      <c r="N113" s="236"/>
      <c r="O113" s="236"/>
      <c r="P113" s="59"/>
      <c r="Q113" s="59"/>
      <c r="R113" s="59"/>
      <c r="S113" s="59"/>
      <c r="T113" s="59"/>
      <c r="U113" s="59"/>
      <c r="V113" s="59"/>
      <c r="W113" s="59"/>
      <c r="X113" s="4"/>
      <c r="Y113" s="48"/>
      <c r="AA113" s="261"/>
    </row>
    <row r="114" spans="1:27" ht="15.75" thickBot="1" x14ac:dyDescent="0.25">
      <c r="A114" s="217"/>
      <c r="B114" s="244"/>
      <c r="C114" s="245"/>
      <c r="D114" s="245"/>
      <c r="E114" s="245"/>
      <c r="F114" s="245"/>
      <c r="G114" s="245"/>
      <c r="H114" s="246"/>
      <c r="I114" s="246"/>
      <c r="J114" s="247"/>
      <c r="K114" s="247"/>
      <c r="L114" s="247"/>
      <c r="M114" s="247"/>
      <c r="N114" s="247"/>
      <c r="O114" s="247"/>
      <c r="P114" s="247"/>
      <c r="Q114" s="247"/>
      <c r="R114" s="247"/>
      <c r="S114" s="247"/>
      <c r="T114" s="247"/>
      <c r="U114" s="247"/>
      <c r="V114" s="247"/>
      <c r="W114" s="247"/>
      <c r="X114" s="5"/>
      <c r="Y114" s="48"/>
      <c r="AA114" s="261"/>
    </row>
    <row r="115" spans="1:27" ht="15.75" thickBot="1" x14ac:dyDescent="0.25">
      <c r="A115" s="217"/>
      <c r="B115" s="218"/>
      <c r="C115" s="71"/>
      <c r="D115" s="71"/>
      <c r="E115" s="71"/>
      <c r="F115" s="71"/>
      <c r="G115" s="71"/>
      <c r="H115" s="8"/>
      <c r="I115" s="8"/>
      <c r="J115" s="59"/>
      <c r="K115" s="59"/>
      <c r="L115" s="59"/>
      <c r="M115" s="59"/>
      <c r="N115" s="59"/>
      <c r="O115" s="59"/>
      <c r="P115" s="59"/>
      <c r="Q115" s="59"/>
      <c r="R115" s="59"/>
      <c r="S115" s="59"/>
      <c r="T115" s="59"/>
      <c r="U115" s="59"/>
      <c r="V115" s="59"/>
      <c r="W115" s="59"/>
      <c r="X115" s="2"/>
      <c r="Y115" s="48"/>
      <c r="AA115" s="261"/>
    </row>
    <row r="116" spans="1:27" ht="15" x14ac:dyDescent="0.2">
      <c r="A116" s="217"/>
      <c r="B116" s="248"/>
      <c r="C116" s="249"/>
      <c r="D116" s="249"/>
      <c r="E116" s="249"/>
      <c r="F116" s="249"/>
      <c r="G116" s="249"/>
      <c r="H116" s="250"/>
      <c r="I116" s="250"/>
      <c r="J116" s="251"/>
      <c r="K116" s="251"/>
      <c r="L116" s="251"/>
      <c r="M116" s="251"/>
      <c r="N116" s="251"/>
      <c r="O116" s="251"/>
      <c r="P116" s="251"/>
      <c r="Q116" s="251"/>
      <c r="R116" s="251"/>
      <c r="S116" s="251"/>
      <c r="T116" s="251"/>
      <c r="U116" s="251"/>
      <c r="V116" s="251"/>
      <c r="W116" s="251"/>
      <c r="X116" s="252"/>
      <c r="Y116" s="48"/>
      <c r="AA116" s="261"/>
    </row>
    <row r="117" spans="1:27" ht="15.75" x14ac:dyDescent="0.2">
      <c r="A117" s="217"/>
      <c r="B117" s="253"/>
      <c r="C117" s="70" t="s">
        <v>908</v>
      </c>
      <c r="D117" s="71"/>
      <c r="E117" s="71"/>
      <c r="F117" s="71"/>
      <c r="G117" s="71"/>
      <c r="H117" s="8"/>
      <c r="I117" s="8"/>
      <c r="J117" s="59"/>
      <c r="K117" s="59"/>
      <c r="L117" s="59"/>
      <c r="M117" s="59"/>
      <c r="N117" s="59"/>
      <c r="O117" s="59"/>
      <c r="P117" s="59"/>
      <c r="Q117" s="59"/>
      <c r="R117" s="59"/>
      <c r="S117" s="59"/>
      <c r="T117" s="59"/>
      <c r="U117" s="59"/>
      <c r="V117" s="59"/>
      <c r="W117" s="59"/>
      <c r="X117" s="254"/>
      <c r="Y117" s="48"/>
      <c r="AA117" s="261"/>
    </row>
    <row r="118" spans="1:27" ht="16.5" thickBot="1" x14ac:dyDescent="0.25">
      <c r="A118" s="217"/>
      <c r="B118" s="253"/>
      <c r="C118" s="70" t="s">
        <v>540</v>
      </c>
      <c r="D118" s="71"/>
      <c r="E118" s="71"/>
      <c r="F118" s="71"/>
      <c r="G118" s="71"/>
      <c r="H118" s="8"/>
      <c r="I118" s="8"/>
      <c r="J118" s="59"/>
      <c r="K118" s="59"/>
      <c r="L118" s="59"/>
      <c r="M118" s="59"/>
      <c r="N118" s="59"/>
      <c r="O118" s="59"/>
      <c r="P118" s="59"/>
      <c r="Q118" s="59"/>
      <c r="R118" s="59"/>
      <c r="S118" s="59"/>
      <c r="T118" s="59"/>
      <c r="U118" s="59"/>
      <c r="V118" s="59"/>
      <c r="W118" s="59"/>
      <c r="X118" s="254"/>
      <c r="Y118" s="48"/>
      <c r="AA118" s="261"/>
    </row>
    <row r="119" spans="1:27" ht="16.5" thickBot="1" x14ac:dyDescent="0.25">
      <c r="A119" s="217"/>
      <c r="B119" s="253"/>
      <c r="C119" s="71" t="s">
        <v>909</v>
      </c>
      <c r="D119" s="71"/>
      <c r="E119" s="71"/>
      <c r="F119" s="71"/>
      <c r="G119" s="71"/>
      <c r="H119" s="8"/>
      <c r="I119" s="8"/>
      <c r="J119" s="374">
        <f>VLOOKUP($F$1,Part3,128,FALSE)</f>
        <v>562047.03999999992</v>
      </c>
      <c r="K119" s="375"/>
      <c r="L119" s="59"/>
      <c r="M119" s="59"/>
      <c r="N119" s="374">
        <f>VLOOKUP($F$1,Part3,129,FALSE)</f>
        <v>0</v>
      </c>
      <c r="O119" s="375"/>
      <c r="P119" s="59"/>
      <c r="Q119" s="59"/>
      <c r="R119" s="374">
        <f>VLOOKUP($F$1,Part3,130,FALSE)</f>
        <v>0</v>
      </c>
      <c r="S119" s="375"/>
      <c r="T119" s="59"/>
      <c r="U119" s="59"/>
      <c r="V119" s="374">
        <f>VLOOKUP($F$1,Part3,131,FALSE)</f>
        <v>562047.03999999992</v>
      </c>
      <c r="W119" s="375"/>
      <c r="X119" s="254"/>
      <c r="Y119" s="48"/>
      <c r="AA119" s="262"/>
    </row>
    <row r="120" spans="1:27" ht="15" x14ac:dyDescent="0.2">
      <c r="A120" s="217"/>
      <c r="B120" s="253"/>
      <c r="C120" s="71"/>
      <c r="D120" s="71"/>
      <c r="E120" s="71"/>
      <c r="F120" s="71"/>
      <c r="G120" s="71"/>
      <c r="H120" s="8"/>
      <c r="I120" s="8"/>
      <c r="J120" s="8"/>
      <c r="K120" s="8"/>
      <c r="L120" s="8"/>
      <c r="M120" s="8"/>
      <c r="N120" s="8"/>
      <c r="O120" s="8"/>
      <c r="P120" s="8"/>
      <c r="Q120" s="8"/>
      <c r="R120" s="8"/>
      <c r="S120" s="8"/>
      <c r="T120" s="8"/>
      <c r="U120" s="8"/>
      <c r="V120" s="8"/>
      <c r="W120" s="8"/>
      <c r="X120" s="254"/>
      <c r="Y120" s="48"/>
      <c r="AA120" s="262"/>
    </row>
    <row r="121" spans="1:27" ht="16.5" thickBot="1" x14ac:dyDescent="0.25">
      <c r="A121" s="217"/>
      <c r="B121" s="253"/>
      <c r="C121" s="70" t="s">
        <v>910</v>
      </c>
      <c r="D121" s="71"/>
      <c r="E121" s="71"/>
      <c r="F121" s="71"/>
      <c r="G121" s="71"/>
      <c r="H121" s="8"/>
      <c r="I121" s="8"/>
      <c r="J121" s="59"/>
      <c r="K121" s="59"/>
      <c r="L121" s="59"/>
      <c r="M121" s="59"/>
      <c r="N121" s="59"/>
      <c r="O121" s="59"/>
      <c r="P121" s="59"/>
      <c r="Q121" s="59"/>
      <c r="R121" s="59"/>
      <c r="S121" s="59"/>
      <c r="T121" s="59"/>
      <c r="U121" s="59"/>
      <c r="V121" s="59"/>
      <c r="W121" s="59"/>
      <c r="X121" s="254"/>
      <c r="Y121" s="48"/>
      <c r="AA121" s="262"/>
    </row>
    <row r="122" spans="1:27" ht="16.5" thickBot="1" x14ac:dyDescent="0.25">
      <c r="A122" s="217"/>
      <c r="B122" s="253"/>
      <c r="C122" s="71" t="s">
        <v>911</v>
      </c>
      <c r="D122" s="71"/>
      <c r="E122" s="71"/>
      <c r="F122" s="71"/>
      <c r="G122" s="71"/>
      <c r="H122" s="8"/>
      <c r="I122" s="8"/>
      <c r="J122" s="374">
        <f>VLOOKUP($F$1,Part3,132,FALSE)</f>
        <v>3199358.74</v>
      </c>
      <c r="K122" s="375"/>
      <c r="L122" s="59"/>
      <c r="M122" s="59"/>
      <c r="N122" s="374">
        <f>VLOOKUP($F$1,Part3,133,FALSE)</f>
        <v>0</v>
      </c>
      <c r="O122" s="375"/>
      <c r="P122" s="59"/>
      <c r="Q122" s="59"/>
      <c r="R122" s="374">
        <f>VLOOKUP($F$1,Part3,134,FALSE)</f>
        <v>0</v>
      </c>
      <c r="S122" s="375"/>
      <c r="T122" s="59"/>
      <c r="U122" s="59"/>
      <c r="V122" s="374">
        <f>VLOOKUP($F$1,Part3,135,FALSE)</f>
        <v>3199358.74</v>
      </c>
      <c r="W122" s="375"/>
      <c r="X122" s="254"/>
      <c r="Y122" s="48"/>
      <c r="AA122" s="262"/>
    </row>
    <row r="123" spans="1:27" ht="15.75" thickBot="1" x14ac:dyDescent="0.25">
      <c r="A123" s="217"/>
      <c r="B123" s="255"/>
      <c r="C123" s="256"/>
      <c r="D123" s="256"/>
      <c r="E123" s="256"/>
      <c r="F123" s="256"/>
      <c r="G123" s="256"/>
      <c r="H123" s="257"/>
      <c r="I123" s="257"/>
      <c r="J123" s="257"/>
      <c r="K123" s="257"/>
      <c r="L123" s="257"/>
      <c r="M123" s="257"/>
      <c r="N123" s="257"/>
      <c r="O123" s="257"/>
      <c r="P123" s="257"/>
      <c r="Q123" s="257"/>
      <c r="R123" s="257"/>
      <c r="S123" s="257"/>
      <c r="T123" s="257"/>
      <c r="U123" s="257"/>
      <c r="V123" s="257"/>
      <c r="W123" s="257"/>
      <c r="X123" s="258"/>
      <c r="Y123" s="48"/>
      <c r="AA123" s="262"/>
    </row>
    <row r="124" spans="1:27" ht="15.75" x14ac:dyDescent="0.2">
      <c r="A124" s="217"/>
      <c r="B124" s="218"/>
      <c r="C124" s="70"/>
      <c r="D124" s="71"/>
      <c r="E124" s="71"/>
      <c r="F124" s="71"/>
      <c r="G124" s="71"/>
      <c r="H124" s="8"/>
      <c r="I124" s="8"/>
      <c r="J124" s="59"/>
      <c r="K124" s="59"/>
      <c r="L124" s="59"/>
      <c r="M124" s="59"/>
      <c r="N124" s="59"/>
      <c r="O124" s="59"/>
      <c r="P124" s="59"/>
      <c r="Q124" s="59"/>
      <c r="R124" s="59"/>
      <c r="S124" s="59"/>
      <c r="T124" s="59"/>
      <c r="U124" s="59"/>
      <c r="V124" s="59"/>
      <c r="W124" s="59"/>
      <c r="X124" s="2"/>
      <c r="Y124" s="48"/>
      <c r="AA124" s="262"/>
    </row>
    <row r="125" spans="1:27" ht="16.5" thickBot="1" x14ac:dyDescent="0.25">
      <c r="A125" s="217"/>
      <c r="B125" s="218"/>
      <c r="C125" s="70" t="s">
        <v>912</v>
      </c>
      <c r="D125" s="71"/>
      <c r="E125" s="71"/>
      <c r="F125" s="71"/>
      <c r="G125" s="71"/>
      <c r="H125" s="8"/>
      <c r="I125" s="8"/>
      <c r="J125" s="59"/>
      <c r="K125" s="59"/>
      <c r="L125" s="59"/>
      <c r="M125" s="59"/>
      <c r="N125" s="59"/>
      <c r="O125" s="59"/>
      <c r="P125" s="59"/>
      <c r="Q125" s="59"/>
      <c r="R125" s="59"/>
      <c r="S125" s="59"/>
      <c r="T125" s="59"/>
      <c r="U125" s="59"/>
      <c r="V125" s="59"/>
      <c r="W125" s="59"/>
      <c r="X125" s="2"/>
      <c r="Y125" s="48"/>
      <c r="AA125" s="262"/>
    </row>
    <row r="126" spans="1:27" ht="16.5" thickBot="1" x14ac:dyDescent="0.25">
      <c r="A126" s="217"/>
      <c r="B126" s="218"/>
      <c r="C126" s="71" t="s">
        <v>913</v>
      </c>
      <c r="D126" s="71"/>
      <c r="E126" s="71"/>
      <c r="F126" s="71"/>
      <c r="G126" s="71"/>
      <c r="H126" s="8"/>
      <c r="I126" s="8"/>
      <c r="J126" s="374">
        <f>VLOOKUP($F$1,Part3,136,FALSE)</f>
        <v>2999199.7700000005</v>
      </c>
      <c r="K126" s="375"/>
      <c r="L126" s="59"/>
      <c r="M126" s="59"/>
      <c r="N126" s="374">
        <f>VLOOKUP($F$1,Part3,137,FALSE)</f>
        <v>0</v>
      </c>
      <c r="O126" s="375"/>
      <c r="P126" s="59"/>
      <c r="Q126" s="59"/>
      <c r="R126" s="374">
        <f>VLOOKUP($F$1,Part3,138,FALSE)</f>
        <v>0</v>
      </c>
      <c r="S126" s="375"/>
      <c r="T126" s="59"/>
      <c r="U126" s="59"/>
      <c r="V126" s="374">
        <f>VLOOKUP($F$1,Part3,139,FALSE)</f>
        <v>2999199.7700000005</v>
      </c>
      <c r="W126" s="375"/>
      <c r="X126" s="2"/>
      <c r="Y126" s="48"/>
      <c r="AA126" s="262"/>
    </row>
    <row r="127" spans="1:27" ht="15.75" thickBot="1" x14ac:dyDescent="0.25">
      <c r="A127" s="217"/>
      <c r="B127" s="218"/>
      <c r="C127" s="71"/>
      <c r="D127" s="71"/>
      <c r="E127" s="71"/>
      <c r="F127" s="71"/>
      <c r="G127" s="71"/>
      <c r="H127" s="8"/>
      <c r="I127" s="8"/>
      <c r="J127" s="8"/>
      <c r="K127" s="8"/>
      <c r="L127" s="8"/>
      <c r="M127" s="8"/>
      <c r="N127" s="8"/>
      <c r="O127" s="8"/>
      <c r="P127" s="8"/>
      <c r="Q127" s="8"/>
      <c r="R127" s="8"/>
      <c r="S127" s="8"/>
      <c r="T127" s="8"/>
      <c r="U127" s="8"/>
      <c r="V127" s="8"/>
      <c r="W127" s="8"/>
      <c r="X127" s="8"/>
      <c r="Y127" s="48"/>
      <c r="AA127" s="262"/>
    </row>
    <row r="128" spans="1:27" ht="16.5" thickBot="1" x14ac:dyDescent="0.25">
      <c r="A128" s="217"/>
      <c r="B128" s="218"/>
      <c r="C128" s="360" t="s">
        <v>914</v>
      </c>
      <c r="D128" s="360"/>
      <c r="E128" s="360"/>
      <c r="F128" s="360"/>
      <c r="G128" s="360"/>
      <c r="H128" s="8"/>
      <c r="I128" s="8"/>
      <c r="J128" s="374">
        <f>VLOOKUP($F$1,Part3,140,FALSE)</f>
        <v>359277.30999999994</v>
      </c>
      <c r="K128" s="375"/>
      <c r="L128" s="59"/>
      <c r="M128" s="59"/>
      <c r="N128" s="374">
        <f>VLOOKUP($F$1,Part3,141,FALSE)</f>
        <v>0</v>
      </c>
      <c r="O128" s="375"/>
      <c r="P128" s="59"/>
      <c r="Q128" s="59"/>
      <c r="R128" s="374">
        <f>VLOOKUP($F$1,Part3,142,FALSE)</f>
        <v>0</v>
      </c>
      <c r="S128" s="375"/>
      <c r="T128" s="59"/>
      <c r="U128" s="59"/>
      <c r="V128" s="374">
        <f>VLOOKUP($F$1,Part3,143,FALSE)</f>
        <v>359277.30999999994</v>
      </c>
      <c r="W128" s="375"/>
      <c r="X128" s="2"/>
      <c r="Y128" s="48"/>
      <c r="AA128" s="262"/>
    </row>
    <row r="129" spans="1:27" ht="15.75" x14ac:dyDescent="0.2">
      <c r="A129" s="217"/>
      <c r="B129" s="218"/>
      <c r="C129" s="373"/>
      <c r="D129" s="373"/>
      <c r="E129" s="373"/>
      <c r="F129" s="373"/>
      <c r="G129" s="373"/>
      <c r="H129" s="8"/>
      <c r="I129" s="8"/>
      <c r="J129" s="73"/>
      <c r="K129" s="59"/>
      <c r="L129" s="59"/>
      <c r="M129" s="59"/>
      <c r="N129" s="73"/>
      <c r="O129" s="59"/>
      <c r="P129" s="59"/>
      <c r="Q129" s="59"/>
      <c r="R129" s="73"/>
      <c r="S129" s="59"/>
      <c r="T129" s="59"/>
      <c r="U129" s="59"/>
      <c r="V129" s="73"/>
      <c r="W129" s="59"/>
      <c r="X129" s="2"/>
      <c r="Y129" s="48"/>
    </row>
    <row r="130" spans="1:27" x14ac:dyDescent="0.2">
      <c r="A130" s="21"/>
      <c r="B130" s="2"/>
      <c r="C130" s="2"/>
      <c r="D130" s="2"/>
      <c r="E130" s="2"/>
      <c r="F130" s="2"/>
      <c r="G130" s="2"/>
      <c r="H130" s="2"/>
      <c r="I130" s="2"/>
      <c r="J130" s="2"/>
      <c r="K130" s="2"/>
      <c r="L130" s="2"/>
      <c r="M130" s="2"/>
      <c r="N130" s="2"/>
      <c r="O130" s="2"/>
      <c r="P130" s="2"/>
      <c r="Q130" s="2"/>
      <c r="R130" s="2"/>
      <c r="S130" s="2"/>
      <c r="T130" s="2"/>
      <c r="U130" s="2"/>
      <c r="V130" s="2"/>
      <c r="W130" s="2"/>
      <c r="X130" s="2"/>
      <c r="Y130" s="48"/>
      <c r="AA130" s="263"/>
    </row>
    <row r="131" spans="1:27" s="259" customFormat="1" ht="15" x14ac:dyDescent="0.2">
      <c r="A131" s="21"/>
      <c r="B131" s="2"/>
      <c r="C131" s="71"/>
      <c r="D131" s="71"/>
      <c r="E131" s="71"/>
      <c r="F131" s="71"/>
      <c r="G131" s="71"/>
      <c r="H131" s="2"/>
      <c r="I131" s="2"/>
      <c r="J131" s="2"/>
      <c r="K131" s="2"/>
      <c r="L131" s="2"/>
      <c r="M131" s="2"/>
      <c r="N131" s="2"/>
      <c r="O131" s="2"/>
      <c r="P131" s="2"/>
      <c r="Q131" s="2"/>
      <c r="R131" s="2"/>
      <c r="S131" s="2"/>
      <c r="T131" s="2"/>
      <c r="U131" s="2"/>
      <c r="V131" s="2"/>
      <c r="W131" s="2"/>
      <c r="X131" s="2"/>
      <c r="Y131" s="48"/>
      <c r="AA131" s="263"/>
    </row>
    <row r="132" spans="1:27" s="259" customFormat="1" ht="15" x14ac:dyDescent="0.2">
      <c r="A132" s="21"/>
      <c r="B132" s="2"/>
      <c r="C132" s="71"/>
      <c r="D132" s="71"/>
      <c r="E132" s="71"/>
      <c r="F132" s="71"/>
      <c r="G132" s="71"/>
      <c r="H132" s="2"/>
      <c r="I132" s="2"/>
      <c r="J132" s="2"/>
      <c r="K132" s="2"/>
      <c r="L132" s="2"/>
      <c r="M132" s="2"/>
      <c r="N132" s="2"/>
      <c r="O132" s="2"/>
      <c r="P132" s="2"/>
      <c r="Q132" s="2"/>
      <c r="R132" s="2"/>
      <c r="S132" s="2"/>
      <c r="T132" s="2"/>
      <c r="U132" s="2"/>
      <c r="V132" s="2"/>
      <c r="W132" s="2"/>
      <c r="X132" s="2"/>
      <c r="Y132" s="48"/>
      <c r="AA132" s="263"/>
    </row>
    <row r="133" spans="1:27" s="259" customFormat="1" ht="16.5" thickBot="1" x14ac:dyDescent="0.25">
      <c r="A133" s="21"/>
      <c r="B133" s="2"/>
      <c r="C133" s="71"/>
      <c r="D133" s="71"/>
      <c r="E133" s="71"/>
      <c r="F133" s="71"/>
      <c r="G133" s="71"/>
      <c r="H133" s="2"/>
      <c r="I133" s="150"/>
      <c r="J133" s="268"/>
      <c r="K133" s="165"/>
      <c r="L133" s="165"/>
      <c r="M133" s="165"/>
      <c r="N133" s="268"/>
      <c r="O133" s="165"/>
      <c r="P133" s="165"/>
      <c r="Q133" s="165"/>
      <c r="R133" s="268"/>
      <c r="S133" s="165"/>
      <c r="T133" s="165"/>
      <c r="U133" s="165"/>
      <c r="V133" s="268"/>
      <c r="W133" s="165"/>
      <c r="X133" s="23"/>
      <c r="Y133" s="49"/>
    </row>
    <row r="134" spans="1:27" s="259" customFormat="1" ht="13.15" hidden="1" customHeight="1" x14ac:dyDescent="0.2">
      <c r="A134" s="169"/>
      <c r="C134" s="160"/>
      <c r="D134" s="160"/>
      <c r="E134" s="160"/>
      <c r="F134" s="160"/>
      <c r="G134" s="160"/>
      <c r="H134" s="8"/>
      <c r="I134" s="8"/>
      <c r="J134" s="73"/>
      <c r="K134" s="59"/>
      <c r="L134" s="59"/>
      <c r="M134" s="59"/>
      <c r="N134" s="73"/>
      <c r="O134" s="59"/>
      <c r="P134" s="59"/>
      <c r="Q134" s="59"/>
      <c r="R134" s="73"/>
      <c r="S134" s="59"/>
      <c r="T134" s="59"/>
      <c r="U134" s="59"/>
      <c r="V134" s="73"/>
      <c r="W134" s="59"/>
      <c r="X134" s="2"/>
      <c r="Y134" s="2"/>
    </row>
    <row r="135" spans="1:27" s="259" customFormat="1" ht="15.75" x14ac:dyDescent="0.2">
      <c r="A135" s="169"/>
      <c r="C135" s="70"/>
      <c r="D135" s="71"/>
      <c r="E135" s="71"/>
      <c r="F135" s="71"/>
      <c r="G135" s="71"/>
      <c r="H135" s="8"/>
      <c r="I135" s="8"/>
      <c r="J135" s="59"/>
      <c r="K135" s="59"/>
      <c r="L135" s="59"/>
      <c r="M135" s="59"/>
      <c r="N135" s="59"/>
      <c r="O135" s="59"/>
      <c r="P135" s="59"/>
      <c r="Q135" s="59"/>
      <c r="R135" s="59"/>
      <c r="S135" s="59"/>
      <c r="T135" s="59"/>
      <c r="U135" s="59"/>
      <c r="V135" s="59"/>
      <c r="W135" s="59"/>
      <c r="X135" s="2"/>
      <c r="Y135" s="2"/>
    </row>
    <row r="136" spans="1:27" s="259" customFormat="1" ht="15.75" x14ac:dyDescent="0.2">
      <c r="A136" s="169"/>
      <c r="C136" s="71"/>
      <c r="D136" s="71"/>
      <c r="E136" s="71"/>
      <c r="F136" s="71"/>
      <c r="G136" s="71"/>
      <c r="H136" s="8"/>
      <c r="I136" s="8"/>
      <c r="J136" s="401"/>
      <c r="K136" s="401"/>
      <c r="L136" s="59"/>
      <c r="M136" s="59"/>
      <c r="N136" s="401"/>
      <c r="O136" s="401"/>
      <c r="P136" s="59"/>
      <c r="Q136" s="59"/>
      <c r="R136" s="401"/>
      <c r="S136" s="401"/>
      <c r="T136" s="59"/>
      <c r="U136" s="59"/>
      <c r="V136" s="402"/>
      <c r="W136" s="403"/>
      <c r="X136" s="2"/>
      <c r="Y136" s="2"/>
    </row>
    <row r="137" spans="1:27" s="259" customFormat="1" ht="15" x14ac:dyDescent="0.2">
      <c r="A137" s="169"/>
      <c r="C137" s="71"/>
      <c r="D137" s="71"/>
      <c r="E137" s="71"/>
      <c r="F137" s="71"/>
      <c r="G137" s="71"/>
      <c r="H137" s="8"/>
      <c r="I137" s="8"/>
      <c r="J137" s="8"/>
      <c r="K137" s="8"/>
      <c r="L137" s="8"/>
      <c r="M137" s="8"/>
      <c r="N137" s="8"/>
      <c r="O137" s="8"/>
      <c r="P137" s="8"/>
      <c r="Q137" s="8"/>
      <c r="R137" s="8"/>
      <c r="S137" s="8"/>
      <c r="T137" s="8"/>
      <c r="U137" s="8"/>
      <c r="V137" s="8"/>
      <c r="W137" s="8"/>
      <c r="X137" s="2"/>
      <c r="Y137" s="2"/>
    </row>
    <row r="138" spans="1:27" s="259" customFormat="1" ht="15.75" x14ac:dyDescent="0.2">
      <c r="A138" s="169"/>
      <c r="C138" s="360"/>
      <c r="D138" s="360"/>
      <c r="E138" s="360"/>
      <c r="F138" s="360"/>
      <c r="G138" s="360"/>
      <c r="H138" s="8"/>
      <c r="I138" s="8"/>
      <c r="J138" s="401"/>
      <c r="K138" s="401"/>
      <c r="L138" s="59"/>
      <c r="M138" s="59"/>
      <c r="N138" s="401"/>
      <c r="O138" s="401"/>
      <c r="P138" s="59"/>
      <c r="Q138" s="59"/>
      <c r="R138" s="401"/>
      <c r="S138" s="401"/>
      <c r="T138" s="59"/>
      <c r="U138" s="59"/>
      <c r="V138" s="402"/>
      <c r="W138" s="403"/>
      <c r="X138" s="2"/>
      <c r="Y138" s="2"/>
    </row>
    <row r="139" spans="1:27" s="259" customFormat="1" ht="15" customHeight="1" x14ac:dyDescent="0.2">
      <c r="A139" s="169"/>
      <c r="C139" s="373"/>
      <c r="D139" s="373"/>
      <c r="E139" s="373"/>
      <c r="F139" s="373"/>
      <c r="G139" s="373"/>
      <c r="H139" s="8"/>
      <c r="I139" s="8"/>
      <c r="J139" s="73"/>
      <c r="K139" s="59"/>
      <c r="L139" s="59"/>
      <c r="M139" s="59"/>
      <c r="N139" s="73"/>
      <c r="O139" s="59"/>
      <c r="P139" s="59"/>
      <c r="Q139" s="59"/>
      <c r="R139" s="73"/>
      <c r="S139" s="59"/>
      <c r="T139" s="59"/>
      <c r="U139" s="59"/>
      <c r="V139" s="73"/>
      <c r="W139" s="59"/>
      <c r="X139" s="2"/>
      <c r="Y139" s="2"/>
    </row>
    <row r="140" spans="1:27" s="259" customFormat="1" ht="15" x14ac:dyDescent="0.2">
      <c r="A140" s="169"/>
      <c r="C140" s="71"/>
      <c r="D140" s="71"/>
      <c r="E140" s="71"/>
      <c r="F140" s="71"/>
      <c r="G140" s="71"/>
      <c r="H140" s="8"/>
      <c r="I140" s="8"/>
      <c r="J140" s="8"/>
      <c r="K140" s="8"/>
      <c r="L140" s="8"/>
      <c r="M140" s="8"/>
      <c r="N140" s="8"/>
      <c r="O140" s="8"/>
      <c r="P140" s="8"/>
      <c r="Q140" s="8"/>
      <c r="R140" s="8"/>
      <c r="S140" s="8"/>
      <c r="T140" s="8"/>
      <c r="U140" s="8"/>
      <c r="V140" s="8"/>
      <c r="W140" s="8"/>
      <c r="X140" s="2"/>
      <c r="Y140" s="2"/>
    </row>
    <row r="141" spans="1:27" s="259" customFormat="1" ht="16.5" customHeight="1" x14ac:dyDescent="0.2">
      <c r="C141" s="70"/>
      <c r="D141" s="71"/>
      <c r="E141" s="71"/>
      <c r="F141" s="71"/>
      <c r="G141" s="71"/>
      <c r="H141" s="8"/>
      <c r="I141" s="8"/>
      <c r="J141" s="59"/>
      <c r="K141" s="59"/>
      <c r="L141" s="59"/>
      <c r="M141" s="59"/>
      <c r="N141" s="59"/>
      <c r="O141" s="59"/>
      <c r="P141" s="59"/>
      <c r="Q141" s="59"/>
      <c r="R141" s="59"/>
      <c r="S141" s="59"/>
      <c r="T141" s="59"/>
      <c r="U141" s="59"/>
      <c r="V141" s="59"/>
      <c r="W141" s="59"/>
      <c r="X141" s="2"/>
      <c r="Y141" s="2"/>
    </row>
    <row r="142" spans="1:27" s="259" customFormat="1" ht="15" customHeight="1" x14ac:dyDescent="0.2">
      <c r="C142" s="71"/>
      <c r="D142" s="71"/>
      <c r="E142" s="71"/>
      <c r="F142" s="71"/>
      <c r="G142" s="71"/>
      <c r="H142" s="8"/>
      <c r="I142" s="8"/>
      <c r="J142" s="401"/>
      <c r="K142" s="401"/>
      <c r="L142" s="59"/>
      <c r="M142" s="59"/>
      <c r="N142" s="401"/>
      <c r="O142" s="401"/>
      <c r="P142" s="59"/>
      <c r="Q142" s="59"/>
      <c r="R142" s="401"/>
      <c r="S142" s="401"/>
      <c r="T142" s="59"/>
      <c r="U142" s="59"/>
      <c r="V142" s="402"/>
      <c r="W142" s="403"/>
      <c r="X142" s="2"/>
      <c r="Y142" s="2"/>
    </row>
    <row r="143" spans="1:27" s="259" customFormat="1" ht="15" x14ac:dyDescent="0.2">
      <c r="C143" s="71"/>
      <c r="D143" s="71"/>
      <c r="E143" s="71"/>
      <c r="F143" s="71"/>
      <c r="G143" s="71"/>
      <c r="H143" s="8"/>
      <c r="I143" s="8"/>
      <c r="J143" s="8"/>
      <c r="K143" s="8"/>
      <c r="L143" s="8"/>
      <c r="M143" s="8"/>
      <c r="N143" s="8"/>
      <c r="O143" s="8"/>
      <c r="P143" s="8"/>
      <c r="Q143" s="8"/>
      <c r="R143" s="8"/>
      <c r="S143" s="8"/>
      <c r="T143" s="8"/>
      <c r="U143" s="8"/>
      <c r="V143" s="8"/>
      <c r="W143" s="8"/>
      <c r="X143" s="8"/>
      <c r="Y143" s="2"/>
    </row>
    <row r="144" spans="1:27" s="259" customFormat="1" ht="15.75" x14ac:dyDescent="0.2">
      <c r="C144" s="360"/>
      <c r="D144" s="360"/>
      <c r="E144" s="360"/>
      <c r="F144" s="360"/>
      <c r="G144" s="360"/>
      <c r="H144" s="8"/>
      <c r="I144" s="8"/>
      <c r="J144" s="401"/>
      <c r="K144" s="401"/>
      <c r="L144" s="59"/>
      <c r="M144" s="59"/>
      <c r="N144" s="401"/>
      <c r="O144" s="401"/>
      <c r="P144" s="59"/>
      <c r="Q144" s="59"/>
      <c r="R144" s="401"/>
      <c r="S144" s="401"/>
      <c r="T144" s="59"/>
      <c r="U144" s="59"/>
      <c r="V144" s="402"/>
      <c r="W144" s="403"/>
      <c r="X144" s="2"/>
      <c r="Y144" s="2"/>
    </row>
    <row r="145" spans="3:25" s="259" customFormat="1" ht="15.75" x14ac:dyDescent="0.2">
      <c r="C145" s="373"/>
      <c r="D145" s="373"/>
      <c r="E145" s="373"/>
      <c r="F145" s="373"/>
      <c r="G145" s="373"/>
      <c r="H145" s="8"/>
      <c r="I145" s="8"/>
      <c r="J145" s="73"/>
      <c r="K145" s="59"/>
      <c r="L145" s="59"/>
      <c r="M145" s="59"/>
      <c r="N145" s="73"/>
      <c r="O145" s="59"/>
      <c r="P145" s="59"/>
      <c r="Q145" s="59"/>
      <c r="R145" s="73"/>
      <c r="S145" s="59"/>
      <c r="T145" s="59"/>
      <c r="U145" s="59"/>
      <c r="V145" s="73"/>
      <c r="W145" s="59"/>
      <c r="X145" s="2"/>
      <c r="Y145" s="2"/>
    </row>
    <row r="146" spans="3:25" s="259" customFormat="1" ht="15.75" x14ac:dyDescent="0.2">
      <c r="C146" s="229"/>
      <c r="D146" s="229"/>
      <c r="E146" s="229"/>
      <c r="F146" s="229"/>
      <c r="G146" s="229"/>
      <c r="H146" s="172"/>
      <c r="I146" s="172"/>
      <c r="J146" s="230"/>
      <c r="K146" s="231"/>
      <c r="L146" s="231"/>
      <c r="M146" s="231"/>
      <c r="N146" s="230"/>
      <c r="O146" s="231"/>
      <c r="P146" s="231"/>
      <c r="Q146" s="231"/>
      <c r="R146" s="230"/>
      <c r="S146" s="231"/>
      <c r="T146" s="231"/>
      <c r="U146" s="231"/>
      <c r="V146" s="230"/>
      <c r="W146" s="231"/>
      <c r="X146" s="232"/>
      <c r="Y146" s="232"/>
    </row>
    <row r="147" spans="3:25" s="259" customFormat="1" ht="15.75" x14ac:dyDescent="0.2">
      <c r="C147" s="229"/>
      <c r="D147" s="229"/>
      <c r="E147" s="229"/>
      <c r="F147" s="229"/>
      <c r="G147" s="229"/>
      <c r="H147" s="172"/>
      <c r="I147" s="172"/>
      <c r="J147" s="230"/>
      <c r="K147" s="231"/>
      <c r="L147" s="231"/>
      <c r="M147" s="231"/>
      <c r="N147" s="230"/>
      <c r="O147" s="231"/>
      <c r="P147" s="231"/>
      <c r="Q147" s="231"/>
      <c r="R147" s="230"/>
      <c r="S147" s="231"/>
      <c r="T147" s="231"/>
      <c r="U147" s="231"/>
      <c r="V147" s="230"/>
      <c r="W147" s="231"/>
      <c r="X147" s="232"/>
      <c r="Y147" s="232"/>
    </row>
    <row r="148" spans="3:25" s="259" customFormat="1" ht="15.75" customHeight="1" x14ac:dyDescent="0.2">
      <c r="C148" s="229"/>
      <c r="D148" s="229"/>
      <c r="E148" s="229"/>
      <c r="F148" s="229"/>
      <c r="G148" s="229"/>
      <c r="H148" s="172"/>
      <c r="I148" s="172"/>
      <c r="J148" s="230"/>
      <c r="K148" s="231"/>
      <c r="L148" s="231"/>
      <c r="M148" s="231"/>
      <c r="N148" s="230"/>
      <c r="O148" s="231"/>
      <c r="P148" s="231"/>
      <c r="Q148" s="231"/>
      <c r="R148" s="230"/>
      <c r="S148" s="231"/>
      <c r="T148" s="231"/>
      <c r="U148" s="231"/>
      <c r="V148" s="230"/>
      <c r="W148" s="231"/>
      <c r="X148" s="232"/>
      <c r="Y148" s="232"/>
    </row>
    <row r="149" spans="3:25" s="259" customFormat="1" ht="15.75" customHeight="1" x14ac:dyDescent="0.2">
      <c r="C149" s="234"/>
      <c r="D149" s="234"/>
      <c r="E149" s="234"/>
      <c r="F149" s="234"/>
      <c r="G149" s="234"/>
      <c r="H149" s="172"/>
      <c r="I149" s="172"/>
      <c r="J149" s="172"/>
      <c r="K149" s="172"/>
      <c r="L149" s="172"/>
      <c r="M149" s="172"/>
      <c r="N149" s="172"/>
      <c r="O149" s="172"/>
      <c r="P149" s="172"/>
      <c r="Q149" s="172"/>
      <c r="R149" s="172"/>
      <c r="S149" s="172"/>
      <c r="T149" s="172"/>
      <c r="U149" s="172"/>
      <c r="V149" s="172"/>
      <c r="W149" s="172"/>
      <c r="X149" s="232"/>
      <c r="Y149" s="232"/>
    </row>
    <row r="150" spans="3:25" s="259" customFormat="1" ht="15.75" x14ac:dyDescent="0.2">
      <c r="C150" s="70"/>
      <c r="D150" s="71"/>
      <c r="E150" s="71"/>
      <c r="F150" s="71"/>
      <c r="G150" s="71"/>
      <c r="H150" s="8"/>
      <c r="I150" s="8"/>
      <c r="J150" s="236"/>
      <c r="K150" s="236"/>
      <c r="L150" s="236"/>
      <c r="M150" s="236"/>
      <c r="N150" s="236"/>
      <c r="O150" s="236"/>
      <c r="P150" s="236"/>
      <c r="Q150" s="236"/>
      <c r="R150" s="236"/>
      <c r="S150" s="236"/>
      <c r="T150" s="59"/>
      <c r="U150" s="59"/>
      <c r="V150" s="59"/>
      <c r="W150" s="59"/>
      <c r="X150" s="2"/>
      <c r="Y150" s="2"/>
    </row>
    <row r="151" spans="3:25" s="259" customFormat="1" ht="15.75" x14ac:dyDescent="0.2">
      <c r="C151" s="71"/>
      <c r="D151" s="71"/>
      <c r="E151" s="71"/>
      <c r="F151" s="71"/>
      <c r="G151" s="71"/>
      <c r="H151" s="8"/>
      <c r="I151" s="8"/>
      <c r="J151" s="401"/>
      <c r="K151" s="401"/>
      <c r="L151" s="59"/>
      <c r="M151" s="59"/>
      <c r="N151" s="401"/>
      <c r="O151" s="401"/>
      <c r="P151" s="59"/>
      <c r="Q151" s="59"/>
      <c r="R151" s="401"/>
      <c r="S151" s="401"/>
      <c r="T151" s="59"/>
      <c r="U151" s="59"/>
      <c r="V151" s="402"/>
      <c r="W151" s="403"/>
      <c r="X151" s="2"/>
      <c r="Y151" s="2"/>
    </row>
    <row r="152" spans="3:25" s="259" customFormat="1" ht="15" x14ac:dyDescent="0.2">
      <c r="C152" s="71"/>
      <c r="D152" s="71"/>
      <c r="E152" s="71"/>
      <c r="F152" s="71"/>
      <c r="G152" s="71"/>
      <c r="H152" s="8"/>
      <c r="I152" s="8"/>
      <c r="J152" s="8"/>
      <c r="K152" s="8"/>
      <c r="L152" s="8"/>
      <c r="M152" s="8"/>
      <c r="N152" s="8"/>
      <c r="O152" s="8"/>
      <c r="P152" s="8"/>
      <c r="Q152" s="8"/>
      <c r="R152" s="8"/>
      <c r="S152" s="8"/>
      <c r="T152" s="8"/>
      <c r="U152" s="8"/>
      <c r="V152" s="8"/>
      <c r="W152" s="8"/>
      <c r="X152" s="2"/>
      <c r="Y152" s="2"/>
    </row>
    <row r="153" spans="3:25" s="259" customFormat="1" ht="15.75" x14ac:dyDescent="0.2">
      <c r="C153" s="360"/>
      <c r="D153" s="360"/>
      <c r="E153" s="360"/>
      <c r="F153" s="360"/>
      <c r="G153" s="360"/>
      <c r="H153" s="8"/>
      <c r="I153" s="8"/>
      <c r="J153" s="401"/>
      <c r="K153" s="401"/>
      <c r="L153" s="59"/>
      <c r="M153" s="59"/>
      <c r="N153" s="401"/>
      <c r="O153" s="401"/>
      <c r="P153" s="59"/>
      <c r="Q153" s="59"/>
      <c r="R153" s="401"/>
      <c r="S153" s="401"/>
      <c r="T153" s="59"/>
      <c r="U153" s="59"/>
      <c r="V153" s="402"/>
      <c r="W153" s="403"/>
      <c r="X153" s="2"/>
      <c r="Y153" s="2"/>
    </row>
    <row r="154" spans="3:25" s="259" customFormat="1" ht="15.75" x14ac:dyDescent="0.2">
      <c r="C154" s="373"/>
      <c r="D154" s="373"/>
      <c r="E154" s="373"/>
      <c r="F154" s="373"/>
      <c r="G154" s="373"/>
      <c r="H154" s="8"/>
      <c r="I154" s="8"/>
      <c r="J154" s="73"/>
      <c r="K154" s="59"/>
      <c r="L154" s="59"/>
      <c r="M154" s="59"/>
      <c r="N154" s="73"/>
      <c r="O154" s="59"/>
      <c r="P154" s="59"/>
      <c r="Q154" s="59"/>
      <c r="R154" s="73"/>
      <c r="S154" s="59"/>
      <c r="T154" s="59"/>
      <c r="U154" s="59"/>
      <c r="V154" s="73"/>
      <c r="W154" s="59"/>
      <c r="X154" s="2"/>
      <c r="Y154" s="2"/>
    </row>
    <row r="155" spans="3:25" s="259" customFormat="1" ht="15" x14ac:dyDescent="0.2">
      <c r="C155" s="71"/>
      <c r="D155" s="71"/>
      <c r="E155" s="71"/>
      <c r="F155" s="71"/>
      <c r="G155" s="71"/>
      <c r="H155" s="8"/>
      <c r="I155" s="8"/>
      <c r="J155" s="236"/>
      <c r="K155" s="236"/>
      <c r="L155" s="236"/>
      <c r="M155" s="236"/>
      <c r="N155" s="236"/>
      <c r="O155" s="236"/>
      <c r="P155" s="236"/>
      <c r="Q155" s="236"/>
      <c r="R155" s="236"/>
      <c r="S155" s="236"/>
      <c r="T155" s="59"/>
      <c r="U155" s="59"/>
      <c r="V155" s="59"/>
      <c r="W155" s="59"/>
      <c r="X155" s="2"/>
      <c r="Y155" s="2"/>
    </row>
    <row r="156" spans="3:25" s="259" customFormat="1" ht="15.75" x14ac:dyDescent="0.2">
      <c r="C156" s="70"/>
      <c r="D156" s="71"/>
      <c r="E156" s="71"/>
      <c r="F156" s="71"/>
      <c r="G156" s="71"/>
      <c r="H156" s="8"/>
      <c r="I156" s="8"/>
      <c r="J156" s="236"/>
      <c r="K156" s="236"/>
      <c r="L156" s="236"/>
      <c r="M156" s="236"/>
      <c r="N156" s="236"/>
      <c r="O156" s="236"/>
      <c r="P156" s="236"/>
      <c r="Q156" s="236"/>
      <c r="R156" s="236"/>
      <c r="S156" s="236"/>
      <c r="T156" s="59"/>
      <c r="U156" s="59"/>
      <c r="V156" s="59"/>
      <c r="W156" s="59"/>
      <c r="X156" s="2"/>
      <c r="Y156" s="2"/>
    </row>
    <row r="157" spans="3:25" s="259" customFormat="1" ht="15.75" x14ac:dyDescent="0.2">
      <c r="C157" s="71"/>
      <c r="D157" s="71"/>
      <c r="E157" s="71"/>
      <c r="F157" s="71"/>
      <c r="G157" s="71"/>
      <c r="H157" s="8"/>
      <c r="I157" s="8"/>
      <c r="J157" s="401"/>
      <c r="K157" s="401"/>
      <c r="L157" s="59"/>
      <c r="M157" s="59"/>
      <c r="N157" s="401"/>
      <c r="O157" s="401"/>
      <c r="P157" s="59"/>
      <c r="Q157" s="59"/>
      <c r="R157" s="401"/>
      <c r="S157" s="401"/>
      <c r="T157" s="59"/>
      <c r="U157" s="59"/>
      <c r="V157" s="402"/>
      <c r="W157" s="403"/>
      <c r="X157" s="2"/>
      <c r="Y157" s="2"/>
    </row>
    <row r="158" spans="3:25" s="259" customFormat="1" ht="15" x14ac:dyDescent="0.2">
      <c r="C158" s="71"/>
      <c r="D158" s="71"/>
      <c r="E158" s="71"/>
      <c r="F158" s="71"/>
      <c r="G158" s="71"/>
      <c r="H158" s="8"/>
      <c r="I158" s="8"/>
      <c r="J158" s="8"/>
      <c r="K158" s="8"/>
      <c r="L158" s="8"/>
      <c r="M158" s="8"/>
      <c r="N158" s="8"/>
      <c r="O158" s="8"/>
      <c r="P158" s="8"/>
      <c r="Q158" s="8"/>
      <c r="R158" s="8"/>
      <c r="S158" s="8"/>
      <c r="T158" s="8"/>
      <c r="U158" s="8"/>
      <c r="V158" s="8"/>
      <c r="W158" s="8"/>
      <c r="X158" s="8"/>
      <c r="Y158" s="2"/>
    </row>
    <row r="159" spans="3:25" s="259" customFormat="1" ht="15.75" x14ac:dyDescent="0.2">
      <c r="C159" s="360"/>
      <c r="D159" s="360"/>
      <c r="E159" s="360"/>
      <c r="F159" s="360"/>
      <c r="G159" s="360"/>
      <c r="H159" s="8"/>
      <c r="I159" s="8"/>
      <c r="J159" s="401"/>
      <c r="K159" s="401"/>
      <c r="L159" s="59"/>
      <c r="M159" s="59"/>
      <c r="N159" s="401"/>
      <c r="O159" s="401"/>
      <c r="P159" s="59"/>
      <c r="Q159" s="59"/>
      <c r="R159" s="401"/>
      <c r="S159" s="401"/>
      <c r="T159" s="59"/>
      <c r="U159" s="59"/>
      <c r="V159" s="402"/>
      <c r="W159" s="403"/>
      <c r="X159" s="2"/>
      <c r="Y159" s="2"/>
    </row>
    <row r="160" spans="3:25" s="259" customFormat="1" ht="15.75" x14ac:dyDescent="0.2">
      <c r="C160" s="373"/>
      <c r="D160" s="373"/>
      <c r="E160" s="373"/>
      <c r="F160" s="373"/>
      <c r="G160" s="373"/>
      <c r="H160" s="8"/>
      <c r="I160" s="8"/>
      <c r="J160" s="73"/>
      <c r="K160" s="59"/>
      <c r="L160" s="59"/>
      <c r="M160" s="59"/>
      <c r="N160" s="73"/>
      <c r="O160" s="59"/>
      <c r="P160" s="59"/>
      <c r="Q160" s="59"/>
      <c r="R160" s="73"/>
      <c r="S160" s="59"/>
      <c r="T160" s="59"/>
      <c r="U160" s="59"/>
      <c r="V160" s="73"/>
      <c r="W160" s="59"/>
      <c r="X160" s="2"/>
      <c r="Y160" s="2"/>
    </row>
    <row r="161" spans="3:25" s="259" customFormat="1" ht="15" x14ac:dyDescent="0.2">
      <c r="C161" s="71"/>
      <c r="D161" s="71"/>
      <c r="E161" s="71"/>
      <c r="F161" s="71"/>
      <c r="G161" s="71"/>
      <c r="H161" s="8"/>
      <c r="I161" s="8"/>
      <c r="J161" s="8"/>
      <c r="K161" s="8"/>
      <c r="L161" s="8"/>
      <c r="M161" s="8"/>
      <c r="N161" s="8"/>
      <c r="O161" s="8"/>
      <c r="P161" s="8"/>
      <c r="Q161" s="8"/>
      <c r="R161" s="8"/>
      <c r="S161" s="8"/>
      <c r="T161" s="8"/>
      <c r="U161" s="8"/>
      <c r="V161" s="8"/>
      <c r="W161" s="8"/>
      <c r="X161" s="2"/>
      <c r="Y161" s="2"/>
    </row>
    <row r="162" spans="3:25" s="259" customFormat="1" ht="15" x14ac:dyDescent="0.2">
      <c r="C162" s="71"/>
      <c r="D162" s="71"/>
      <c r="E162" s="71"/>
      <c r="F162" s="71"/>
      <c r="G162" s="71"/>
      <c r="H162" s="8"/>
      <c r="I162" s="8"/>
      <c r="J162" s="59"/>
      <c r="K162" s="59"/>
      <c r="L162" s="59"/>
      <c r="M162" s="59"/>
      <c r="N162" s="59"/>
      <c r="O162" s="59"/>
      <c r="P162" s="59"/>
      <c r="Q162" s="59"/>
      <c r="R162" s="59"/>
      <c r="S162" s="59"/>
      <c r="T162" s="59"/>
      <c r="U162" s="59"/>
      <c r="V162" s="59"/>
      <c r="W162" s="59"/>
      <c r="X162" s="2"/>
      <c r="Y162" s="2"/>
    </row>
    <row r="163" spans="3:25" s="259" customFormat="1" ht="15.75" x14ac:dyDescent="0.25">
      <c r="C163" s="70"/>
      <c r="D163" s="70"/>
      <c r="E163" s="70"/>
      <c r="F163" s="70"/>
      <c r="G163" s="70"/>
      <c r="H163" s="12"/>
      <c r="I163" s="8"/>
      <c r="J163" s="59"/>
      <c r="K163" s="59"/>
      <c r="L163" s="59"/>
      <c r="M163" s="59"/>
      <c r="N163" s="59"/>
      <c r="O163" s="59"/>
      <c r="P163" s="59"/>
      <c r="Q163" s="59"/>
      <c r="R163" s="59"/>
      <c r="S163" s="59"/>
      <c r="T163" s="59"/>
      <c r="U163" s="59"/>
      <c r="V163" s="73"/>
      <c r="W163" s="59"/>
      <c r="X163" s="2"/>
      <c r="Y163" s="2"/>
    </row>
    <row r="164" spans="3:25" s="259" customFormat="1" ht="15" x14ac:dyDescent="0.2">
      <c r="C164" s="243"/>
      <c r="D164" s="71"/>
      <c r="E164" s="71"/>
      <c r="F164" s="71"/>
      <c r="G164" s="71"/>
      <c r="H164" s="8"/>
      <c r="I164" s="8"/>
      <c r="J164" s="236"/>
      <c r="K164" s="236"/>
      <c r="L164" s="236"/>
      <c r="M164" s="236"/>
      <c r="N164" s="236"/>
      <c r="O164" s="236"/>
      <c r="P164" s="236"/>
      <c r="Q164" s="59"/>
      <c r="R164" s="404"/>
      <c r="S164" s="404"/>
      <c r="T164" s="59"/>
      <c r="U164" s="59"/>
      <c r="V164" s="59"/>
      <c r="W164" s="59"/>
      <c r="X164" s="2"/>
      <c r="Y164" s="2"/>
    </row>
    <row r="165" spans="3:25" s="259" customFormat="1" ht="15" x14ac:dyDescent="0.2">
      <c r="C165" s="71"/>
      <c r="D165" s="71"/>
      <c r="E165" s="71"/>
      <c r="F165" s="71"/>
      <c r="G165" s="71"/>
      <c r="H165" s="59"/>
      <c r="I165" s="59"/>
      <c r="J165" s="59"/>
      <c r="K165" s="59"/>
      <c r="L165" s="59"/>
      <c r="M165" s="59"/>
      <c r="N165" s="59"/>
      <c r="O165" s="59"/>
      <c r="P165" s="59"/>
      <c r="Q165" s="59"/>
      <c r="R165" s="59"/>
      <c r="S165" s="59"/>
      <c r="T165" s="59"/>
      <c r="U165" s="59"/>
      <c r="V165" s="59"/>
      <c r="W165" s="59"/>
      <c r="X165" s="2"/>
      <c r="Y165" s="2"/>
    </row>
    <row r="166" spans="3:25" s="259" customFormat="1" ht="15" x14ac:dyDescent="0.2">
      <c r="C166" s="243"/>
      <c r="D166" s="71"/>
      <c r="E166" s="71"/>
      <c r="F166" s="71"/>
      <c r="G166" s="71"/>
      <c r="H166" s="8"/>
      <c r="I166" s="8"/>
      <c r="J166" s="404"/>
      <c r="K166" s="404"/>
      <c r="L166" s="236"/>
      <c r="M166" s="236"/>
      <c r="N166" s="236"/>
      <c r="O166" s="236"/>
      <c r="P166" s="59"/>
      <c r="Q166" s="59"/>
      <c r="R166" s="59"/>
      <c r="S166" s="59"/>
      <c r="T166" s="59"/>
      <c r="U166" s="59"/>
      <c r="V166" s="59"/>
      <c r="W166" s="59"/>
      <c r="X166" s="2"/>
      <c r="Y166" s="2"/>
    </row>
    <row r="167" spans="3:25" s="259" customFormat="1" ht="15" x14ac:dyDescent="0.2">
      <c r="C167" s="71"/>
      <c r="D167" s="71"/>
      <c r="E167" s="71"/>
      <c r="F167" s="71"/>
      <c r="G167" s="71"/>
      <c r="H167" s="8"/>
      <c r="I167" s="8"/>
      <c r="J167" s="59"/>
      <c r="K167" s="59"/>
      <c r="L167" s="59"/>
      <c r="M167" s="59"/>
      <c r="N167" s="59"/>
      <c r="O167" s="59"/>
      <c r="P167" s="59"/>
      <c r="Q167" s="59"/>
      <c r="R167" s="59"/>
      <c r="S167" s="59"/>
      <c r="T167" s="59"/>
      <c r="U167" s="59"/>
      <c r="V167" s="59"/>
      <c r="W167" s="59"/>
      <c r="X167" s="2"/>
      <c r="Y167" s="2"/>
    </row>
    <row r="168" spans="3:25" s="259" customFormat="1" ht="15" x14ac:dyDescent="0.2">
      <c r="C168" s="71"/>
      <c r="D168" s="71"/>
      <c r="E168" s="71"/>
      <c r="F168" s="71"/>
      <c r="G168" s="71"/>
      <c r="H168" s="8"/>
      <c r="I168" s="8"/>
      <c r="J168" s="59"/>
      <c r="K168" s="59"/>
      <c r="L168" s="59"/>
      <c r="M168" s="59"/>
      <c r="N168" s="59"/>
      <c r="O168" s="59"/>
      <c r="P168" s="59"/>
      <c r="Q168" s="59"/>
      <c r="R168" s="59"/>
      <c r="S168" s="59"/>
      <c r="T168" s="59"/>
      <c r="U168" s="59"/>
      <c r="V168" s="59"/>
      <c r="W168" s="59"/>
      <c r="X168" s="2"/>
      <c r="Y168" s="2"/>
    </row>
    <row r="169" spans="3:25" s="259" customFormat="1" ht="15" x14ac:dyDescent="0.2">
      <c r="C169" s="71"/>
      <c r="D169" s="71"/>
      <c r="E169" s="71"/>
      <c r="F169" s="71"/>
      <c r="G169" s="71"/>
      <c r="H169" s="8"/>
      <c r="I169" s="8"/>
      <c r="J169" s="59"/>
      <c r="K169" s="59"/>
      <c r="L169" s="59"/>
      <c r="M169" s="59"/>
      <c r="N169" s="59"/>
      <c r="O169" s="59"/>
      <c r="P169" s="59"/>
      <c r="Q169" s="59"/>
      <c r="R169" s="59"/>
      <c r="S169" s="59"/>
      <c r="T169" s="59"/>
      <c r="U169" s="59"/>
      <c r="V169" s="59"/>
      <c r="W169" s="59"/>
      <c r="X169" s="2"/>
      <c r="Y169" s="2"/>
    </row>
    <row r="170" spans="3:25" s="259" customFormat="1" ht="15.75" x14ac:dyDescent="0.2">
      <c r="C170" s="70"/>
      <c r="D170" s="71"/>
      <c r="E170" s="71"/>
      <c r="F170" s="71"/>
      <c r="G170" s="71"/>
      <c r="H170" s="8"/>
      <c r="I170" s="8"/>
      <c r="J170" s="59"/>
      <c r="K170" s="59"/>
      <c r="L170" s="59"/>
      <c r="M170" s="59"/>
      <c r="N170" s="59"/>
      <c r="O170" s="59"/>
      <c r="P170" s="59"/>
      <c r="Q170" s="59"/>
      <c r="R170" s="59"/>
      <c r="S170" s="59"/>
      <c r="T170" s="59"/>
      <c r="U170" s="59"/>
      <c r="V170" s="59"/>
      <c r="W170" s="59"/>
      <c r="X170" s="2"/>
      <c r="Y170" s="2"/>
    </row>
    <row r="171" spans="3:25" s="259" customFormat="1" ht="15.75" x14ac:dyDescent="0.2">
      <c r="C171" s="70"/>
      <c r="D171" s="71"/>
      <c r="E171" s="71"/>
      <c r="F171" s="71"/>
      <c r="G171" s="71"/>
      <c r="H171" s="8"/>
      <c r="I171" s="8"/>
      <c r="J171" s="59"/>
      <c r="K171" s="59"/>
      <c r="L171" s="59"/>
      <c r="M171" s="59"/>
      <c r="N171" s="59"/>
      <c r="O171" s="59"/>
      <c r="P171" s="59"/>
      <c r="Q171" s="59"/>
      <c r="R171" s="59"/>
      <c r="S171" s="59"/>
      <c r="T171" s="59"/>
      <c r="U171" s="59"/>
      <c r="V171" s="59"/>
      <c r="W171" s="59"/>
      <c r="X171" s="2"/>
      <c r="Y171" s="2"/>
    </row>
    <row r="172" spans="3:25" s="259" customFormat="1" ht="15.75" x14ac:dyDescent="0.2">
      <c r="C172" s="71"/>
      <c r="D172" s="71"/>
      <c r="E172" s="71"/>
      <c r="F172" s="71"/>
      <c r="G172" s="71"/>
      <c r="H172" s="8"/>
      <c r="I172" s="8"/>
      <c r="J172" s="401"/>
      <c r="K172" s="401"/>
      <c r="L172" s="59"/>
      <c r="M172" s="59"/>
      <c r="N172" s="401"/>
      <c r="O172" s="401"/>
      <c r="P172" s="59"/>
      <c r="Q172" s="59"/>
      <c r="R172" s="401"/>
      <c r="S172" s="401"/>
      <c r="T172" s="59"/>
      <c r="U172" s="59"/>
      <c r="V172" s="402"/>
      <c r="W172" s="403"/>
      <c r="X172" s="2"/>
      <c r="Y172" s="2"/>
    </row>
    <row r="173" spans="3:25" s="259" customFormat="1" ht="15" x14ac:dyDescent="0.2">
      <c r="C173" s="71"/>
      <c r="D173" s="71"/>
      <c r="E173" s="71"/>
      <c r="F173" s="71"/>
      <c r="G173" s="71"/>
      <c r="H173" s="8"/>
      <c r="I173" s="8"/>
      <c r="J173" s="8"/>
      <c r="K173" s="8"/>
      <c r="L173" s="8"/>
      <c r="M173" s="8"/>
      <c r="N173" s="8"/>
      <c r="O173" s="8"/>
      <c r="P173" s="8"/>
      <c r="Q173" s="8"/>
      <c r="R173" s="8"/>
      <c r="S173" s="8"/>
      <c r="T173" s="8"/>
      <c r="U173" s="8"/>
      <c r="V173" s="8"/>
      <c r="W173" s="8"/>
      <c r="X173" s="2"/>
      <c r="Y173" s="2"/>
    </row>
    <row r="174" spans="3:25" s="259" customFormat="1" ht="15.75" x14ac:dyDescent="0.2">
      <c r="C174" s="70"/>
      <c r="D174" s="71"/>
      <c r="E174" s="71"/>
      <c r="F174" s="71"/>
      <c r="G174" s="71"/>
      <c r="H174" s="8"/>
      <c r="I174" s="8"/>
      <c r="J174" s="59"/>
      <c r="K174" s="59"/>
      <c r="L174" s="59"/>
      <c r="M174" s="59"/>
      <c r="N174" s="59"/>
      <c r="O174" s="59"/>
      <c r="P174" s="59"/>
      <c r="Q174" s="59"/>
      <c r="R174" s="59"/>
      <c r="S174" s="59"/>
      <c r="T174" s="59"/>
      <c r="U174" s="59"/>
      <c r="V174" s="59"/>
      <c r="W174" s="59"/>
      <c r="X174" s="2"/>
      <c r="Y174" s="2"/>
    </row>
    <row r="175" spans="3:25" s="259" customFormat="1" ht="15.75" x14ac:dyDescent="0.2">
      <c r="C175" s="71"/>
      <c r="D175" s="71"/>
      <c r="E175" s="71"/>
      <c r="F175" s="71"/>
      <c r="G175" s="71"/>
      <c r="H175" s="8"/>
      <c r="I175" s="8"/>
      <c r="J175" s="401"/>
      <c r="K175" s="401"/>
      <c r="L175" s="59"/>
      <c r="M175" s="59"/>
      <c r="N175" s="401"/>
      <c r="O175" s="401"/>
      <c r="P175" s="59"/>
      <c r="Q175" s="59"/>
      <c r="R175" s="401"/>
      <c r="S175" s="401"/>
      <c r="T175" s="59"/>
      <c r="U175" s="59"/>
      <c r="V175" s="402"/>
      <c r="W175" s="403"/>
      <c r="X175" s="2"/>
      <c r="Y175" s="2"/>
    </row>
    <row r="176" spans="3:25" s="259" customFormat="1" ht="15" x14ac:dyDescent="0.2">
      <c r="C176" s="71"/>
      <c r="D176" s="71"/>
      <c r="E176" s="71"/>
      <c r="F176" s="71"/>
      <c r="G176" s="71"/>
      <c r="H176" s="8"/>
      <c r="I176" s="8"/>
      <c r="J176" s="8"/>
      <c r="K176" s="8"/>
      <c r="L176" s="8"/>
      <c r="M176" s="8"/>
      <c r="N176" s="8"/>
      <c r="O176" s="8"/>
      <c r="P176" s="8"/>
      <c r="Q176" s="8"/>
      <c r="R176" s="8"/>
      <c r="S176" s="8"/>
      <c r="T176" s="8"/>
      <c r="U176" s="8"/>
      <c r="V176" s="8"/>
      <c r="W176" s="8"/>
      <c r="X176" s="2"/>
      <c r="Y176" s="2"/>
    </row>
    <row r="177" spans="3:25" s="259" customFormat="1" ht="15.75" x14ac:dyDescent="0.2">
      <c r="C177" s="70"/>
      <c r="D177" s="71"/>
      <c r="E177" s="71"/>
      <c r="F177" s="71"/>
      <c r="G177" s="71"/>
      <c r="H177" s="8"/>
      <c r="I177" s="8"/>
      <c r="J177" s="59"/>
      <c r="K177" s="59"/>
      <c r="L177" s="59"/>
      <c r="M177" s="59"/>
      <c r="N177" s="59"/>
      <c r="O177" s="59"/>
      <c r="P177" s="59"/>
      <c r="Q177" s="59"/>
      <c r="R177" s="59"/>
      <c r="S177" s="59"/>
      <c r="T177" s="59"/>
      <c r="U177" s="59"/>
      <c r="V177" s="59"/>
      <c r="W177" s="59"/>
      <c r="X177" s="2"/>
      <c r="Y177" s="2"/>
    </row>
    <row r="178" spans="3:25" s="259" customFormat="1" ht="16.5" customHeight="1" x14ac:dyDescent="0.2">
      <c r="C178" s="70"/>
      <c r="D178" s="71"/>
      <c r="E178" s="71"/>
      <c r="F178" s="71"/>
      <c r="G178" s="71"/>
      <c r="H178" s="8"/>
      <c r="I178" s="8"/>
      <c r="J178" s="59"/>
      <c r="K178" s="59"/>
      <c r="L178" s="59"/>
      <c r="M178" s="59"/>
      <c r="N178" s="59"/>
      <c r="O178" s="59"/>
      <c r="P178" s="59"/>
      <c r="Q178" s="59"/>
      <c r="R178" s="59"/>
      <c r="S178" s="59"/>
      <c r="T178" s="59"/>
      <c r="U178" s="59"/>
      <c r="V178" s="59"/>
      <c r="W178" s="59"/>
      <c r="X178" s="2"/>
      <c r="Y178" s="2"/>
    </row>
    <row r="179" spans="3:25" s="259" customFormat="1" ht="16.5" customHeight="1" x14ac:dyDescent="0.2">
      <c r="C179" s="71"/>
      <c r="D179" s="71"/>
      <c r="E179" s="71"/>
      <c r="F179" s="71"/>
      <c r="G179" s="71"/>
      <c r="H179" s="8"/>
      <c r="I179" s="8"/>
      <c r="J179" s="401"/>
      <c r="K179" s="401"/>
      <c r="L179" s="59"/>
      <c r="M179" s="59"/>
      <c r="N179" s="401"/>
      <c r="O179" s="401"/>
      <c r="P179" s="59"/>
      <c r="Q179" s="59"/>
      <c r="R179" s="401"/>
      <c r="S179" s="401"/>
      <c r="T179" s="59"/>
      <c r="U179" s="59"/>
      <c r="V179" s="402"/>
      <c r="W179" s="403"/>
      <c r="X179" s="2"/>
      <c r="Y179" s="2"/>
    </row>
    <row r="180" spans="3:25" s="259" customFormat="1" ht="15.75" customHeight="1" x14ac:dyDescent="0.2">
      <c r="C180" s="71"/>
      <c r="D180" s="71"/>
      <c r="E180" s="71"/>
      <c r="F180" s="71"/>
      <c r="G180" s="71"/>
      <c r="H180" s="8"/>
      <c r="I180" s="8"/>
      <c r="J180" s="8"/>
      <c r="K180" s="8"/>
      <c r="L180" s="8"/>
      <c r="M180" s="8"/>
      <c r="N180" s="8"/>
      <c r="O180" s="8"/>
      <c r="P180" s="8"/>
      <c r="Q180" s="8"/>
      <c r="R180" s="8"/>
      <c r="S180" s="8"/>
      <c r="T180" s="8"/>
      <c r="U180" s="8"/>
      <c r="V180" s="8"/>
      <c r="W180" s="8"/>
      <c r="X180" s="8"/>
      <c r="Y180" s="2"/>
    </row>
    <row r="181" spans="3:25" s="259" customFormat="1" ht="15.75" x14ac:dyDescent="0.2">
      <c r="C181" s="360"/>
      <c r="D181" s="360"/>
      <c r="E181" s="360"/>
      <c r="F181" s="360"/>
      <c r="G181" s="360"/>
      <c r="H181" s="8"/>
      <c r="I181" s="8"/>
      <c r="J181" s="401"/>
      <c r="K181" s="401"/>
      <c r="L181" s="59"/>
      <c r="M181" s="59"/>
      <c r="N181" s="401"/>
      <c r="O181" s="401"/>
      <c r="P181" s="59"/>
      <c r="Q181" s="59"/>
      <c r="R181" s="401"/>
      <c r="S181" s="401"/>
      <c r="T181" s="59"/>
      <c r="U181" s="59"/>
      <c r="V181" s="402"/>
      <c r="W181" s="403"/>
      <c r="X181" s="2"/>
      <c r="Y181" s="2"/>
    </row>
    <row r="182" spans="3:25" s="259" customFormat="1" ht="15.75" x14ac:dyDescent="0.2">
      <c r="C182" s="373"/>
      <c r="D182" s="373"/>
      <c r="E182" s="373"/>
      <c r="F182" s="373"/>
      <c r="G182" s="373"/>
      <c r="H182" s="8"/>
      <c r="I182" s="8"/>
      <c r="J182" s="73"/>
      <c r="K182" s="59"/>
      <c r="L182" s="59"/>
      <c r="M182" s="59"/>
      <c r="N182" s="73"/>
      <c r="O182" s="59"/>
      <c r="P182" s="59"/>
      <c r="Q182" s="59"/>
      <c r="R182" s="73"/>
      <c r="S182" s="59"/>
      <c r="T182" s="59"/>
      <c r="U182" s="59"/>
      <c r="V182" s="73"/>
      <c r="W182" s="59"/>
      <c r="X182" s="2"/>
      <c r="Y182" s="2"/>
    </row>
    <row r="183" spans="3:25" x14ac:dyDescent="0.2">
      <c r="C183" s="2"/>
      <c r="D183" s="2"/>
      <c r="E183" s="2"/>
      <c r="F183" s="2"/>
      <c r="G183" s="2"/>
      <c r="H183" s="2"/>
      <c r="I183" s="2"/>
      <c r="J183" s="2"/>
      <c r="K183" s="2"/>
      <c r="L183" s="2"/>
      <c r="M183" s="2"/>
      <c r="N183" s="2"/>
      <c r="O183" s="2"/>
      <c r="P183" s="2"/>
      <c r="Q183" s="2"/>
      <c r="R183" s="2"/>
      <c r="S183" s="2"/>
      <c r="T183" s="2"/>
      <c r="U183" s="2"/>
      <c r="V183" s="2"/>
      <c r="W183" s="2"/>
      <c r="X183" s="2"/>
      <c r="Y183" s="2"/>
    </row>
    <row r="212" ht="16.5" customHeight="1" x14ac:dyDescent="0.2"/>
    <row r="221" ht="15.75" customHeight="1" x14ac:dyDescent="0.2"/>
    <row r="224" ht="25.5" customHeight="1" x14ac:dyDescent="0.2"/>
  </sheetData>
  <mergeCells count="228">
    <mergeCell ref="J128:K128"/>
    <mergeCell ref="N128:O128"/>
    <mergeCell ref="R128:S128"/>
    <mergeCell ref="V128:W128"/>
    <mergeCell ref="C79:G80"/>
    <mergeCell ref="C85:G86"/>
    <mergeCell ref="C91:G92"/>
    <mergeCell ref="C100:G101"/>
    <mergeCell ref="C106:G107"/>
    <mergeCell ref="C128:G129"/>
    <mergeCell ref="J122:K122"/>
    <mergeCell ref="N122:O122"/>
    <mergeCell ref="R122:S122"/>
    <mergeCell ref="V122:W122"/>
    <mergeCell ref="J126:K126"/>
    <mergeCell ref="N126:O126"/>
    <mergeCell ref="R126:S126"/>
    <mergeCell ref="V126:W126"/>
    <mergeCell ref="R111:S111"/>
    <mergeCell ref="J113:K113"/>
    <mergeCell ref="J119:K119"/>
    <mergeCell ref="N119:O119"/>
    <mergeCell ref="R119:S119"/>
    <mergeCell ref="V119:W119"/>
    <mergeCell ref="J104:K104"/>
    <mergeCell ref="N104:O104"/>
    <mergeCell ref="R104:S104"/>
    <mergeCell ref="V104:W104"/>
    <mergeCell ref="J106:K106"/>
    <mergeCell ref="N106:O106"/>
    <mergeCell ref="R106:S106"/>
    <mergeCell ref="V106:W106"/>
    <mergeCell ref="J98:K98"/>
    <mergeCell ref="N98:O98"/>
    <mergeCell ref="R98:S98"/>
    <mergeCell ref="V98:W98"/>
    <mergeCell ref="J100:K100"/>
    <mergeCell ref="N100:O100"/>
    <mergeCell ref="R100:S100"/>
    <mergeCell ref="V100:W100"/>
    <mergeCell ref="J179:K179"/>
    <mergeCell ref="N179:O179"/>
    <mergeCell ref="R179:S179"/>
    <mergeCell ref="V179:W179"/>
    <mergeCell ref="C181:G182"/>
    <mergeCell ref="J181:K181"/>
    <mergeCell ref="N181:O181"/>
    <mergeCell ref="R181:S181"/>
    <mergeCell ref="V181:W181"/>
    <mergeCell ref="J166:K166"/>
    <mergeCell ref="J172:K172"/>
    <mergeCell ref="N172:O172"/>
    <mergeCell ref="R172:S172"/>
    <mergeCell ref="V172:W172"/>
    <mergeCell ref="J175:K175"/>
    <mergeCell ref="N175:O175"/>
    <mergeCell ref="R175:S175"/>
    <mergeCell ref="V175:W175"/>
    <mergeCell ref="C159:G160"/>
    <mergeCell ref="J159:K159"/>
    <mergeCell ref="N159:O159"/>
    <mergeCell ref="R159:S159"/>
    <mergeCell ref="V159:W159"/>
    <mergeCell ref="R164:S164"/>
    <mergeCell ref="C153:G154"/>
    <mergeCell ref="J153:K153"/>
    <mergeCell ref="N153:O153"/>
    <mergeCell ref="R153:S153"/>
    <mergeCell ref="V153:W153"/>
    <mergeCell ref="J157:K157"/>
    <mergeCell ref="N157:O157"/>
    <mergeCell ref="R157:S157"/>
    <mergeCell ref="V157:W157"/>
    <mergeCell ref="C144:G145"/>
    <mergeCell ref="J144:K144"/>
    <mergeCell ref="N144:O144"/>
    <mergeCell ref="R144:S144"/>
    <mergeCell ref="V144:W144"/>
    <mergeCell ref="J151:K151"/>
    <mergeCell ref="N151:O151"/>
    <mergeCell ref="R151:S151"/>
    <mergeCell ref="V151:W151"/>
    <mergeCell ref="C138:G139"/>
    <mergeCell ref="J138:K138"/>
    <mergeCell ref="N138:O138"/>
    <mergeCell ref="R138:S138"/>
    <mergeCell ref="V138:W138"/>
    <mergeCell ref="J142:K142"/>
    <mergeCell ref="N142:O142"/>
    <mergeCell ref="R142:S142"/>
    <mergeCell ref="V142:W142"/>
    <mergeCell ref="J79:K79"/>
    <mergeCell ref="N79:O79"/>
    <mergeCell ref="R79:S79"/>
    <mergeCell ref="V79:W79"/>
    <mergeCell ref="J136:K136"/>
    <mergeCell ref="N136:O136"/>
    <mergeCell ref="R136:S136"/>
    <mergeCell ref="V136:W136"/>
    <mergeCell ref="J83:K83"/>
    <mergeCell ref="J89:K89"/>
    <mergeCell ref="N89:O89"/>
    <mergeCell ref="R89:S89"/>
    <mergeCell ref="V89:W89"/>
    <mergeCell ref="J91:K91"/>
    <mergeCell ref="N91:O91"/>
    <mergeCell ref="R91:S91"/>
    <mergeCell ref="V91:W91"/>
    <mergeCell ref="N83:O83"/>
    <mergeCell ref="R83:S83"/>
    <mergeCell ref="V83:W83"/>
    <mergeCell ref="J85:K85"/>
    <mergeCell ref="N85:O85"/>
    <mergeCell ref="R85:S85"/>
    <mergeCell ref="V85:W85"/>
    <mergeCell ref="C73:G74"/>
    <mergeCell ref="J73:K73"/>
    <mergeCell ref="N73:O73"/>
    <mergeCell ref="R73:S73"/>
    <mergeCell ref="V73:W73"/>
    <mergeCell ref="J77:K77"/>
    <mergeCell ref="N77:O77"/>
    <mergeCell ref="R77:S77"/>
    <mergeCell ref="V77:W77"/>
    <mergeCell ref="C66:G67"/>
    <mergeCell ref="J66:K66"/>
    <mergeCell ref="N66:O66"/>
    <mergeCell ref="R66:S66"/>
    <mergeCell ref="V66:W66"/>
    <mergeCell ref="J71:K71"/>
    <mergeCell ref="N71:O71"/>
    <mergeCell ref="R71:S71"/>
    <mergeCell ref="V71:W71"/>
    <mergeCell ref="C60:G61"/>
    <mergeCell ref="J60:K60"/>
    <mergeCell ref="N60:O60"/>
    <mergeCell ref="R60:S60"/>
    <mergeCell ref="V60:W60"/>
    <mergeCell ref="J64:K64"/>
    <mergeCell ref="N64:O64"/>
    <mergeCell ref="R64:S64"/>
    <mergeCell ref="V64:W64"/>
    <mergeCell ref="C52:G53"/>
    <mergeCell ref="J52:K52"/>
    <mergeCell ref="N52:O52"/>
    <mergeCell ref="R52:S52"/>
    <mergeCell ref="V52:W52"/>
    <mergeCell ref="J58:K58"/>
    <mergeCell ref="N58:O58"/>
    <mergeCell ref="R58:S58"/>
    <mergeCell ref="V58:W58"/>
    <mergeCell ref="C46:G47"/>
    <mergeCell ref="N46:O46"/>
    <mergeCell ref="R46:S46"/>
    <mergeCell ref="V46:W46"/>
    <mergeCell ref="J50:K50"/>
    <mergeCell ref="N50:O50"/>
    <mergeCell ref="R50:S50"/>
    <mergeCell ref="V50:W50"/>
    <mergeCell ref="R40:S40"/>
    <mergeCell ref="V40:W40"/>
    <mergeCell ref="J44:K44"/>
    <mergeCell ref="N44:O44"/>
    <mergeCell ref="R44:S44"/>
    <mergeCell ref="V44:W44"/>
    <mergeCell ref="C40:G41"/>
    <mergeCell ref="C34:G35"/>
    <mergeCell ref="J34:K34"/>
    <mergeCell ref="N34:O34"/>
    <mergeCell ref="R34:S34"/>
    <mergeCell ref="V34:W34"/>
    <mergeCell ref="N38:O38"/>
    <mergeCell ref="R38:S38"/>
    <mergeCell ref="V38:W38"/>
    <mergeCell ref="R27:S27"/>
    <mergeCell ref="V27:W27"/>
    <mergeCell ref="N29:O29"/>
    <mergeCell ref="R29:S29"/>
    <mergeCell ref="V29:W29"/>
    <mergeCell ref="C31:G32"/>
    <mergeCell ref="J31:K31"/>
    <mergeCell ref="N31:O31"/>
    <mergeCell ref="R31:S31"/>
    <mergeCell ref="V31:W31"/>
    <mergeCell ref="C22:G23"/>
    <mergeCell ref="N22:O22"/>
    <mergeCell ref="R22:S22"/>
    <mergeCell ref="V22:W22"/>
    <mergeCell ref="R14:S14"/>
    <mergeCell ref="V14:W14"/>
    <mergeCell ref="N15:O15"/>
    <mergeCell ref="R15:S15"/>
    <mergeCell ref="V15:W15"/>
    <mergeCell ref="J17:K17"/>
    <mergeCell ref="N17:O17"/>
    <mergeCell ref="R17:S17"/>
    <mergeCell ref="V17:W17"/>
    <mergeCell ref="C19:G20"/>
    <mergeCell ref="J12:K13"/>
    <mergeCell ref="N12:O12"/>
    <mergeCell ref="R12:S12"/>
    <mergeCell ref="V12:W13"/>
    <mergeCell ref="N13:O13"/>
    <mergeCell ref="R13:S13"/>
    <mergeCell ref="J46:K46"/>
    <mergeCell ref="J38:K38"/>
    <mergeCell ref="J40:K40"/>
    <mergeCell ref="N40:O40"/>
    <mergeCell ref="J29:K29"/>
    <mergeCell ref="J27:K27"/>
    <mergeCell ref="N27:O27"/>
    <mergeCell ref="J15:K15"/>
    <mergeCell ref="J22:K22"/>
    <mergeCell ref="J14:K14"/>
    <mergeCell ref="N14:O14"/>
    <mergeCell ref="J19:K19"/>
    <mergeCell ref="N19:O19"/>
    <mergeCell ref="R19:S19"/>
    <mergeCell ref="V19:W19"/>
    <mergeCell ref="A3:Y3"/>
    <mergeCell ref="A4:Y4"/>
    <mergeCell ref="A5:Y5"/>
    <mergeCell ref="C7:H7"/>
    <mergeCell ref="J11:K11"/>
    <mergeCell ref="C10:H10"/>
    <mergeCell ref="N11:O11"/>
    <mergeCell ref="R11:S11"/>
    <mergeCell ref="V11:W11"/>
  </mergeCells>
  <printOptions horizontalCentered="1"/>
  <pageMargins left="0.39370078740157483" right="0.39370078740157483" top="0.59055118110236227" bottom="0.59055118110236227" header="0.51181102362204722" footer="0.51181102362204722"/>
  <pageSetup paperSize="9" scale="49" fitToHeight="2" orientation="portrait" r:id="rId1"/>
  <headerFooter alignWithMargins="0"/>
  <rowBreaks count="1" manualBreakCount="1">
    <brk id="86" max="2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3"/>
  <sheetViews>
    <sheetView showGridLines="0" workbookViewId="0">
      <selection activeCell="J17" sqref="J17:K17"/>
    </sheetView>
  </sheetViews>
  <sheetFormatPr defaultRowHeight="12.75" x14ac:dyDescent="0.2"/>
  <cols>
    <col min="1" max="2" width="1.7109375" customWidth="1"/>
    <col min="3" max="4" width="14.28515625" customWidth="1"/>
    <col min="5" max="5" width="19.28515625" customWidth="1"/>
    <col min="6" max="6" width="5.42578125" customWidth="1"/>
    <col min="7" max="7" width="4.140625" customWidth="1"/>
    <col min="8" max="8" width="3.7109375" customWidth="1"/>
    <col min="11" max="11" width="11.42578125" customWidth="1"/>
    <col min="12" max="12" width="3" customWidth="1"/>
    <col min="13" max="13" width="6.7109375" customWidth="1"/>
    <col min="16" max="16" width="6.7109375" customWidth="1"/>
    <col min="17" max="17" width="7.28515625" customWidth="1"/>
    <col min="20" max="20" width="7.140625" customWidth="1"/>
    <col min="21" max="21" width="6.85546875" customWidth="1"/>
    <col min="24" max="26" width="1.7109375" customWidth="1"/>
  </cols>
  <sheetData>
    <row r="1" spans="1:26" ht="18.75" customHeight="1" x14ac:dyDescent="0.2">
      <c r="A1" s="52"/>
      <c r="B1" s="53"/>
      <c r="C1" s="53"/>
      <c r="D1" s="53"/>
      <c r="E1" s="53"/>
      <c r="F1" s="135">
        <f>+'Part 2'!F1</f>
        <v>327</v>
      </c>
      <c r="G1" s="53"/>
      <c r="H1" s="53"/>
      <c r="I1" s="53"/>
      <c r="J1" s="53"/>
      <c r="K1" s="53"/>
      <c r="L1" s="53"/>
      <c r="M1" s="53"/>
      <c r="N1" s="199"/>
      <c r="O1" s="199"/>
      <c r="P1" s="199"/>
      <c r="Q1" s="199"/>
      <c r="R1" s="199"/>
      <c r="S1" s="199"/>
      <c r="T1" s="199"/>
      <c r="U1" s="199"/>
      <c r="V1" s="199"/>
      <c r="W1" s="199"/>
      <c r="X1" s="199"/>
      <c r="Y1" s="53"/>
    </row>
    <row r="2" spans="1:26" ht="18.75" customHeight="1" x14ac:dyDescent="0.2">
      <c r="A2" s="152"/>
      <c r="B2" s="153"/>
      <c r="C2" s="153"/>
      <c r="D2" s="153"/>
      <c r="E2" s="153"/>
      <c r="F2" s="156"/>
      <c r="G2" s="153"/>
      <c r="H2" s="153"/>
      <c r="I2" s="153"/>
      <c r="J2" s="153"/>
      <c r="K2" s="153"/>
      <c r="L2" s="153"/>
      <c r="M2" s="153"/>
      <c r="N2" s="153"/>
      <c r="O2" s="153"/>
      <c r="P2" s="153"/>
      <c r="Q2" s="153"/>
      <c r="R2" s="153"/>
      <c r="S2" s="153"/>
      <c r="T2" s="153"/>
      <c r="U2" s="153"/>
      <c r="V2" s="153"/>
      <c r="W2" s="153"/>
      <c r="X2" s="153"/>
      <c r="Y2" s="155"/>
    </row>
    <row r="3" spans="1:26" s="157" customFormat="1" ht="18.75" customHeight="1" x14ac:dyDescent="0.3">
      <c r="A3" s="384" t="s">
        <v>852</v>
      </c>
      <c r="B3" s="387"/>
      <c r="C3" s="387"/>
      <c r="D3" s="387"/>
      <c r="E3" s="387"/>
      <c r="F3" s="387"/>
      <c r="G3" s="387"/>
      <c r="H3" s="387"/>
      <c r="I3" s="387"/>
      <c r="J3" s="387"/>
      <c r="K3" s="387"/>
      <c r="L3" s="387"/>
      <c r="M3" s="387"/>
      <c r="N3" s="387"/>
      <c r="O3" s="387"/>
      <c r="P3" s="387"/>
      <c r="Q3" s="387"/>
      <c r="R3" s="387"/>
      <c r="S3" s="387"/>
      <c r="T3" s="387"/>
      <c r="U3" s="387"/>
      <c r="V3" s="387"/>
      <c r="W3" s="387"/>
      <c r="X3" s="387"/>
      <c r="Y3" s="388"/>
      <c r="Z3" s="162"/>
    </row>
    <row r="4" spans="1:26" s="157" customFormat="1" ht="18.75" customHeight="1" x14ac:dyDescent="0.3">
      <c r="A4" s="384" t="s">
        <v>853</v>
      </c>
      <c r="B4" s="387"/>
      <c r="C4" s="387"/>
      <c r="D4" s="387"/>
      <c r="E4" s="387"/>
      <c r="F4" s="387"/>
      <c r="G4" s="387"/>
      <c r="H4" s="387"/>
      <c r="I4" s="387"/>
      <c r="J4" s="387"/>
      <c r="K4" s="387"/>
      <c r="L4" s="387"/>
      <c r="M4" s="387"/>
      <c r="N4" s="387"/>
      <c r="O4" s="387"/>
      <c r="P4" s="387"/>
      <c r="Q4" s="387"/>
      <c r="R4" s="387"/>
      <c r="S4" s="387"/>
      <c r="T4" s="387"/>
      <c r="U4" s="387"/>
      <c r="V4" s="387"/>
      <c r="W4" s="387"/>
      <c r="X4" s="387"/>
      <c r="Y4" s="388"/>
      <c r="Z4" s="162"/>
    </row>
    <row r="5" spans="1:26" ht="18.75" customHeight="1" x14ac:dyDescent="0.25">
      <c r="A5" s="380"/>
      <c r="B5" s="381"/>
      <c r="C5" s="381"/>
      <c r="D5" s="381"/>
      <c r="E5" s="381"/>
      <c r="F5" s="381"/>
      <c r="G5" s="381"/>
      <c r="H5" s="381"/>
      <c r="I5" s="381"/>
      <c r="J5" s="381"/>
      <c r="K5" s="381"/>
      <c r="L5" s="381"/>
      <c r="M5" s="381"/>
      <c r="N5" s="381"/>
      <c r="O5" s="381"/>
      <c r="P5" s="381"/>
      <c r="Q5" s="381"/>
      <c r="R5" s="381"/>
      <c r="S5" s="381"/>
      <c r="T5" s="381"/>
      <c r="U5" s="381"/>
      <c r="V5" s="381"/>
      <c r="W5" s="381"/>
      <c r="X5" s="381"/>
      <c r="Y5" s="382"/>
      <c r="Z5" s="158"/>
    </row>
    <row r="6" spans="1:26" ht="18.75" customHeight="1" thickBot="1" x14ac:dyDescent="0.25">
      <c r="A6" s="54"/>
      <c r="B6" s="55"/>
      <c r="C6" s="55"/>
      <c r="D6" s="55"/>
      <c r="E6" s="55"/>
      <c r="F6" s="55"/>
      <c r="G6" s="55"/>
      <c r="H6" s="55"/>
      <c r="I6" s="55"/>
      <c r="J6" s="55"/>
      <c r="K6" s="55"/>
      <c r="L6" s="55"/>
      <c r="M6" s="107"/>
      <c r="N6" s="107"/>
      <c r="O6" s="107"/>
      <c r="P6" s="107"/>
      <c r="Q6" s="107"/>
      <c r="R6" s="107"/>
      <c r="S6" s="107"/>
      <c r="T6" s="107"/>
      <c r="U6" s="107"/>
      <c r="V6" s="107"/>
      <c r="W6" s="107"/>
      <c r="X6" s="55"/>
      <c r="Y6" s="56"/>
    </row>
    <row r="7" spans="1:26" x14ac:dyDescent="0.2">
      <c r="A7" s="21"/>
      <c r="B7" s="2"/>
      <c r="C7" s="405"/>
      <c r="D7" s="405"/>
      <c r="E7" s="57"/>
      <c r="F7" s="57"/>
      <c r="G7" s="2"/>
      <c r="H7" s="2"/>
      <c r="I7" s="2"/>
      <c r="J7" s="2"/>
      <c r="K7" s="2"/>
      <c r="L7" s="2"/>
      <c r="M7" s="2"/>
      <c r="N7" s="2"/>
      <c r="O7" s="2"/>
      <c r="P7" s="2"/>
      <c r="Q7" s="2"/>
      <c r="R7" s="2"/>
      <c r="S7" s="2"/>
      <c r="T7" s="2"/>
      <c r="U7" s="2"/>
      <c r="V7" s="2"/>
      <c r="W7" s="2"/>
      <c r="X7" s="2"/>
      <c r="Y7" s="48"/>
      <c r="Z7" s="2"/>
    </row>
    <row r="8" spans="1:26" ht="18" x14ac:dyDescent="0.25">
      <c r="A8" s="30"/>
      <c r="B8" s="24"/>
      <c r="C8" s="58" t="str">
        <f>+CONCATENATE("Local Authority : ",VLOOKUP(F1,Part4,5,FALSE))</f>
        <v>Local Authority : England</v>
      </c>
      <c r="D8" s="58"/>
      <c r="E8" s="58"/>
      <c r="F8" s="58"/>
      <c r="G8" s="24"/>
      <c r="H8" s="24"/>
      <c r="I8" s="24"/>
      <c r="J8" s="24"/>
      <c r="K8" s="24"/>
      <c r="L8" s="24"/>
      <c r="M8" s="24"/>
      <c r="N8" s="24"/>
      <c r="O8" s="24"/>
      <c r="P8" s="24"/>
      <c r="Q8" s="24"/>
      <c r="R8" s="24"/>
      <c r="S8" s="24"/>
      <c r="T8" s="24"/>
      <c r="U8" s="24"/>
      <c r="V8" s="24"/>
      <c r="W8" s="24"/>
      <c r="X8" s="24"/>
      <c r="Y8" s="25"/>
      <c r="Z8" s="24"/>
    </row>
    <row r="9" spans="1:26" ht="15.75" x14ac:dyDescent="0.25">
      <c r="A9" s="28"/>
      <c r="B9" s="51"/>
      <c r="C9" s="51"/>
      <c r="D9" s="51"/>
      <c r="E9" s="51"/>
      <c r="F9" s="51"/>
      <c r="G9" s="29"/>
      <c r="H9" s="24"/>
      <c r="I9" s="24"/>
      <c r="J9" s="24"/>
      <c r="K9" s="24"/>
      <c r="L9" s="24"/>
      <c r="M9" s="24"/>
      <c r="N9" s="24"/>
      <c r="O9" s="24"/>
      <c r="P9" s="24"/>
      <c r="Q9" s="24"/>
      <c r="R9" s="24"/>
      <c r="S9" s="24"/>
      <c r="T9" s="24"/>
      <c r="U9" s="24"/>
      <c r="V9" s="24"/>
      <c r="W9" s="24"/>
      <c r="X9" s="24"/>
      <c r="Y9" s="25"/>
      <c r="Z9" s="24"/>
    </row>
    <row r="10" spans="1:26" ht="15.75" x14ac:dyDescent="0.25">
      <c r="A10" s="21"/>
      <c r="B10" s="2"/>
      <c r="C10" s="393" t="s">
        <v>915</v>
      </c>
      <c r="D10" s="393"/>
      <c r="E10" s="393"/>
      <c r="F10" s="393"/>
      <c r="G10" s="393"/>
      <c r="H10" s="393"/>
      <c r="I10" s="406"/>
      <c r="J10" s="406"/>
      <c r="K10" s="406"/>
      <c r="L10" s="406"/>
      <c r="M10" s="406"/>
      <c r="N10" s="406"/>
      <c r="O10" s="406"/>
      <c r="P10" s="406"/>
      <c r="Q10" s="8"/>
      <c r="R10" s="8"/>
      <c r="S10" s="8"/>
      <c r="T10" s="8"/>
      <c r="U10" s="8"/>
      <c r="V10" s="8"/>
      <c r="W10" s="8"/>
      <c r="X10" s="1"/>
      <c r="Y10" s="48"/>
      <c r="Z10" s="24"/>
    </row>
    <row r="11" spans="1:26" ht="15.75" x14ac:dyDescent="0.25">
      <c r="A11" s="21"/>
      <c r="B11" s="2"/>
      <c r="C11" s="11"/>
      <c r="D11" s="11"/>
      <c r="E11" s="11"/>
      <c r="F11" s="11"/>
      <c r="G11" s="11"/>
      <c r="H11" s="11"/>
      <c r="I11" s="8"/>
      <c r="J11" s="383" t="s">
        <v>545</v>
      </c>
      <c r="K11" s="383"/>
      <c r="L11" s="178"/>
      <c r="M11" s="178"/>
      <c r="N11" s="383" t="s">
        <v>546</v>
      </c>
      <c r="O11" s="383"/>
      <c r="P11" s="178"/>
      <c r="Q11" s="178"/>
      <c r="R11" s="383" t="s">
        <v>547</v>
      </c>
      <c r="S11" s="383"/>
      <c r="T11" s="178"/>
      <c r="U11" s="8"/>
      <c r="V11" s="383" t="s">
        <v>548</v>
      </c>
      <c r="W11" s="383"/>
      <c r="X11" s="1"/>
      <c r="Y11" s="48"/>
      <c r="Z11" s="24"/>
    </row>
    <row r="12" spans="1:26" ht="15.75" x14ac:dyDescent="0.25">
      <c r="A12" s="21"/>
      <c r="B12" s="2"/>
      <c r="C12" s="8"/>
      <c r="D12" s="8"/>
      <c r="E12" s="8"/>
      <c r="F12" s="8"/>
      <c r="G12" s="8"/>
      <c r="H12" s="8"/>
      <c r="I12" s="8"/>
      <c r="J12" s="389" t="s">
        <v>34</v>
      </c>
      <c r="K12" s="389"/>
      <c r="L12" s="13"/>
      <c r="M12" s="13"/>
      <c r="N12" s="378" t="s">
        <v>549</v>
      </c>
      <c r="O12" s="378"/>
      <c r="P12" s="13"/>
      <c r="Q12" s="13"/>
      <c r="R12" s="378" t="s">
        <v>550</v>
      </c>
      <c r="S12" s="378"/>
      <c r="T12" s="13"/>
      <c r="U12" s="8"/>
      <c r="V12" s="389" t="s">
        <v>33</v>
      </c>
      <c r="W12" s="389"/>
      <c r="X12" s="3"/>
      <c r="Y12" s="48"/>
      <c r="Z12" s="24"/>
    </row>
    <row r="13" spans="1:26" ht="15.75" x14ac:dyDescent="0.25">
      <c r="A13" s="21"/>
      <c r="B13" s="2"/>
      <c r="C13" s="8"/>
      <c r="D13" s="8"/>
      <c r="E13" s="8"/>
      <c r="F13" s="8"/>
      <c r="G13" s="8"/>
      <c r="H13" s="8"/>
      <c r="I13" s="8"/>
      <c r="J13" s="407"/>
      <c r="K13" s="407"/>
      <c r="L13" s="8"/>
      <c r="M13" s="8"/>
      <c r="N13" s="378"/>
      <c r="O13" s="378"/>
      <c r="P13" s="8"/>
      <c r="Q13" s="8"/>
      <c r="R13" s="378"/>
      <c r="S13" s="378"/>
      <c r="T13" s="8"/>
      <c r="U13" s="8"/>
      <c r="V13" s="389"/>
      <c r="W13" s="389"/>
      <c r="X13" s="2"/>
      <c r="Y13" s="48"/>
      <c r="Z13" s="24"/>
    </row>
    <row r="14" spans="1:26" ht="16.5" thickBot="1" x14ac:dyDescent="0.25">
      <c r="A14" s="21"/>
      <c r="B14" s="2"/>
      <c r="C14" s="70" t="s">
        <v>703</v>
      </c>
      <c r="D14" s="71"/>
      <c r="E14" s="71"/>
      <c r="F14" s="71"/>
      <c r="G14" s="71"/>
      <c r="H14" s="71"/>
      <c r="I14" s="8"/>
      <c r="J14" s="397" t="s">
        <v>542</v>
      </c>
      <c r="K14" s="398"/>
      <c r="L14" s="59"/>
      <c r="M14" s="59"/>
      <c r="N14" s="397" t="s">
        <v>542</v>
      </c>
      <c r="O14" s="398"/>
      <c r="P14" s="59"/>
      <c r="Q14" s="59"/>
      <c r="R14" s="397" t="s">
        <v>542</v>
      </c>
      <c r="S14" s="398"/>
      <c r="T14" s="59"/>
      <c r="U14" s="59"/>
      <c r="V14" s="399" t="s">
        <v>542</v>
      </c>
      <c r="W14" s="400"/>
      <c r="X14" s="2"/>
      <c r="Y14" s="48"/>
      <c r="Z14" s="24"/>
    </row>
    <row r="15" spans="1:26" ht="16.5" thickBot="1" x14ac:dyDescent="0.25">
      <c r="A15" s="21"/>
      <c r="B15" s="2"/>
      <c r="C15" s="71" t="s">
        <v>916</v>
      </c>
      <c r="D15" s="71"/>
      <c r="E15" s="71"/>
      <c r="F15" s="71"/>
      <c r="G15" s="71"/>
      <c r="H15" s="71"/>
      <c r="I15" s="8"/>
      <c r="J15" s="374">
        <f>VLOOKUP($F$1,Part4,6,FALSE)</f>
        <v>21885754140.899994</v>
      </c>
      <c r="K15" s="375"/>
      <c r="L15" s="59"/>
      <c r="M15" s="59"/>
      <c r="N15" s="374">
        <f>VLOOKUP($F$1,Part4,7,FALSE)</f>
        <v>7343012</v>
      </c>
      <c r="O15" s="375"/>
      <c r="P15" s="59"/>
      <c r="Q15" s="59"/>
      <c r="R15" s="374">
        <f>VLOOKUP($F$1,Part4,8,FALSE)</f>
        <v>73234035.620000005</v>
      </c>
      <c r="S15" s="375"/>
      <c r="T15" s="59"/>
      <c r="U15" s="59"/>
      <c r="V15" s="374">
        <f>VLOOKUP($F$1,Part4,9,FALSE)</f>
        <v>21966331188.599995</v>
      </c>
      <c r="W15" s="375"/>
      <c r="X15" s="2"/>
      <c r="Y15" s="48"/>
      <c r="Z15" s="24"/>
    </row>
    <row r="16" spans="1:26" ht="16.5" thickBot="1" x14ac:dyDescent="0.25">
      <c r="A16" s="21"/>
      <c r="B16" s="2"/>
      <c r="C16" s="218"/>
      <c r="D16" s="218"/>
      <c r="E16" s="218"/>
      <c r="F16" s="218"/>
      <c r="G16" s="218"/>
      <c r="H16" s="71"/>
      <c r="I16" s="8"/>
      <c r="J16" s="8"/>
      <c r="K16" s="8"/>
      <c r="L16" s="8"/>
      <c r="M16" s="8"/>
      <c r="N16" s="8"/>
      <c r="O16" s="8"/>
      <c r="P16" s="8"/>
      <c r="Q16" s="8"/>
      <c r="R16" s="8"/>
      <c r="S16" s="8"/>
      <c r="T16" s="8"/>
      <c r="U16" s="59"/>
      <c r="V16" s="73"/>
      <c r="W16" s="59"/>
      <c r="X16" s="2"/>
      <c r="Y16" s="48"/>
      <c r="Z16" s="24"/>
    </row>
    <row r="17" spans="1:26" ht="16.5" thickBot="1" x14ac:dyDescent="0.25">
      <c r="A17" s="21"/>
      <c r="B17" s="2"/>
      <c r="C17" s="71" t="s">
        <v>917</v>
      </c>
      <c r="D17" s="71"/>
      <c r="E17" s="71"/>
      <c r="F17" s="71"/>
      <c r="G17" s="71"/>
      <c r="H17" s="71"/>
      <c r="I17" s="8"/>
      <c r="J17" s="374">
        <f>VLOOKUP($F$1,Part4,10,FALSE)</f>
        <v>21916906180.620003</v>
      </c>
      <c r="K17" s="375"/>
      <c r="L17" s="59"/>
      <c r="M17" s="59"/>
      <c r="N17" s="374">
        <f>VLOOKUP($F$1,Part4,11,FALSE)</f>
        <v>7337586</v>
      </c>
      <c r="O17" s="375"/>
      <c r="P17" s="59"/>
      <c r="Q17" s="59"/>
      <c r="R17" s="374">
        <f>VLOOKUP($F$1,Part4,12,FALSE)</f>
        <v>73153400.010000005</v>
      </c>
      <c r="S17" s="375"/>
      <c r="T17" s="59"/>
      <c r="U17" s="59"/>
      <c r="V17" s="374">
        <f>VLOOKUP($F$1,Part4,13,FALSE)</f>
        <v>21997397166.620003</v>
      </c>
      <c r="W17" s="375"/>
      <c r="X17" s="2"/>
      <c r="Y17" s="48"/>
      <c r="Z17" s="24"/>
    </row>
    <row r="18" spans="1:26" ht="15.75" thickBot="1" x14ac:dyDescent="0.25">
      <c r="A18" s="21"/>
      <c r="B18" s="2"/>
      <c r="C18" s="71"/>
      <c r="D18" s="71"/>
      <c r="E18" s="71"/>
      <c r="F18" s="71"/>
      <c r="G18" s="71"/>
      <c r="H18" s="71"/>
      <c r="I18" s="8"/>
      <c r="J18" s="59"/>
      <c r="K18" s="59"/>
      <c r="L18" s="59"/>
      <c r="M18" s="59"/>
      <c r="N18" s="59"/>
      <c r="O18" s="59"/>
      <c r="P18" s="59"/>
      <c r="Q18" s="59"/>
      <c r="R18" s="59"/>
      <c r="S18" s="59"/>
      <c r="T18" s="59"/>
      <c r="U18" s="59"/>
      <c r="V18" s="59"/>
      <c r="W18" s="59"/>
      <c r="X18" s="2"/>
      <c r="Y18" s="48"/>
      <c r="Z18" s="24"/>
    </row>
    <row r="19" spans="1:26" ht="16.5" thickBot="1" x14ac:dyDescent="0.25">
      <c r="A19" s="21"/>
      <c r="B19" s="2"/>
      <c r="C19" s="360" t="s">
        <v>918</v>
      </c>
      <c r="D19" s="408"/>
      <c r="E19" s="408"/>
      <c r="F19" s="408"/>
      <c r="G19" s="408"/>
      <c r="H19" s="408"/>
      <c r="I19" s="8"/>
      <c r="J19" s="374">
        <f>VLOOKUP($F$1,Part4,14,FALSE)</f>
        <v>-33659543.540000007</v>
      </c>
      <c r="K19" s="375"/>
      <c r="L19" s="59"/>
      <c r="M19" s="59"/>
      <c r="N19" s="374">
        <f>VLOOKUP($F$1,Part4,15,FALSE)</f>
        <v>5426</v>
      </c>
      <c r="O19" s="375"/>
      <c r="P19" s="59"/>
      <c r="Q19" s="59"/>
      <c r="R19" s="374">
        <f>VLOOKUP($F$1,Part4,16,FALSE)</f>
        <v>80635.610000000015</v>
      </c>
      <c r="S19" s="375"/>
      <c r="T19" s="59"/>
      <c r="U19" s="59"/>
      <c r="V19" s="374">
        <f>VLOOKUP($F$1,Part4,17,FALSE)</f>
        <v>-33573481.910000004</v>
      </c>
      <c r="W19" s="375"/>
      <c r="X19" s="2"/>
      <c r="Y19" s="48"/>
      <c r="Z19" s="24"/>
    </row>
    <row r="20" spans="1:26" ht="15" x14ac:dyDescent="0.2">
      <c r="A20" s="21"/>
      <c r="B20" s="2"/>
      <c r="C20" s="408"/>
      <c r="D20" s="408"/>
      <c r="E20" s="408"/>
      <c r="F20" s="408"/>
      <c r="G20" s="408"/>
      <c r="H20" s="408"/>
      <c r="I20" s="2"/>
      <c r="J20" s="2"/>
      <c r="K20" s="2"/>
      <c r="L20" s="2"/>
      <c r="M20" s="2"/>
      <c r="N20" s="2"/>
      <c r="O20" s="2"/>
      <c r="P20" s="2"/>
      <c r="Q20" s="2"/>
      <c r="R20" s="2"/>
      <c r="S20" s="2"/>
      <c r="T20" s="2"/>
      <c r="U20" s="2"/>
      <c r="V20" s="2"/>
      <c r="W20" s="2"/>
      <c r="X20" s="2"/>
      <c r="Y20" s="48"/>
      <c r="Z20" s="24"/>
    </row>
    <row r="21" spans="1:26" ht="15.75" thickBot="1" x14ac:dyDescent="0.25">
      <c r="A21" s="21"/>
      <c r="B21" s="2"/>
      <c r="C21" s="218"/>
      <c r="D21" s="218"/>
      <c r="E21" s="218"/>
      <c r="F21" s="218"/>
      <c r="G21" s="218"/>
      <c r="H21" s="218"/>
      <c r="I21" s="2"/>
      <c r="J21" s="2"/>
      <c r="K21" s="2"/>
      <c r="L21" s="2"/>
      <c r="M21" s="2"/>
      <c r="N21" s="2"/>
      <c r="O21" s="2"/>
      <c r="P21" s="2"/>
      <c r="Q21" s="2"/>
      <c r="R21" s="2"/>
      <c r="S21" s="2"/>
      <c r="T21" s="2"/>
      <c r="U21" s="2"/>
      <c r="V21" s="2"/>
      <c r="W21" s="2"/>
      <c r="X21" s="2"/>
      <c r="Y21" s="48"/>
      <c r="Z21" s="24"/>
    </row>
    <row r="22" spans="1:26" ht="16.5" thickBot="1" x14ac:dyDescent="0.25">
      <c r="A22" s="21"/>
      <c r="B22" s="2"/>
      <c r="C22" s="360" t="s">
        <v>919</v>
      </c>
      <c r="D22" s="360"/>
      <c r="E22" s="360"/>
      <c r="F22" s="360"/>
      <c r="G22" s="360"/>
      <c r="H22" s="71"/>
      <c r="I22" s="8"/>
      <c r="J22" s="374">
        <f>VLOOKUP($F$1,Part4,18,FALSE)</f>
        <v>116964773.45</v>
      </c>
      <c r="K22" s="375"/>
      <c r="L22" s="59"/>
      <c r="M22" s="59"/>
      <c r="N22" s="374">
        <f>VLOOKUP($F$1,Part4,19,FALSE)</f>
        <v>0</v>
      </c>
      <c r="O22" s="375"/>
      <c r="P22" s="59"/>
      <c r="Q22" s="59"/>
      <c r="R22" s="374">
        <f>VLOOKUP($F$1,Part4,20,FALSE)</f>
        <v>-770.25</v>
      </c>
      <c r="S22" s="375"/>
      <c r="T22" s="59"/>
      <c r="U22" s="59"/>
      <c r="V22" s="374">
        <f>VLOOKUP($F$1,Part4,21,FALSE)</f>
        <v>116964002</v>
      </c>
      <c r="W22" s="375"/>
      <c r="X22" s="2"/>
      <c r="Y22" s="48"/>
      <c r="Z22" s="24"/>
    </row>
    <row r="23" spans="1:26" ht="15.75" x14ac:dyDescent="0.2">
      <c r="A23" s="21"/>
      <c r="B23" s="2"/>
      <c r="C23" s="373"/>
      <c r="D23" s="373"/>
      <c r="E23" s="373"/>
      <c r="F23" s="373"/>
      <c r="G23" s="373"/>
      <c r="H23" s="71"/>
      <c r="I23" s="8"/>
      <c r="J23" s="73"/>
      <c r="K23" s="59"/>
      <c r="L23" s="59"/>
      <c r="M23" s="59"/>
      <c r="N23" s="73"/>
      <c r="O23" s="59"/>
      <c r="P23" s="59"/>
      <c r="Q23" s="59"/>
      <c r="R23" s="73"/>
      <c r="S23" s="59"/>
      <c r="T23" s="59"/>
      <c r="U23" s="59"/>
      <c r="V23" s="73"/>
      <c r="W23" s="59"/>
      <c r="X23" s="2"/>
      <c r="Y23" s="48"/>
      <c r="Z23" s="24"/>
    </row>
    <row r="24" spans="1:26" ht="16.5" thickBot="1" x14ac:dyDescent="0.25">
      <c r="A24" s="21"/>
      <c r="B24" s="2"/>
      <c r="C24" s="160"/>
      <c r="D24" s="160"/>
      <c r="E24" s="160"/>
      <c r="F24" s="160"/>
      <c r="G24" s="160"/>
      <c r="H24" s="71"/>
      <c r="I24" s="8"/>
      <c r="J24" s="73"/>
      <c r="K24" s="59"/>
      <c r="L24" s="59"/>
      <c r="M24" s="59"/>
      <c r="N24" s="73"/>
      <c r="O24" s="59"/>
      <c r="P24" s="59"/>
      <c r="Q24" s="59"/>
      <c r="R24" s="73"/>
      <c r="S24" s="59"/>
      <c r="T24" s="59"/>
      <c r="U24" s="59"/>
      <c r="V24" s="73"/>
      <c r="W24" s="59"/>
      <c r="X24" s="2"/>
      <c r="Y24" s="48"/>
      <c r="Z24" s="24"/>
    </row>
    <row r="25" spans="1:26" ht="16.5" thickBot="1" x14ac:dyDescent="0.25">
      <c r="A25" s="21"/>
      <c r="B25" s="2"/>
      <c r="C25" s="71" t="s">
        <v>920</v>
      </c>
      <c r="D25" s="71"/>
      <c r="E25" s="71"/>
      <c r="F25" s="71"/>
      <c r="G25" s="71"/>
      <c r="H25" s="71"/>
      <c r="I25" s="8"/>
      <c r="J25" s="374">
        <f>VLOOKUP($F$1,Part4,22,FALSE)</f>
        <v>-150678687</v>
      </c>
      <c r="K25" s="375"/>
      <c r="L25" s="59"/>
      <c r="M25" s="59"/>
      <c r="N25" s="374">
        <f>VLOOKUP($F$1,Part4,23,FALSE)</f>
        <v>5426</v>
      </c>
      <c r="O25" s="375"/>
      <c r="P25" s="59"/>
      <c r="Q25" s="59"/>
      <c r="R25" s="374">
        <f>VLOOKUP($F$1,Part4,24,FALSE)</f>
        <v>81406</v>
      </c>
      <c r="S25" s="375"/>
      <c r="T25" s="59"/>
      <c r="U25" s="59"/>
      <c r="V25" s="374">
        <f>VLOOKUP($F$1,Part4,25,FALSE)</f>
        <v>-150591854.82999998</v>
      </c>
      <c r="W25" s="375"/>
      <c r="X25" s="2"/>
      <c r="Y25" s="48"/>
      <c r="Z25" s="24"/>
    </row>
    <row r="26" spans="1:26" ht="15" x14ac:dyDescent="0.2">
      <c r="A26" s="21"/>
      <c r="B26" s="2"/>
      <c r="C26" s="71"/>
      <c r="D26" s="71"/>
      <c r="E26" s="71"/>
      <c r="F26" s="71"/>
      <c r="G26" s="71"/>
      <c r="H26" s="71"/>
      <c r="I26" s="71"/>
      <c r="J26" s="71"/>
      <c r="K26" s="71"/>
      <c r="L26" s="71"/>
      <c r="M26" s="71"/>
      <c r="N26" s="71"/>
      <c r="O26" s="71"/>
      <c r="P26" s="71"/>
      <c r="Q26" s="71"/>
      <c r="R26" s="71"/>
      <c r="S26" s="71"/>
      <c r="T26" s="71"/>
      <c r="U26" s="71"/>
      <c r="V26" s="71"/>
      <c r="W26" s="71"/>
      <c r="X26" s="2"/>
      <c r="Y26" s="48"/>
      <c r="Z26" s="24"/>
    </row>
    <row r="27" spans="1:26" ht="15.75" x14ac:dyDescent="0.2">
      <c r="A27" s="21"/>
      <c r="B27" s="2"/>
      <c r="C27" s="70" t="s">
        <v>921</v>
      </c>
      <c r="D27" s="218"/>
      <c r="E27" s="218"/>
      <c r="F27" s="218"/>
      <c r="G27" s="218"/>
      <c r="H27" s="218"/>
      <c r="I27" s="2"/>
      <c r="J27" s="2"/>
      <c r="K27" s="2"/>
      <c r="L27" s="2"/>
      <c r="M27" s="2"/>
      <c r="N27" s="2"/>
      <c r="O27" s="2"/>
      <c r="P27" s="2"/>
      <c r="Q27" s="2"/>
      <c r="R27" s="2"/>
      <c r="S27" s="2"/>
      <c r="T27" s="2"/>
      <c r="U27" s="2"/>
      <c r="V27" s="2"/>
      <c r="W27" s="2"/>
      <c r="X27" s="2"/>
      <c r="Y27" s="48"/>
      <c r="Z27" s="24"/>
    </row>
    <row r="28" spans="1:26" ht="16.5" thickBot="1" x14ac:dyDescent="0.25">
      <c r="A28" s="21"/>
      <c r="B28" s="2"/>
      <c r="C28" s="70" t="s">
        <v>922</v>
      </c>
      <c r="D28" s="71"/>
      <c r="E28" s="71"/>
      <c r="F28" s="71"/>
      <c r="G28" s="71"/>
      <c r="H28" s="71"/>
      <c r="I28" s="8"/>
      <c r="J28" s="2"/>
      <c r="K28" s="2"/>
      <c r="L28" s="2"/>
      <c r="M28" s="2"/>
      <c r="N28" s="2"/>
      <c r="O28" s="2"/>
      <c r="P28" s="2"/>
      <c r="Q28" s="2"/>
      <c r="R28" s="2"/>
      <c r="S28" s="2"/>
      <c r="T28" s="59"/>
      <c r="U28" s="59"/>
      <c r="V28" s="59"/>
      <c r="W28" s="59"/>
      <c r="X28" s="2"/>
      <c r="Y28" s="48"/>
      <c r="Z28" s="24"/>
    </row>
    <row r="29" spans="1:26" ht="16.5" thickBot="1" x14ac:dyDescent="0.25">
      <c r="A29" s="21"/>
      <c r="B29" s="2"/>
      <c r="C29" s="71" t="s">
        <v>923</v>
      </c>
      <c r="D29" s="71"/>
      <c r="E29" s="71"/>
      <c r="F29" s="71"/>
      <c r="G29" s="71"/>
      <c r="H29" s="71"/>
      <c r="I29" s="8"/>
      <c r="J29" s="2"/>
      <c r="K29" s="2"/>
      <c r="L29" s="2"/>
      <c r="M29" s="2"/>
      <c r="N29" s="2"/>
      <c r="O29" s="2"/>
      <c r="P29" s="2"/>
      <c r="Q29" s="2"/>
      <c r="R29" s="2"/>
      <c r="S29" s="2"/>
      <c r="T29" s="59"/>
      <c r="U29" s="59"/>
      <c r="V29" s="374">
        <f>VLOOKUP($F$1,Part4,26,FALSE)</f>
        <v>84126680</v>
      </c>
      <c r="W29" s="375"/>
      <c r="X29" s="2"/>
      <c r="Y29" s="48"/>
      <c r="Z29" s="24"/>
    </row>
    <row r="30" spans="1:26" ht="15.75" thickBot="1" x14ac:dyDescent="0.25">
      <c r="A30" s="21"/>
      <c r="B30" s="2"/>
      <c r="C30" s="71"/>
      <c r="D30" s="71"/>
      <c r="E30" s="71"/>
      <c r="F30" s="71"/>
      <c r="G30" s="71"/>
      <c r="H30" s="71"/>
      <c r="I30" s="8"/>
      <c r="J30" s="2"/>
      <c r="K30" s="2"/>
      <c r="L30" s="2"/>
      <c r="M30" s="2"/>
      <c r="N30" s="2"/>
      <c r="O30" s="2"/>
      <c r="P30" s="2"/>
      <c r="Q30" s="2"/>
      <c r="R30" s="2"/>
      <c r="S30" s="2"/>
      <c r="T30" s="59"/>
      <c r="U30" s="59"/>
      <c r="V30" s="8"/>
      <c r="W30" s="8"/>
      <c r="X30" s="2"/>
      <c r="Y30" s="48"/>
      <c r="Z30" s="24"/>
    </row>
    <row r="31" spans="1:26" ht="16.149999999999999" customHeight="1" thickBot="1" x14ac:dyDescent="0.25">
      <c r="A31" s="21"/>
      <c r="B31" s="2"/>
      <c r="C31" s="71" t="s">
        <v>924</v>
      </c>
      <c r="D31" s="71"/>
      <c r="E31" s="71"/>
      <c r="F31" s="71"/>
      <c r="G31" s="71"/>
      <c r="H31" s="71"/>
      <c r="I31" s="8"/>
      <c r="J31" s="2"/>
      <c r="K31" s="2"/>
      <c r="L31" s="2"/>
      <c r="M31" s="2"/>
      <c r="N31" s="2"/>
      <c r="O31" s="2"/>
      <c r="P31" s="2"/>
      <c r="Q31" s="2"/>
      <c r="R31" s="2"/>
      <c r="S31" s="2"/>
      <c r="T31" s="59"/>
      <c r="U31" s="59"/>
      <c r="V31" s="374">
        <f>VLOOKUP($F$1,Part4,27,FALSE)</f>
        <v>84001481</v>
      </c>
      <c r="W31" s="375"/>
      <c r="X31" s="2"/>
      <c r="Y31" s="48"/>
      <c r="Z31" s="24"/>
    </row>
    <row r="32" spans="1:26" ht="16.5" thickBot="1" x14ac:dyDescent="0.25">
      <c r="A32" s="21"/>
      <c r="B32" s="8"/>
      <c r="C32" s="71"/>
      <c r="D32" s="71"/>
      <c r="E32" s="71"/>
      <c r="F32" s="71"/>
      <c r="G32" s="71"/>
      <c r="H32" s="71"/>
      <c r="I32" s="8"/>
      <c r="J32" s="2"/>
      <c r="K32" s="2"/>
      <c r="L32" s="2"/>
      <c r="M32" s="2"/>
      <c r="N32" s="2"/>
      <c r="O32" s="2"/>
      <c r="P32" s="2"/>
      <c r="Q32" s="2"/>
      <c r="R32" s="2"/>
      <c r="S32" s="2"/>
      <c r="T32" s="59"/>
      <c r="U32" s="59"/>
      <c r="V32" s="73"/>
      <c r="W32" s="59"/>
      <c r="X32" s="2"/>
      <c r="Y32" s="48"/>
      <c r="Z32" s="24"/>
    </row>
    <row r="33" spans="1:26" ht="16.5" thickBot="1" x14ac:dyDescent="0.25">
      <c r="A33" s="21"/>
      <c r="B33" s="2"/>
      <c r="C33" s="71" t="s">
        <v>925</v>
      </c>
      <c r="D33" s="71"/>
      <c r="E33" s="71"/>
      <c r="F33" s="71"/>
      <c r="G33" s="71"/>
      <c r="H33" s="71"/>
      <c r="I33" s="8"/>
      <c r="J33" s="2"/>
      <c r="K33" s="2"/>
      <c r="L33" s="2"/>
      <c r="M33" s="2"/>
      <c r="N33" s="2"/>
      <c r="O33" s="2"/>
      <c r="P33" s="2"/>
      <c r="Q33" s="2"/>
      <c r="R33" s="2"/>
      <c r="S33" s="2"/>
      <c r="T33" s="59"/>
      <c r="U33" s="59"/>
      <c r="V33" s="374">
        <f>VLOOKUP($F$1,Part4,28,FALSE)</f>
        <v>125199</v>
      </c>
      <c r="W33" s="375"/>
      <c r="X33" s="2"/>
      <c r="Y33" s="48"/>
      <c r="Z33" s="24"/>
    </row>
    <row r="34" spans="1:26" ht="15" x14ac:dyDescent="0.2">
      <c r="A34" s="21"/>
      <c r="B34" s="2"/>
      <c r="C34" s="71"/>
      <c r="D34" s="71"/>
      <c r="E34" s="71"/>
      <c r="F34" s="71"/>
      <c r="G34" s="71"/>
      <c r="H34" s="71"/>
      <c r="I34" s="8"/>
      <c r="J34" s="2"/>
      <c r="K34" s="2"/>
      <c r="L34" s="2"/>
      <c r="M34" s="2"/>
      <c r="N34" s="2"/>
      <c r="O34" s="2"/>
      <c r="P34" s="2"/>
      <c r="Q34" s="2"/>
      <c r="R34" s="2"/>
      <c r="S34" s="2"/>
      <c r="T34" s="59"/>
      <c r="U34" s="59"/>
      <c r="V34" s="59"/>
      <c r="W34" s="59"/>
      <c r="X34" s="2"/>
      <c r="Y34" s="48"/>
      <c r="Z34" s="24"/>
    </row>
    <row r="35" spans="1:26" ht="16.5" thickBot="1" x14ac:dyDescent="0.25">
      <c r="A35" s="21"/>
      <c r="B35" s="2"/>
      <c r="C35" s="70" t="s">
        <v>926</v>
      </c>
      <c r="D35" s="71"/>
      <c r="E35" s="71"/>
      <c r="F35" s="71"/>
      <c r="G35" s="71"/>
      <c r="H35" s="71"/>
      <c r="I35" s="8"/>
      <c r="J35" s="2"/>
      <c r="K35" s="2"/>
      <c r="L35" s="2"/>
      <c r="M35" s="2"/>
      <c r="N35" s="2"/>
      <c r="O35" s="2"/>
      <c r="P35" s="2"/>
      <c r="Q35" s="2"/>
      <c r="R35" s="2"/>
      <c r="S35" s="2"/>
      <c r="T35" s="59"/>
      <c r="U35" s="59"/>
      <c r="V35" s="59"/>
      <c r="W35" s="59"/>
      <c r="X35" s="2"/>
      <c r="Y35" s="48"/>
      <c r="Z35" s="24"/>
    </row>
    <row r="36" spans="1:26" ht="16.5" thickBot="1" x14ac:dyDescent="0.25">
      <c r="A36" s="21"/>
      <c r="B36" s="2"/>
      <c r="C36" s="71" t="s">
        <v>927</v>
      </c>
      <c r="D36" s="71"/>
      <c r="E36" s="71"/>
      <c r="F36" s="71"/>
      <c r="G36" s="71"/>
      <c r="H36" s="71"/>
      <c r="I36" s="8"/>
      <c r="J36" s="2"/>
      <c r="K36" s="2"/>
      <c r="L36" s="2"/>
      <c r="M36" s="2"/>
      <c r="N36" s="2"/>
      <c r="O36" s="2"/>
      <c r="P36" s="2"/>
      <c r="Q36" s="2"/>
      <c r="R36" s="2"/>
      <c r="S36" s="2"/>
      <c r="T36" s="59"/>
      <c r="U36" s="59"/>
      <c r="V36" s="374">
        <f>VLOOKUP($F$1,Part4,29,FALSE)</f>
        <v>2727861</v>
      </c>
      <c r="W36" s="375"/>
      <c r="X36" s="2"/>
      <c r="Y36" s="48"/>
      <c r="Z36" s="24"/>
    </row>
    <row r="37" spans="1:26" ht="16.149999999999999" customHeight="1" thickBot="1" x14ac:dyDescent="0.25">
      <c r="A37" s="21"/>
      <c r="B37" s="2"/>
      <c r="C37" s="71"/>
      <c r="D37" s="71"/>
      <c r="E37" s="71"/>
      <c r="F37" s="71"/>
      <c r="G37" s="71"/>
      <c r="H37" s="71"/>
      <c r="I37" s="8"/>
      <c r="J37" s="2"/>
      <c r="K37" s="2"/>
      <c r="L37" s="2"/>
      <c r="M37" s="2"/>
      <c r="N37" s="2"/>
      <c r="O37" s="2"/>
      <c r="P37" s="2"/>
      <c r="Q37" s="2"/>
      <c r="R37" s="2"/>
      <c r="S37" s="2"/>
      <c r="T37" s="59"/>
      <c r="U37" s="59"/>
      <c r="V37" s="8"/>
      <c r="W37" s="8"/>
      <c r="X37" s="2"/>
      <c r="Y37" s="48"/>
      <c r="Z37" s="24"/>
    </row>
    <row r="38" spans="1:26" ht="16.5" thickBot="1" x14ac:dyDescent="0.25">
      <c r="A38" s="21"/>
      <c r="B38" s="2"/>
      <c r="C38" s="71" t="s">
        <v>928</v>
      </c>
      <c r="D38" s="71"/>
      <c r="E38" s="71"/>
      <c r="F38" s="71"/>
      <c r="G38" s="71"/>
      <c r="H38" s="71"/>
      <c r="I38" s="8"/>
      <c r="J38" s="2"/>
      <c r="K38" s="2"/>
      <c r="L38" s="2"/>
      <c r="M38" s="2"/>
      <c r="N38" s="2"/>
      <c r="O38" s="2"/>
      <c r="P38" s="2"/>
      <c r="Q38" s="2"/>
      <c r="R38" s="2"/>
      <c r="S38" s="2"/>
      <c r="T38" s="59"/>
      <c r="U38" s="59"/>
      <c r="V38" s="374">
        <f>VLOOKUP($F$1,Part4,30,FALSE)</f>
        <v>4462117</v>
      </c>
      <c r="W38" s="375"/>
      <c r="X38" s="2"/>
      <c r="Y38" s="48"/>
      <c r="Z38" s="24"/>
    </row>
    <row r="39" spans="1:26" ht="16.5" thickBot="1" x14ac:dyDescent="0.25">
      <c r="A39" s="21"/>
      <c r="B39" s="8"/>
      <c r="C39" s="71"/>
      <c r="D39" s="71"/>
      <c r="E39" s="71"/>
      <c r="F39" s="71"/>
      <c r="G39" s="71"/>
      <c r="H39" s="71"/>
      <c r="I39" s="8"/>
      <c r="J39" s="2"/>
      <c r="K39" s="2"/>
      <c r="L39" s="2"/>
      <c r="M39" s="2"/>
      <c r="N39" s="2"/>
      <c r="O39" s="2"/>
      <c r="P39" s="2"/>
      <c r="Q39" s="2"/>
      <c r="R39" s="2"/>
      <c r="S39" s="2"/>
      <c r="T39" s="59"/>
      <c r="U39" s="59"/>
      <c r="V39" s="73"/>
      <c r="W39" s="59"/>
      <c r="X39" s="2"/>
      <c r="Y39" s="48"/>
      <c r="Z39" s="24"/>
    </row>
    <row r="40" spans="1:26" ht="16.5" thickBot="1" x14ac:dyDescent="0.25">
      <c r="A40" s="21"/>
      <c r="B40" s="2"/>
      <c r="C40" s="71" t="s">
        <v>929</v>
      </c>
      <c r="D40" s="71"/>
      <c r="E40" s="71"/>
      <c r="F40" s="71"/>
      <c r="G40" s="71"/>
      <c r="H40" s="71"/>
      <c r="I40" s="8"/>
      <c r="J40" s="2"/>
      <c r="K40" s="2"/>
      <c r="L40" s="2"/>
      <c r="M40" s="2"/>
      <c r="N40" s="2"/>
      <c r="O40" s="2"/>
      <c r="P40" s="2"/>
      <c r="Q40" s="2"/>
      <c r="R40" s="2"/>
      <c r="S40" s="2"/>
      <c r="T40" s="59"/>
      <c r="U40" s="59"/>
      <c r="V40" s="374">
        <f>VLOOKUP($F$1,Part4,31,FALSE)</f>
        <v>-1734256</v>
      </c>
      <c r="W40" s="375"/>
      <c r="X40" s="2"/>
      <c r="Y40" s="48"/>
      <c r="Z40" s="24"/>
    </row>
    <row r="41" spans="1:26" ht="15.75" x14ac:dyDescent="0.2">
      <c r="A41" s="21"/>
      <c r="B41" s="2"/>
      <c r="C41" s="71"/>
      <c r="D41" s="71"/>
      <c r="E41" s="71"/>
      <c r="F41" s="71"/>
      <c r="G41" s="71"/>
      <c r="H41" s="71"/>
      <c r="I41" s="8"/>
      <c r="J41" s="2"/>
      <c r="K41" s="2"/>
      <c r="L41" s="2"/>
      <c r="M41" s="2"/>
      <c r="N41" s="2"/>
      <c r="O41" s="2"/>
      <c r="P41" s="2"/>
      <c r="Q41" s="2"/>
      <c r="R41" s="2"/>
      <c r="S41" s="2"/>
      <c r="T41" s="59"/>
      <c r="U41" s="59"/>
      <c r="V41" s="73"/>
      <c r="W41" s="59"/>
      <c r="X41" s="2"/>
      <c r="Y41" s="48"/>
      <c r="Z41" s="24"/>
    </row>
    <row r="42" spans="1:26" ht="16.5" thickBot="1" x14ac:dyDescent="0.25">
      <c r="A42" s="21"/>
      <c r="B42" s="2"/>
      <c r="C42" s="70" t="s">
        <v>930</v>
      </c>
      <c r="D42" s="71"/>
      <c r="E42" s="71"/>
      <c r="F42" s="71"/>
      <c r="G42" s="71"/>
      <c r="H42" s="71"/>
      <c r="I42" s="8"/>
      <c r="J42" s="2"/>
      <c r="K42" s="2"/>
      <c r="L42" s="2"/>
      <c r="M42" s="2"/>
      <c r="N42" s="2"/>
      <c r="O42" s="2"/>
      <c r="P42" s="2"/>
      <c r="Q42" s="2"/>
      <c r="R42" s="2"/>
      <c r="S42" s="2"/>
      <c r="T42" s="59"/>
      <c r="U42" s="59"/>
      <c r="V42" s="59"/>
      <c r="W42" s="59"/>
      <c r="X42" s="2"/>
      <c r="Y42" s="48"/>
      <c r="Z42" s="24"/>
    </row>
    <row r="43" spans="1:26" ht="16.5" thickBot="1" x14ac:dyDescent="0.25">
      <c r="A43" s="21"/>
      <c r="B43" s="2"/>
      <c r="C43" s="71" t="s">
        <v>931</v>
      </c>
      <c r="D43" s="71"/>
      <c r="E43" s="71"/>
      <c r="F43" s="71"/>
      <c r="G43" s="71"/>
      <c r="H43" s="71"/>
      <c r="I43" s="8"/>
      <c r="J43" s="2"/>
      <c r="K43" s="2"/>
      <c r="L43" s="2"/>
      <c r="M43" s="2"/>
      <c r="N43" s="2"/>
      <c r="O43" s="2"/>
      <c r="P43" s="2"/>
      <c r="Q43" s="2"/>
      <c r="R43" s="2"/>
      <c r="S43" s="2"/>
      <c r="T43" s="59"/>
      <c r="U43" s="59"/>
      <c r="V43" s="374">
        <f>VLOOKUP($F$1,Part4,32,FALSE)</f>
        <v>1132971</v>
      </c>
      <c r="W43" s="375"/>
      <c r="X43" s="2"/>
      <c r="Y43" s="48"/>
      <c r="Z43" s="24"/>
    </row>
    <row r="44" spans="1:26" ht="15.75" thickBot="1" x14ac:dyDescent="0.25">
      <c r="A44" s="21"/>
      <c r="B44" s="2"/>
      <c r="C44" s="71"/>
      <c r="D44" s="71"/>
      <c r="E44" s="71"/>
      <c r="F44" s="71"/>
      <c r="G44" s="71"/>
      <c r="H44" s="71"/>
      <c r="I44" s="8"/>
      <c r="J44" s="2"/>
      <c r="K44" s="2"/>
      <c r="L44" s="2"/>
      <c r="M44" s="2"/>
      <c r="N44" s="2"/>
      <c r="O44" s="2"/>
      <c r="P44" s="2"/>
      <c r="Q44" s="2"/>
      <c r="R44" s="2"/>
      <c r="S44" s="2"/>
      <c r="T44" s="59"/>
      <c r="U44" s="59"/>
      <c r="V44" s="8"/>
      <c r="W44" s="8"/>
      <c r="X44" s="2"/>
      <c r="Y44" s="48"/>
      <c r="Z44" s="24"/>
    </row>
    <row r="45" spans="1:26" ht="16.5" thickBot="1" x14ac:dyDescent="0.25">
      <c r="A45" s="21"/>
      <c r="B45" s="2"/>
      <c r="C45" s="71" t="s">
        <v>932</v>
      </c>
      <c r="D45" s="71"/>
      <c r="E45" s="71"/>
      <c r="F45" s="71"/>
      <c r="G45" s="71"/>
      <c r="H45" s="71"/>
      <c r="I45" s="8"/>
      <c r="J45" s="2"/>
      <c r="K45" s="2"/>
      <c r="L45" s="2"/>
      <c r="M45" s="2"/>
      <c r="N45" s="2"/>
      <c r="O45" s="2"/>
      <c r="P45" s="2"/>
      <c r="Q45" s="2"/>
      <c r="R45" s="2"/>
      <c r="S45" s="2"/>
      <c r="T45" s="59"/>
      <c r="U45" s="59"/>
      <c r="V45" s="374">
        <f>VLOOKUP($F$1,Part4,33,FALSE)</f>
        <v>152225</v>
      </c>
      <c r="W45" s="375"/>
      <c r="X45" s="2"/>
      <c r="Y45" s="48"/>
      <c r="Z45" s="24"/>
    </row>
    <row r="46" spans="1:26" ht="16.5" thickBot="1" x14ac:dyDescent="0.25">
      <c r="A46" s="21"/>
      <c r="B46" s="2"/>
      <c r="C46" s="71"/>
      <c r="D46" s="71"/>
      <c r="E46" s="71"/>
      <c r="F46" s="71"/>
      <c r="G46" s="71"/>
      <c r="H46" s="71"/>
      <c r="I46" s="8"/>
      <c r="J46" s="2"/>
      <c r="K46" s="2"/>
      <c r="L46" s="2"/>
      <c r="M46" s="2"/>
      <c r="N46" s="2"/>
      <c r="O46" s="2"/>
      <c r="P46" s="2"/>
      <c r="Q46" s="2"/>
      <c r="R46" s="2"/>
      <c r="S46" s="2"/>
      <c r="T46" s="59"/>
      <c r="U46" s="59"/>
      <c r="V46" s="73"/>
      <c r="W46" s="59"/>
      <c r="X46" s="2"/>
      <c r="Y46" s="48"/>
      <c r="Z46" s="24"/>
    </row>
    <row r="47" spans="1:26" ht="16.5" thickBot="1" x14ac:dyDescent="0.25">
      <c r="A47" s="21"/>
      <c r="B47" s="2"/>
      <c r="C47" s="71" t="s">
        <v>933</v>
      </c>
      <c r="D47" s="71"/>
      <c r="E47" s="71"/>
      <c r="F47" s="71"/>
      <c r="G47" s="71"/>
      <c r="H47" s="71"/>
      <c r="I47" s="8"/>
      <c r="J47" s="2"/>
      <c r="K47" s="2"/>
      <c r="L47" s="2"/>
      <c r="M47" s="2"/>
      <c r="N47" s="2"/>
      <c r="O47" s="2"/>
      <c r="P47" s="2"/>
      <c r="Q47" s="2"/>
      <c r="R47" s="2"/>
      <c r="S47" s="2"/>
      <c r="T47" s="59"/>
      <c r="U47" s="59"/>
      <c r="V47" s="374">
        <f>VLOOKUP($F$1,Part4,34,FALSE)</f>
        <v>980746</v>
      </c>
      <c r="W47" s="375"/>
      <c r="X47" s="2"/>
      <c r="Y47" s="48"/>
      <c r="Z47" s="24"/>
    </row>
    <row r="48" spans="1:26" ht="15.75" x14ac:dyDescent="0.2">
      <c r="A48" s="21"/>
      <c r="B48" s="2"/>
      <c r="C48" s="70"/>
      <c r="D48" s="71"/>
      <c r="E48" s="71"/>
      <c r="F48" s="71"/>
      <c r="G48" s="71"/>
      <c r="H48" s="71"/>
      <c r="I48" s="8"/>
      <c r="J48" s="2"/>
      <c r="K48" s="2"/>
      <c r="L48" s="2"/>
      <c r="M48" s="2"/>
      <c r="N48" s="2"/>
      <c r="O48" s="2"/>
      <c r="P48" s="2"/>
      <c r="Q48" s="2"/>
      <c r="R48" s="2"/>
      <c r="S48" s="2"/>
      <c r="T48" s="59"/>
      <c r="U48" s="59"/>
      <c r="V48" s="59"/>
      <c r="W48" s="59"/>
      <c r="X48" s="2"/>
      <c r="Y48" s="48"/>
      <c r="Z48" s="24"/>
    </row>
    <row r="49" spans="1:26" ht="16.5" thickBot="1" x14ac:dyDescent="0.25">
      <c r="A49" s="21"/>
      <c r="B49" s="2"/>
      <c r="C49" s="70" t="s">
        <v>934</v>
      </c>
      <c r="D49" s="71"/>
      <c r="E49" s="71"/>
      <c r="F49" s="71"/>
      <c r="G49" s="71"/>
      <c r="H49" s="71"/>
      <c r="I49" s="8"/>
      <c r="J49" s="2"/>
      <c r="K49" s="2"/>
      <c r="L49" s="2"/>
      <c r="M49" s="2"/>
      <c r="N49" s="2"/>
      <c r="O49" s="2"/>
      <c r="P49" s="2"/>
      <c r="Q49" s="2"/>
      <c r="R49" s="2"/>
      <c r="S49" s="2"/>
      <c r="T49" s="59"/>
      <c r="U49" s="59"/>
      <c r="V49" s="59"/>
      <c r="W49" s="59"/>
      <c r="X49" s="2"/>
      <c r="Y49" s="48"/>
      <c r="Z49" s="24"/>
    </row>
    <row r="50" spans="1:26" ht="16.5" thickBot="1" x14ac:dyDescent="0.25">
      <c r="A50" s="21"/>
      <c r="B50" s="2"/>
      <c r="C50" s="71" t="s">
        <v>935</v>
      </c>
      <c r="D50" s="71"/>
      <c r="E50" s="71"/>
      <c r="F50" s="71"/>
      <c r="G50" s="71"/>
      <c r="H50" s="71"/>
      <c r="I50" s="8"/>
      <c r="J50" s="2"/>
      <c r="K50" s="2"/>
      <c r="L50" s="2"/>
      <c r="M50" s="2"/>
      <c r="N50" s="2"/>
      <c r="O50" s="2"/>
      <c r="P50" s="2"/>
      <c r="Q50" s="2"/>
      <c r="R50" s="2"/>
      <c r="S50" s="2"/>
      <c r="T50" s="59"/>
      <c r="U50" s="59"/>
      <c r="V50" s="374">
        <f>VLOOKUP($F$1,Part4,35,FALSE)</f>
        <v>3595456</v>
      </c>
      <c r="W50" s="375"/>
      <c r="X50" s="176"/>
      <c r="Y50" s="48"/>
      <c r="Z50" s="24"/>
    </row>
    <row r="51" spans="1:26" ht="15.75" thickBot="1" x14ac:dyDescent="0.25">
      <c r="A51" s="21"/>
      <c r="B51" s="2"/>
      <c r="C51" s="71"/>
      <c r="D51" s="71"/>
      <c r="E51" s="71"/>
      <c r="F51" s="71"/>
      <c r="G51" s="71"/>
      <c r="H51" s="71"/>
      <c r="I51" s="8"/>
      <c r="J51" s="2"/>
      <c r="K51" s="2"/>
      <c r="L51" s="2"/>
      <c r="M51" s="2"/>
      <c r="N51" s="2"/>
      <c r="O51" s="2"/>
      <c r="P51" s="2"/>
      <c r="Q51" s="2"/>
      <c r="R51" s="2"/>
      <c r="S51" s="2"/>
      <c r="T51" s="59"/>
      <c r="U51" s="59"/>
      <c r="V51" s="8"/>
      <c r="W51" s="8"/>
      <c r="X51" s="176"/>
      <c r="Y51" s="48"/>
      <c r="Z51" s="24"/>
    </row>
    <row r="52" spans="1:26" ht="16.5" thickBot="1" x14ac:dyDescent="0.25">
      <c r="A52" s="21"/>
      <c r="B52" s="2"/>
      <c r="C52" s="71" t="s">
        <v>936</v>
      </c>
      <c r="D52" s="71"/>
      <c r="E52" s="71"/>
      <c r="F52" s="71"/>
      <c r="G52" s="71"/>
      <c r="H52" s="71"/>
      <c r="I52" s="8"/>
      <c r="J52" s="2"/>
      <c r="K52" s="2"/>
      <c r="L52" s="2"/>
      <c r="M52" s="2"/>
      <c r="N52" s="2"/>
      <c r="O52" s="2"/>
      <c r="P52" s="2"/>
      <c r="Q52" s="2"/>
      <c r="R52" s="2"/>
      <c r="S52" s="2"/>
      <c r="T52" s="59"/>
      <c r="U52" s="59"/>
      <c r="V52" s="374">
        <f>VLOOKUP($F$1,Part4,36,FALSE)</f>
        <v>1879911</v>
      </c>
      <c r="W52" s="375"/>
      <c r="X52" s="176"/>
      <c r="Y52" s="48"/>
      <c r="Z52" s="24"/>
    </row>
    <row r="53" spans="1:26" ht="16.5" thickBot="1" x14ac:dyDescent="0.25">
      <c r="A53" s="21"/>
      <c r="B53" s="8"/>
      <c r="C53" s="71"/>
      <c r="D53" s="71"/>
      <c r="E53" s="71"/>
      <c r="F53" s="71"/>
      <c r="G53" s="71"/>
      <c r="H53" s="71"/>
      <c r="I53" s="8"/>
      <c r="J53" s="2"/>
      <c r="K53" s="2"/>
      <c r="L53" s="2"/>
      <c r="M53" s="2"/>
      <c r="N53" s="2"/>
      <c r="O53" s="2"/>
      <c r="P53" s="2"/>
      <c r="Q53" s="2"/>
      <c r="R53" s="2"/>
      <c r="S53" s="2"/>
      <c r="T53" s="59"/>
      <c r="U53" s="59"/>
      <c r="V53" s="73"/>
      <c r="W53" s="59"/>
      <c r="X53" s="176"/>
      <c r="Y53" s="48"/>
      <c r="Z53" s="24"/>
    </row>
    <row r="54" spans="1:26" ht="16.5" thickBot="1" x14ac:dyDescent="0.25">
      <c r="A54" s="21"/>
      <c r="B54" s="2"/>
      <c r="C54" s="71" t="s">
        <v>937</v>
      </c>
      <c r="D54" s="71"/>
      <c r="E54" s="71"/>
      <c r="F54" s="71"/>
      <c r="G54" s="71"/>
      <c r="H54" s="71"/>
      <c r="I54" s="8"/>
      <c r="J54" s="2"/>
      <c r="K54" s="2"/>
      <c r="L54" s="2"/>
      <c r="M54" s="2"/>
      <c r="N54" s="2"/>
      <c r="O54" s="2"/>
      <c r="P54" s="2"/>
      <c r="Q54" s="2"/>
      <c r="R54" s="2"/>
      <c r="S54" s="2"/>
      <c r="T54" s="59"/>
      <c r="U54" s="59"/>
      <c r="V54" s="374">
        <f>VLOOKUP($F$1,Part4,37,FALSE)</f>
        <v>1715545</v>
      </c>
      <c r="W54" s="375"/>
      <c r="X54" s="176"/>
      <c r="Y54" s="48"/>
      <c r="Z54" s="24"/>
    </row>
    <row r="55" spans="1:26" ht="15.75" x14ac:dyDescent="0.2">
      <c r="A55" s="21"/>
      <c r="B55" s="2"/>
      <c r="C55" s="71"/>
      <c r="D55" s="71"/>
      <c r="E55" s="71"/>
      <c r="F55" s="71"/>
      <c r="G55" s="71"/>
      <c r="H55" s="71"/>
      <c r="I55" s="8"/>
      <c r="J55" s="2"/>
      <c r="K55" s="2"/>
      <c r="L55" s="2"/>
      <c r="M55" s="2"/>
      <c r="N55" s="2"/>
      <c r="O55" s="2"/>
      <c r="P55" s="2"/>
      <c r="Q55" s="2"/>
      <c r="R55" s="2"/>
      <c r="S55" s="2"/>
      <c r="T55" s="59"/>
      <c r="U55" s="59"/>
      <c r="V55" s="73"/>
      <c r="W55" s="59"/>
      <c r="X55" s="176"/>
      <c r="Y55" s="48"/>
      <c r="Z55" s="24"/>
    </row>
    <row r="56" spans="1:26" ht="15.75" thickBot="1" x14ac:dyDescent="0.25">
      <c r="A56" s="21"/>
      <c r="B56" s="2"/>
      <c r="C56" s="71"/>
      <c r="D56" s="71"/>
      <c r="E56" s="71"/>
      <c r="F56" s="71"/>
      <c r="G56" s="71"/>
      <c r="H56" s="71"/>
      <c r="I56" s="176"/>
      <c r="J56" s="176"/>
      <c r="K56" s="176"/>
      <c r="L56" s="176"/>
      <c r="M56" s="176"/>
      <c r="N56" s="176"/>
      <c r="O56" s="176"/>
      <c r="P56" s="176"/>
      <c r="Q56" s="176"/>
      <c r="R56" s="176"/>
      <c r="S56" s="176"/>
      <c r="T56" s="176"/>
      <c r="U56" s="176"/>
      <c r="V56" s="176"/>
      <c r="W56" s="176"/>
      <c r="X56" s="176"/>
      <c r="Y56" s="48"/>
      <c r="Z56" s="24"/>
    </row>
    <row r="57" spans="1:26" ht="16.5" thickBot="1" x14ac:dyDescent="0.25">
      <c r="A57" s="21"/>
      <c r="B57" s="2"/>
      <c r="C57" s="71" t="s">
        <v>938</v>
      </c>
      <c r="D57" s="71"/>
      <c r="E57" s="71"/>
      <c r="F57" s="71"/>
      <c r="G57" s="71"/>
      <c r="H57" s="71"/>
      <c r="I57" s="8"/>
      <c r="J57" s="2"/>
      <c r="K57" s="2"/>
      <c r="L57" s="2"/>
      <c r="M57" s="2"/>
      <c r="N57" s="2"/>
      <c r="O57" s="2"/>
      <c r="P57" s="2"/>
      <c r="Q57" s="2"/>
      <c r="R57" s="2"/>
      <c r="S57" s="2"/>
      <c r="T57" s="59"/>
      <c r="U57" s="59"/>
      <c r="V57" s="374">
        <f>VLOOKUP($F$1,Part4,38,FALSE)</f>
        <v>0</v>
      </c>
      <c r="W57" s="375"/>
      <c r="X57" s="176"/>
      <c r="Y57" s="48"/>
      <c r="Z57" s="24"/>
    </row>
    <row r="58" spans="1:26" ht="15.75" thickBot="1" x14ac:dyDescent="0.25">
      <c r="A58" s="21"/>
      <c r="B58" s="2"/>
      <c r="C58" s="71"/>
      <c r="D58" s="71"/>
      <c r="E58" s="71"/>
      <c r="F58" s="71"/>
      <c r="G58" s="71"/>
      <c r="H58" s="71"/>
      <c r="I58" s="8"/>
      <c r="J58" s="2"/>
      <c r="K58" s="2"/>
      <c r="L58" s="2"/>
      <c r="M58" s="2"/>
      <c r="N58" s="2"/>
      <c r="O58" s="2"/>
      <c r="P58" s="2"/>
      <c r="Q58" s="2"/>
      <c r="R58" s="2"/>
      <c r="S58" s="2"/>
      <c r="T58" s="59"/>
      <c r="U58" s="59"/>
      <c r="V58" s="8"/>
      <c r="W58" s="8"/>
      <c r="X58" s="176"/>
      <c r="Y58" s="48"/>
      <c r="Z58" s="24"/>
    </row>
    <row r="59" spans="1:26" ht="16.5" thickBot="1" x14ac:dyDescent="0.25">
      <c r="A59" s="21"/>
      <c r="B59" s="2"/>
      <c r="C59" s="71" t="s">
        <v>939</v>
      </c>
      <c r="D59" s="71"/>
      <c r="E59" s="71"/>
      <c r="F59" s="71"/>
      <c r="G59" s="71"/>
      <c r="H59" s="71"/>
      <c r="I59" s="8"/>
      <c r="J59" s="2"/>
      <c r="K59" s="2"/>
      <c r="L59" s="2"/>
      <c r="M59" s="2"/>
      <c r="N59" s="2"/>
      <c r="O59" s="2"/>
      <c r="P59" s="2"/>
      <c r="Q59" s="2"/>
      <c r="R59" s="2"/>
      <c r="S59" s="2"/>
      <c r="T59" s="59"/>
      <c r="U59" s="59"/>
      <c r="V59" s="374">
        <f>VLOOKUP($F$1,Part4,39,FALSE)</f>
        <v>46086</v>
      </c>
      <c r="W59" s="375"/>
      <c r="X59" s="176"/>
      <c r="Y59" s="48"/>
      <c r="Z59" s="24"/>
    </row>
    <row r="60" spans="1:26" ht="16.5" thickBot="1" x14ac:dyDescent="0.25">
      <c r="A60" s="21"/>
      <c r="B60" s="2"/>
      <c r="C60" s="71"/>
      <c r="D60" s="71"/>
      <c r="E60" s="71"/>
      <c r="F60" s="71"/>
      <c r="G60" s="71"/>
      <c r="H60" s="71"/>
      <c r="I60" s="8"/>
      <c r="J60" s="2"/>
      <c r="K60" s="2"/>
      <c r="L60" s="2"/>
      <c r="M60" s="2"/>
      <c r="N60" s="2"/>
      <c r="O60" s="2"/>
      <c r="P60" s="2"/>
      <c r="Q60" s="2"/>
      <c r="R60" s="2"/>
      <c r="S60" s="2"/>
      <c r="T60" s="59"/>
      <c r="U60" s="59"/>
      <c r="V60" s="73"/>
      <c r="W60" s="59"/>
      <c r="X60" s="176"/>
      <c r="Y60" s="48"/>
      <c r="Z60" s="24"/>
    </row>
    <row r="61" spans="1:26" ht="16.5" thickBot="1" x14ac:dyDescent="0.25">
      <c r="A61" s="21"/>
      <c r="B61" s="2"/>
      <c r="C61" s="71" t="s">
        <v>940</v>
      </c>
      <c r="D61" s="71"/>
      <c r="E61" s="71"/>
      <c r="F61" s="71"/>
      <c r="G61" s="71"/>
      <c r="H61" s="71"/>
      <c r="I61" s="8"/>
      <c r="J61" s="2"/>
      <c r="K61" s="2"/>
      <c r="L61" s="2"/>
      <c r="M61" s="2"/>
      <c r="N61" s="2"/>
      <c r="O61" s="2"/>
      <c r="P61" s="2"/>
      <c r="Q61" s="2"/>
      <c r="R61" s="2"/>
      <c r="S61" s="2"/>
      <c r="T61" s="59"/>
      <c r="U61" s="59"/>
      <c r="V61" s="374">
        <f>VLOOKUP($F$1,Part4,40,FALSE)</f>
        <v>-46086</v>
      </c>
      <c r="W61" s="375"/>
      <c r="X61" s="176"/>
      <c r="Y61" s="48"/>
      <c r="Z61" s="24"/>
    </row>
    <row r="62" spans="1:26" ht="15" x14ac:dyDescent="0.2">
      <c r="A62" s="21"/>
      <c r="B62" s="2"/>
      <c r="C62" s="71"/>
      <c r="D62" s="71"/>
      <c r="E62" s="71"/>
      <c r="F62" s="71"/>
      <c r="G62" s="71"/>
      <c r="H62" s="71"/>
      <c r="I62" s="176"/>
      <c r="J62" s="176"/>
      <c r="K62" s="176"/>
      <c r="L62" s="176"/>
      <c r="M62" s="176"/>
      <c r="N62" s="176"/>
      <c r="O62" s="176"/>
      <c r="P62" s="176"/>
      <c r="Q62" s="176"/>
      <c r="R62" s="176"/>
      <c r="S62" s="176"/>
      <c r="T62" s="176"/>
      <c r="U62" s="176"/>
      <c r="V62" s="176"/>
      <c r="W62" s="176"/>
      <c r="X62" s="176"/>
      <c r="Y62" s="48"/>
      <c r="Z62" s="24"/>
    </row>
    <row r="63" spans="1:26" ht="16.5" thickBot="1" x14ac:dyDescent="0.25">
      <c r="A63" s="21"/>
      <c r="B63" s="274"/>
      <c r="C63" s="70" t="s">
        <v>941</v>
      </c>
      <c r="D63" s="71"/>
      <c r="E63" s="71"/>
      <c r="F63" s="71"/>
      <c r="G63" s="71"/>
      <c r="H63" s="71"/>
      <c r="I63" s="176"/>
      <c r="J63" s="176"/>
      <c r="K63" s="176"/>
      <c r="L63" s="176"/>
      <c r="M63" s="176"/>
      <c r="N63" s="176"/>
      <c r="O63" s="176"/>
      <c r="P63" s="176"/>
      <c r="Q63" s="176"/>
      <c r="R63" s="176"/>
      <c r="S63" s="176"/>
      <c r="T63" s="176"/>
      <c r="U63" s="176"/>
      <c r="V63" s="176"/>
      <c r="W63" s="176"/>
      <c r="X63" s="176"/>
      <c r="Y63" s="48"/>
      <c r="Z63" s="24"/>
    </row>
    <row r="64" spans="1:26" ht="16.5" thickBot="1" x14ac:dyDescent="0.25">
      <c r="A64" s="21"/>
      <c r="B64" s="274"/>
      <c r="C64" s="71" t="s">
        <v>942</v>
      </c>
      <c r="D64" s="71"/>
      <c r="E64" s="71"/>
      <c r="F64" s="71"/>
      <c r="G64" s="71"/>
      <c r="H64" s="71"/>
      <c r="I64" s="8"/>
      <c r="J64" s="2"/>
      <c r="K64" s="2"/>
      <c r="L64" s="2"/>
      <c r="M64" s="2"/>
      <c r="N64" s="2"/>
      <c r="O64" s="2"/>
      <c r="P64" s="2"/>
      <c r="Q64" s="2"/>
      <c r="R64" s="2"/>
      <c r="S64" s="2"/>
      <c r="T64" s="59"/>
      <c r="U64" s="59"/>
      <c r="V64" s="374">
        <f>VLOOKUP($F$1,Part4,41,FALSE)</f>
        <v>6849309</v>
      </c>
      <c r="W64" s="375"/>
      <c r="X64" s="176"/>
      <c r="Y64" s="48"/>
      <c r="Z64" s="24"/>
    </row>
    <row r="65" spans="1:26" ht="15.75" thickBot="1" x14ac:dyDescent="0.25">
      <c r="A65" s="21"/>
      <c r="B65" s="274"/>
      <c r="C65" s="71"/>
      <c r="D65" s="71"/>
      <c r="E65" s="71"/>
      <c r="F65" s="71"/>
      <c r="G65" s="71"/>
      <c r="H65" s="71"/>
      <c r="I65" s="8"/>
      <c r="J65" s="2"/>
      <c r="K65" s="2"/>
      <c r="L65" s="2"/>
      <c r="M65" s="2"/>
      <c r="N65" s="2"/>
      <c r="O65" s="2"/>
      <c r="P65" s="2"/>
      <c r="Q65" s="2"/>
      <c r="R65" s="2"/>
      <c r="S65" s="2"/>
      <c r="T65" s="59"/>
      <c r="U65" s="59"/>
      <c r="V65" s="8"/>
      <c r="W65" s="8"/>
      <c r="X65" s="176"/>
      <c r="Y65" s="48"/>
      <c r="Z65" s="24"/>
    </row>
    <row r="66" spans="1:26" ht="16.5" thickBot="1" x14ac:dyDescent="0.25">
      <c r="A66" s="21"/>
      <c r="B66" s="274"/>
      <c r="C66" s="71" t="s">
        <v>943</v>
      </c>
      <c r="D66" s="71"/>
      <c r="E66" s="71"/>
      <c r="F66" s="71"/>
      <c r="G66" s="71"/>
      <c r="H66" s="71"/>
      <c r="I66" s="8"/>
      <c r="J66" s="2"/>
      <c r="K66" s="2"/>
      <c r="L66" s="2"/>
      <c r="M66" s="2"/>
      <c r="N66" s="2"/>
      <c r="O66" s="2"/>
      <c r="P66" s="2"/>
      <c r="Q66" s="2"/>
      <c r="R66" s="2"/>
      <c r="S66" s="2"/>
      <c r="T66" s="59"/>
      <c r="U66" s="59"/>
      <c r="V66" s="374">
        <f>VLOOKUP($F$1,Part4,42,FALSE)</f>
        <v>6430918</v>
      </c>
      <c r="W66" s="375"/>
      <c r="X66" s="176"/>
      <c r="Y66" s="48"/>
      <c r="Z66" s="24"/>
    </row>
    <row r="67" spans="1:26" ht="16.5" thickBot="1" x14ac:dyDescent="0.25">
      <c r="A67" s="21"/>
      <c r="B67" s="274"/>
      <c r="C67" s="71"/>
      <c r="D67" s="71"/>
      <c r="E67" s="71"/>
      <c r="F67" s="71"/>
      <c r="G67" s="71"/>
      <c r="H67" s="71"/>
      <c r="I67" s="8"/>
      <c r="J67" s="2"/>
      <c r="K67" s="2"/>
      <c r="L67" s="2"/>
      <c r="M67" s="2"/>
      <c r="N67" s="2"/>
      <c r="O67" s="2"/>
      <c r="P67" s="2"/>
      <c r="Q67" s="2"/>
      <c r="R67" s="2"/>
      <c r="S67" s="2"/>
      <c r="T67" s="59"/>
      <c r="U67" s="59"/>
      <c r="V67" s="73"/>
      <c r="W67" s="59"/>
      <c r="X67" s="176"/>
      <c r="Y67" s="48"/>
      <c r="Z67" s="24"/>
    </row>
    <row r="68" spans="1:26" ht="16.5" thickBot="1" x14ac:dyDescent="0.25">
      <c r="A68" s="21"/>
      <c r="B68" s="274"/>
      <c r="C68" s="71" t="s">
        <v>944</v>
      </c>
      <c r="D68" s="71"/>
      <c r="E68" s="71"/>
      <c r="F68" s="71"/>
      <c r="G68" s="71"/>
      <c r="H68" s="71"/>
      <c r="I68" s="8"/>
      <c r="J68" s="2"/>
      <c r="K68" s="2"/>
      <c r="L68" s="2"/>
      <c r="M68" s="2"/>
      <c r="N68" s="2"/>
      <c r="O68" s="2"/>
      <c r="P68" s="2"/>
      <c r="Q68" s="2"/>
      <c r="R68" s="2"/>
      <c r="S68" s="2"/>
      <c r="T68" s="59"/>
      <c r="U68" s="59"/>
      <c r="V68" s="374">
        <f>VLOOKUP($F$1,Part4,43,FALSE)</f>
        <v>418391</v>
      </c>
      <c r="W68" s="375"/>
      <c r="X68" s="176"/>
      <c r="Y68" s="48"/>
      <c r="Z68" s="24"/>
    </row>
    <row r="69" spans="1:26" ht="15.75" x14ac:dyDescent="0.2">
      <c r="A69" s="21"/>
      <c r="B69" s="274"/>
      <c r="C69" s="71"/>
      <c r="D69" s="71"/>
      <c r="E69" s="71"/>
      <c r="F69" s="71"/>
      <c r="G69" s="71"/>
      <c r="H69" s="71"/>
      <c r="I69" s="8"/>
      <c r="J69" s="2"/>
      <c r="K69" s="2"/>
      <c r="L69" s="2"/>
      <c r="M69" s="2"/>
      <c r="N69" s="2"/>
      <c r="O69" s="2"/>
      <c r="P69" s="2"/>
      <c r="Q69" s="2"/>
      <c r="R69" s="2"/>
      <c r="S69" s="2"/>
      <c r="T69" s="59"/>
      <c r="U69" s="59"/>
      <c r="V69" s="73"/>
      <c r="W69" s="59"/>
      <c r="X69" s="176"/>
      <c r="Y69" s="48"/>
      <c r="Z69" s="24"/>
    </row>
    <row r="70" spans="1:26" ht="16.5" thickBot="1" x14ac:dyDescent="0.25">
      <c r="A70" s="21"/>
      <c r="B70" s="274"/>
      <c r="C70" s="71"/>
      <c r="D70" s="71"/>
      <c r="E70" s="71"/>
      <c r="F70" s="71"/>
      <c r="G70" s="71"/>
      <c r="H70" s="71"/>
      <c r="I70" s="8"/>
      <c r="J70" s="2"/>
      <c r="K70" s="2"/>
      <c r="L70" s="2"/>
      <c r="M70" s="2"/>
      <c r="N70" s="2"/>
      <c r="O70" s="2"/>
      <c r="P70" s="2"/>
      <c r="Q70" s="2"/>
      <c r="R70" s="2"/>
      <c r="S70" s="2"/>
      <c r="T70" s="59"/>
      <c r="U70" s="59"/>
      <c r="V70" s="73"/>
      <c r="W70" s="59"/>
      <c r="X70" s="176"/>
      <c r="Y70" s="48"/>
      <c r="Z70" s="24"/>
    </row>
    <row r="71" spans="1:26" ht="16.5" thickBot="1" x14ac:dyDescent="0.25">
      <c r="A71" s="21"/>
      <c r="B71" s="274"/>
      <c r="C71" s="71" t="s">
        <v>945</v>
      </c>
      <c r="D71" s="71"/>
      <c r="E71" s="71"/>
      <c r="F71" s="71"/>
      <c r="G71" s="71"/>
      <c r="H71" s="71"/>
      <c r="I71" s="8"/>
      <c r="J71" s="2"/>
      <c r="K71" s="2"/>
      <c r="L71" s="2"/>
      <c r="M71" s="2"/>
      <c r="N71" s="2"/>
      <c r="O71" s="2"/>
      <c r="P71" s="2"/>
      <c r="Q71" s="2"/>
      <c r="R71" s="2"/>
      <c r="S71" s="2"/>
      <c r="T71" s="59"/>
      <c r="U71" s="59"/>
      <c r="V71" s="374">
        <f>VLOOKUP($F$1,Part4,44,FALSE)</f>
        <v>6660932</v>
      </c>
      <c r="W71" s="375"/>
      <c r="X71" s="176"/>
      <c r="Y71" s="48"/>
      <c r="Z71" s="24"/>
    </row>
    <row r="72" spans="1:26" ht="15.75" thickBot="1" x14ac:dyDescent="0.25">
      <c r="A72" s="21"/>
      <c r="B72" s="274"/>
      <c r="C72" s="71"/>
      <c r="D72" s="71"/>
      <c r="E72" s="71"/>
      <c r="F72" s="71"/>
      <c r="G72" s="71"/>
      <c r="H72" s="71"/>
      <c r="I72" s="8"/>
      <c r="J72" s="2"/>
      <c r="K72" s="2"/>
      <c r="L72" s="2"/>
      <c r="M72" s="2"/>
      <c r="N72" s="2"/>
      <c r="O72" s="2"/>
      <c r="P72" s="2"/>
      <c r="Q72" s="2"/>
      <c r="R72" s="2"/>
      <c r="S72" s="2"/>
      <c r="T72" s="59"/>
      <c r="U72" s="59"/>
      <c r="V72" s="8"/>
      <c r="W72" s="8"/>
      <c r="X72" s="176"/>
      <c r="Y72" s="48"/>
      <c r="Z72" s="24"/>
    </row>
    <row r="73" spans="1:26" ht="16.5" thickBot="1" x14ac:dyDescent="0.25">
      <c r="A73" s="21"/>
      <c r="B73" s="274"/>
      <c r="C73" s="71" t="s">
        <v>946</v>
      </c>
      <c r="D73" s="71"/>
      <c r="E73" s="71"/>
      <c r="F73" s="71"/>
      <c r="G73" s="71"/>
      <c r="H73" s="71"/>
      <c r="I73" s="8"/>
      <c r="J73" s="2"/>
      <c r="K73" s="2"/>
      <c r="L73" s="2"/>
      <c r="M73" s="2"/>
      <c r="N73" s="2"/>
      <c r="O73" s="2"/>
      <c r="P73" s="2"/>
      <c r="Q73" s="2"/>
      <c r="R73" s="2"/>
      <c r="S73" s="2"/>
      <c r="T73" s="59"/>
      <c r="U73" s="59"/>
      <c r="V73" s="374">
        <f>VLOOKUP($F$1,Part4,45,FALSE)</f>
        <v>4904032</v>
      </c>
      <c r="W73" s="375"/>
      <c r="X73" s="176"/>
      <c r="Y73" s="48"/>
      <c r="Z73" s="24"/>
    </row>
    <row r="74" spans="1:26" ht="16.5" thickBot="1" x14ac:dyDescent="0.25">
      <c r="A74" s="21"/>
      <c r="B74" s="274"/>
      <c r="C74" s="71"/>
      <c r="D74" s="71"/>
      <c r="E74" s="71"/>
      <c r="F74" s="71"/>
      <c r="G74" s="71"/>
      <c r="H74" s="71"/>
      <c r="I74" s="8"/>
      <c r="J74" s="2"/>
      <c r="K74" s="2"/>
      <c r="L74" s="2"/>
      <c r="M74" s="2"/>
      <c r="N74" s="2"/>
      <c r="O74" s="2"/>
      <c r="P74" s="2"/>
      <c r="Q74" s="2"/>
      <c r="R74" s="2"/>
      <c r="S74" s="2"/>
      <c r="T74" s="59"/>
      <c r="U74" s="59"/>
      <c r="V74" s="73"/>
      <c r="W74" s="59"/>
      <c r="X74" s="176"/>
      <c r="Y74" s="48"/>
      <c r="Z74" s="24"/>
    </row>
    <row r="75" spans="1:26" ht="16.5" thickBot="1" x14ac:dyDescent="0.25">
      <c r="A75" s="21"/>
      <c r="B75" s="274"/>
      <c r="C75" s="71" t="s">
        <v>947</v>
      </c>
      <c r="D75" s="71"/>
      <c r="E75" s="71"/>
      <c r="F75" s="71"/>
      <c r="G75" s="71"/>
      <c r="H75" s="71"/>
      <c r="I75" s="8"/>
      <c r="J75" s="2"/>
      <c r="K75" s="2"/>
      <c r="L75" s="2"/>
      <c r="M75" s="2"/>
      <c r="N75" s="2"/>
      <c r="O75" s="2"/>
      <c r="P75" s="2"/>
      <c r="Q75" s="2"/>
      <c r="R75" s="2"/>
      <c r="S75" s="2"/>
      <c r="T75" s="59"/>
      <c r="U75" s="59"/>
      <c r="V75" s="374">
        <f>VLOOKUP($F$1,Part4,46,FALSE)</f>
        <v>1756900</v>
      </c>
      <c r="W75" s="375"/>
      <c r="X75" s="176"/>
      <c r="Y75" s="48"/>
      <c r="Z75" s="24"/>
    </row>
    <row r="76" spans="1:26" ht="15.75" x14ac:dyDescent="0.2">
      <c r="A76" s="21"/>
      <c r="B76" s="274"/>
      <c r="C76" s="71"/>
      <c r="D76" s="71"/>
      <c r="E76" s="71"/>
      <c r="F76" s="71"/>
      <c r="G76" s="71"/>
      <c r="H76" s="71"/>
      <c r="I76" s="8"/>
      <c r="J76" s="2"/>
      <c r="K76" s="2"/>
      <c r="L76" s="2"/>
      <c r="M76" s="2"/>
      <c r="N76" s="2"/>
      <c r="O76" s="2"/>
      <c r="P76" s="2"/>
      <c r="Q76" s="2"/>
      <c r="R76" s="2"/>
      <c r="S76" s="2"/>
      <c r="T76" s="59"/>
      <c r="U76" s="59"/>
      <c r="V76" s="73"/>
      <c r="W76" s="59"/>
      <c r="X76" s="176"/>
      <c r="Y76" s="48"/>
      <c r="Z76" s="24"/>
    </row>
    <row r="77" spans="1:26" ht="15.75" thickBot="1" x14ac:dyDescent="0.25">
      <c r="A77" s="21"/>
      <c r="B77" s="274"/>
      <c r="C77" s="71"/>
      <c r="D77" s="71"/>
      <c r="E77" s="71"/>
      <c r="F77" s="71"/>
      <c r="G77" s="71"/>
      <c r="H77" s="71"/>
      <c r="I77" s="176"/>
      <c r="J77" s="176"/>
      <c r="K77" s="176"/>
      <c r="L77" s="176"/>
      <c r="M77" s="176"/>
      <c r="N77" s="176"/>
      <c r="O77" s="176"/>
      <c r="P77" s="176"/>
      <c r="Q77" s="176"/>
      <c r="R77" s="176"/>
      <c r="S77" s="176"/>
      <c r="T77" s="176"/>
      <c r="U77" s="176"/>
      <c r="V77" s="176"/>
      <c r="W77" s="176"/>
      <c r="X77" s="176"/>
      <c r="Y77" s="48"/>
      <c r="Z77" s="24"/>
    </row>
    <row r="78" spans="1:26" ht="16.5" thickBot="1" x14ac:dyDescent="0.25">
      <c r="A78" s="21"/>
      <c r="B78" s="274"/>
      <c r="C78" s="71" t="s">
        <v>948</v>
      </c>
      <c r="D78" s="71"/>
      <c r="E78" s="71"/>
      <c r="F78" s="71"/>
      <c r="G78" s="71"/>
      <c r="H78" s="71"/>
      <c r="I78" s="8"/>
      <c r="J78" s="2"/>
      <c r="K78" s="2"/>
      <c r="L78" s="2"/>
      <c r="M78" s="2"/>
      <c r="N78" s="2"/>
      <c r="O78" s="2"/>
      <c r="P78" s="2"/>
      <c r="Q78" s="2"/>
      <c r="R78" s="275"/>
      <c r="S78" s="2"/>
      <c r="T78" s="59"/>
      <c r="U78" s="59"/>
      <c r="V78" s="374">
        <f>VLOOKUP($F$1,Part4,47,FALSE)</f>
        <v>156733</v>
      </c>
      <c r="W78" s="375"/>
      <c r="X78" s="176"/>
      <c r="Y78" s="48"/>
      <c r="Z78" s="24"/>
    </row>
    <row r="79" spans="1:26" ht="15.75" thickBot="1" x14ac:dyDescent="0.25">
      <c r="A79" s="21"/>
      <c r="B79" s="274"/>
      <c r="C79" s="71"/>
      <c r="D79" s="71"/>
      <c r="E79" s="71"/>
      <c r="F79" s="71"/>
      <c r="G79" s="71"/>
      <c r="H79" s="71"/>
      <c r="I79" s="8"/>
      <c r="J79" s="2"/>
      <c r="K79" s="2"/>
      <c r="L79" s="2"/>
      <c r="M79" s="2"/>
      <c r="N79" s="2"/>
      <c r="O79" s="2"/>
      <c r="P79" s="2"/>
      <c r="Q79" s="2"/>
      <c r="R79" s="2"/>
      <c r="S79" s="2"/>
      <c r="T79" s="59"/>
      <c r="U79" s="59"/>
      <c r="V79" s="8"/>
      <c r="W79" s="8"/>
      <c r="X79" s="176"/>
      <c r="Y79" s="48"/>
      <c r="Z79" s="24"/>
    </row>
    <row r="80" spans="1:26" ht="16.5" thickBot="1" x14ac:dyDescent="0.25">
      <c r="A80" s="21"/>
      <c r="B80" s="274"/>
      <c r="C80" s="71" t="s">
        <v>949</v>
      </c>
      <c r="D80" s="71"/>
      <c r="E80" s="71"/>
      <c r="F80" s="71"/>
      <c r="G80" s="71"/>
      <c r="H80" s="71"/>
      <c r="I80" s="8"/>
      <c r="J80" s="2"/>
      <c r="K80" s="2"/>
      <c r="L80" s="2"/>
      <c r="M80" s="2"/>
      <c r="N80" s="2"/>
      <c r="O80" s="2"/>
      <c r="P80" s="2"/>
      <c r="Q80" s="2"/>
      <c r="R80" s="2"/>
      <c r="S80" s="2"/>
      <c r="T80" s="59"/>
      <c r="U80" s="59"/>
      <c r="V80" s="374">
        <f>VLOOKUP($F$1,Part4,48,FALSE)</f>
        <v>6759</v>
      </c>
      <c r="W80" s="375"/>
      <c r="X80" s="176"/>
      <c r="Y80" s="48"/>
      <c r="Z80" s="24"/>
    </row>
    <row r="81" spans="1:26" ht="16.5" thickBot="1" x14ac:dyDescent="0.25">
      <c r="A81" s="21"/>
      <c r="B81" s="274"/>
      <c r="C81" s="71"/>
      <c r="D81" s="71"/>
      <c r="E81" s="71"/>
      <c r="F81" s="71"/>
      <c r="G81" s="71"/>
      <c r="H81" s="71"/>
      <c r="I81" s="8"/>
      <c r="J81" s="2"/>
      <c r="K81" s="2"/>
      <c r="L81" s="2"/>
      <c r="M81" s="2"/>
      <c r="N81" s="2"/>
      <c r="O81" s="2"/>
      <c r="P81" s="2"/>
      <c r="Q81" s="2"/>
      <c r="R81" s="2"/>
      <c r="S81" s="2"/>
      <c r="T81" s="59"/>
      <c r="U81" s="59"/>
      <c r="V81" s="73"/>
      <c r="W81" s="59"/>
      <c r="X81" s="176"/>
      <c r="Y81" s="48"/>
      <c r="Z81" s="24"/>
    </row>
    <row r="82" spans="1:26" ht="16.5" thickBot="1" x14ac:dyDescent="0.25">
      <c r="A82" s="21"/>
      <c r="B82" s="274"/>
      <c r="C82" s="71" t="s">
        <v>950</v>
      </c>
      <c r="D82" s="71"/>
      <c r="E82" s="71"/>
      <c r="F82" s="71"/>
      <c r="G82" s="71"/>
      <c r="H82" s="71"/>
      <c r="I82" s="8"/>
      <c r="J82" s="2"/>
      <c r="K82" s="2"/>
      <c r="L82" s="2"/>
      <c r="M82" s="2"/>
      <c r="N82" s="2"/>
      <c r="O82" s="2"/>
      <c r="P82" s="2"/>
      <c r="Q82" s="2"/>
      <c r="R82" s="2"/>
      <c r="S82" s="2"/>
      <c r="T82" s="59"/>
      <c r="U82" s="59"/>
      <c r="V82" s="374">
        <f>VLOOKUP($F$1,Part4,49,FALSE)</f>
        <v>149974</v>
      </c>
      <c r="W82" s="375"/>
      <c r="X82" s="176"/>
      <c r="Y82" s="48"/>
      <c r="Z82" s="24"/>
    </row>
    <row r="83" spans="1:26" ht="15.75" x14ac:dyDescent="0.2">
      <c r="A83" s="21"/>
      <c r="B83" s="274"/>
      <c r="C83" s="71"/>
      <c r="D83" s="71"/>
      <c r="E83" s="71"/>
      <c r="F83" s="71"/>
      <c r="G83" s="71"/>
      <c r="H83" s="71"/>
      <c r="I83" s="8"/>
      <c r="J83" s="2"/>
      <c r="K83" s="2"/>
      <c r="L83" s="2"/>
      <c r="M83" s="2"/>
      <c r="N83" s="2"/>
      <c r="O83" s="2"/>
      <c r="P83" s="2"/>
      <c r="Q83" s="2"/>
      <c r="R83" s="2"/>
      <c r="S83" s="2"/>
      <c r="T83" s="59"/>
      <c r="U83" s="59"/>
      <c r="V83" s="73"/>
      <c r="W83" s="59"/>
      <c r="X83" s="176"/>
      <c r="Y83" s="48"/>
      <c r="Z83" s="24"/>
    </row>
    <row r="84" spans="1:26" ht="15.75" thickBot="1" x14ac:dyDescent="0.25">
      <c r="A84" s="21"/>
      <c r="B84" s="274"/>
      <c r="C84" s="71"/>
      <c r="D84" s="71"/>
      <c r="E84" s="71"/>
      <c r="F84" s="71"/>
      <c r="G84" s="71"/>
      <c r="H84" s="71"/>
      <c r="I84" s="176"/>
      <c r="J84" s="176"/>
      <c r="K84" s="176"/>
      <c r="L84" s="176"/>
      <c r="M84" s="176"/>
      <c r="N84" s="176"/>
      <c r="O84" s="176"/>
      <c r="P84" s="176"/>
      <c r="Q84" s="176"/>
      <c r="R84" s="176"/>
      <c r="S84" s="176"/>
      <c r="T84" s="176"/>
      <c r="U84" s="176"/>
      <c r="V84" s="176"/>
      <c r="W84" s="176"/>
      <c r="X84" s="176"/>
      <c r="Y84" s="48"/>
      <c r="Z84" s="24"/>
    </row>
    <row r="85" spans="1:26" ht="16.5" thickBot="1" x14ac:dyDescent="0.25">
      <c r="A85" s="21"/>
      <c r="B85" s="274"/>
      <c r="C85" s="71" t="s">
        <v>951</v>
      </c>
      <c r="D85" s="71"/>
      <c r="E85" s="71"/>
      <c r="F85" s="71"/>
      <c r="G85" s="71"/>
      <c r="H85" s="71"/>
      <c r="I85" s="8"/>
      <c r="J85" s="2"/>
      <c r="K85" s="2"/>
      <c r="L85" s="2"/>
      <c r="M85" s="2"/>
      <c r="N85" s="2"/>
      <c r="O85" s="2"/>
      <c r="P85" s="2"/>
      <c r="Q85" s="2"/>
      <c r="R85" s="275"/>
      <c r="S85" s="2"/>
      <c r="T85" s="59"/>
      <c r="U85" s="59"/>
      <c r="V85" s="374">
        <f>VLOOKUP($F$1,Part4,50,FALSE)</f>
        <v>19923</v>
      </c>
      <c r="W85" s="375"/>
      <c r="X85" s="176"/>
      <c r="Y85" s="48"/>
      <c r="Z85" s="24"/>
    </row>
    <row r="86" spans="1:26" ht="15.75" thickBot="1" x14ac:dyDescent="0.25">
      <c r="A86" s="21"/>
      <c r="B86" s="274"/>
      <c r="C86" s="71"/>
      <c r="D86" s="71"/>
      <c r="E86" s="71"/>
      <c r="F86" s="71"/>
      <c r="G86" s="71"/>
      <c r="H86" s="71"/>
      <c r="I86" s="8"/>
      <c r="J86" s="2"/>
      <c r="K86" s="2"/>
      <c r="L86" s="2"/>
      <c r="M86" s="2"/>
      <c r="N86" s="2"/>
      <c r="O86" s="2"/>
      <c r="P86" s="2"/>
      <c r="Q86" s="2"/>
      <c r="R86" s="2"/>
      <c r="S86" s="2"/>
      <c r="T86" s="59"/>
      <c r="U86" s="59"/>
      <c r="V86" s="8"/>
      <c r="W86" s="8"/>
      <c r="X86" s="176"/>
      <c r="Y86" s="48"/>
      <c r="Z86" s="24"/>
    </row>
    <row r="87" spans="1:26" ht="16.5" thickBot="1" x14ac:dyDescent="0.25">
      <c r="A87" s="21"/>
      <c r="B87" s="274"/>
      <c r="C87" s="71" t="s">
        <v>952</v>
      </c>
      <c r="D87" s="71"/>
      <c r="E87" s="71"/>
      <c r="F87" s="71"/>
      <c r="G87" s="71"/>
      <c r="H87" s="71"/>
      <c r="I87" s="8"/>
      <c r="J87" s="2"/>
      <c r="K87" s="2"/>
      <c r="L87" s="2"/>
      <c r="M87" s="2"/>
      <c r="N87" s="2"/>
      <c r="O87" s="2"/>
      <c r="P87" s="2"/>
      <c r="Q87" s="2"/>
      <c r="R87" s="2"/>
      <c r="S87" s="2"/>
      <c r="T87" s="59"/>
      <c r="U87" s="59"/>
      <c r="V87" s="374">
        <f>VLOOKUP($F$1,Part4,51,FALSE)</f>
        <v>2388</v>
      </c>
      <c r="W87" s="375"/>
      <c r="X87" s="176"/>
      <c r="Y87" s="48"/>
      <c r="Z87" s="24"/>
    </row>
    <row r="88" spans="1:26" ht="16.5" thickBot="1" x14ac:dyDescent="0.25">
      <c r="A88" s="21"/>
      <c r="B88" s="274"/>
      <c r="C88" s="71"/>
      <c r="D88" s="71"/>
      <c r="E88" s="71"/>
      <c r="F88" s="71"/>
      <c r="G88" s="71"/>
      <c r="H88" s="71"/>
      <c r="I88" s="8"/>
      <c r="J88" s="2"/>
      <c r="K88" s="2"/>
      <c r="L88" s="2"/>
      <c r="M88" s="2"/>
      <c r="N88" s="2"/>
      <c r="O88" s="2"/>
      <c r="P88" s="2"/>
      <c r="Q88" s="2"/>
      <c r="R88" s="2"/>
      <c r="S88" s="2"/>
      <c r="T88" s="59"/>
      <c r="U88" s="59"/>
      <c r="V88" s="73"/>
      <c r="W88" s="59"/>
      <c r="X88" s="176"/>
      <c r="Y88" s="48"/>
      <c r="Z88" s="24"/>
    </row>
    <row r="89" spans="1:26" ht="16.5" thickBot="1" x14ac:dyDescent="0.25">
      <c r="A89" s="21"/>
      <c r="B89" s="274"/>
      <c r="C89" s="71" t="s">
        <v>953</v>
      </c>
      <c r="D89" s="71"/>
      <c r="E89" s="71"/>
      <c r="F89" s="71"/>
      <c r="G89" s="71"/>
      <c r="H89" s="71"/>
      <c r="I89" s="8"/>
      <c r="J89" s="2"/>
      <c r="K89" s="2"/>
      <c r="L89" s="2"/>
      <c r="M89" s="2"/>
      <c r="N89" s="2"/>
      <c r="O89" s="2"/>
      <c r="P89" s="2"/>
      <c r="Q89" s="2"/>
      <c r="R89" s="2"/>
      <c r="S89" s="2"/>
      <c r="T89" s="59"/>
      <c r="U89" s="59"/>
      <c r="V89" s="374">
        <f>VLOOKUP($F$1,Part4,52,FALSE)</f>
        <v>17535</v>
      </c>
      <c r="W89" s="375"/>
      <c r="X89" s="176"/>
      <c r="Y89" s="48"/>
      <c r="Z89" s="24"/>
    </row>
    <row r="90" spans="1:26" ht="15.75" thickBot="1" x14ac:dyDescent="0.25">
      <c r="A90" s="22"/>
      <c r="B90" s="276"/>
      <c r="C90" s="277"/>
      <c r="D90" s="277"/>
      <c r="E90" s="277"/>
      <c r="F90" s="277"/>
      <c r="G90" s="277"/>
      <c r="H90" s="277"/>
      <c r="I90" s="150"/>
      <c r="J90" s="23"/>
      <c r="K90" s="23"/>
      <c r="L90" s="23"/>
      <c r="M90" s="23"/>
      <c r="N90" s="23"/>
      <c r="O90" s="23"/>
      <c r="P90" s="23"/>
      <c r="Q90" s="23"/>
      <c r="R90" s="23"/>
      <c r="S90" s="23"/>
      <c r="T90" s="165"/>
      <c r="U90" s="165"/>
      <c r="V90" s="322"/>
      <c r="W90" s="322"/>
      <c r="X90" s="278"/>
      <c r="Y90" s="49"/>
      <c r="Z90" s="24"/>
    </row>
    <row r="91" spans="1:26" ht="15.75" x14ac:dyDescent="0.2">
      <c r="A91" s="169"/>
      <c r="B91" s="279"/>
      <c r="C91" s="280"/>
      <c r="D91" s="280"/>
      <c r="E91" s="280"/>
      <c r="F91" s="280"/>
      <c r="G91" s="280"/>
      <c r="H91" s="280"/>
      <c r="I91" s="106"/>
      <c r="J91" s="169"/>
      <c r="K91" s="169"/>
      <c r="L91" s="169"/>
      <c r="M91" s="169"/>
      <c r="N91" s="169"/>
      <c r="O91" s="169"/>
      <c r="P91" s="169"/>
      <c r="Q91" s="169"/>
      <c r="R91" s="169"/>
      <c r="S91" s="169"/>
      <c r="T91" s="281"/>
      <c r="U91" s="281"/>
      <c r="V91" s="282"/>
      <c r="W91" s="281"/>
      <c r="X91" s="283"/>
      <c r="Y91" s="169"/>
      <c r="Z91" s="24"/>
    </row>
    <row r="92" spans="1:26" ht="16.5" thickBot="1" x14ac:dyDescent="0.25">
      <c r="A92" s="170"/>
      <c r="B92" s="170"/>
      <c r="C92" s="284"/>
      <c r="D92" s="284"/>
      <c r="E92" s="284"/>
      <c r="F92" s="284"/>
      <c r="G92" s="284"/>
      <c r="H92" s="284"/>
      <c r="I92" s="170"/>
      <c r="J92" s="285"/>
      <c r="K92" s="285"/>
      <c r="L92" s="285"/>
      <c r="M92" s="285"/>
      <c r="N92" s="285"/>
      <c r="O92" s="285"/>
      <c r="P92" s="285"/>
      <c r="Q92" s="285"/>
      <c r="R92" s="285"/>
      <c r="S92" s="285"/>
      <c r="T92" s="286"/>
      <c r="U92" s="286"/>
      <c r="V92" s="287"/>
      <c r="W92" s="286"/>
      <c r="X92" s="286"/>
      <c r="Y92" s="286"/>
      <c r="Z92" s="24"/>
    </row>
    <row r="93" spans="1:26" ht="15.75" x14ac:dyDescent="0.2">
      <c r="A93" s="21"/>
      <c r="B93" s="274"/>
      <c r="C93" s="71"/>
      <c r="D93" s="71"/>
      <c r="E93" s="71"/>
      <c r="F93" s="71"/>
      <c r="G93" s="71"/>
      <c r="H93" s="71"/>
      <c r="I93" s="176"/>
      <c r="J93" s="176"/>
      <c r="K93" s="176"/>
      <c r="L93" s="176"/>
      <c r="M93" s="176"/>
      <c r="N93" s="176"/>
      <c r="O93" s="176"/>
      <c r="P93" s="176"/>
      <c r="Q93" s="176"/>
      <c r="R93" s="176"/>
      <c r="S93" s="176"/>
      <c r="T93" s="176"/>
      <c r="U93" s="176"/>
      <c r="V93" s="73"/>
      <c r="W93" s="59"/>
      <c r="X93" s="176"/>
      <c r="Y93" s="48"/>
      <c r="Z93" s="24"/>
    </row>
    <row r="94" spans="1:26" ht="15.75" x14ac:dyDescent="0.2">
      <c r="A94" s="21"/>
      <c r="B94" s="274"/>
      <c r="C94" s="70" t="s">
        <v>954</v>
      </c>
      <c r="D94" s="218"/>
      <c r="E94" s="218"/>
      <c r="F94" s="218"/>
      <c r="G94" s="218"/>
      <c r="H94" s="218"/>
      <c r="I94" s="2"/>
      <c r="J94" s="2"/>
      <c r="K94" s="2"/>
      <c r="L94" s="2"/>
      <c r="M94" s="2"/>
      <c r="N94" s="2"/>
      <c r="O94" s="2"/>
      <c r="P94" s="2"/>
      <c r="Q94" s="2"/>
      <c r="R94" s="2"/>
      <c r="S94" s="2"/>
      <c r="T94" s="2"/>
      <c r="U94" s="2"/>
      <c r="V94" s="2"/>
      <c r="W94" s="2"/>
      <c r="X94" s="176"/>
      <c r="Y94" s="48"/>
      <c r="Z94" s="24"/>
    </row>
    <row r="95" spans="1:26" ht="16.5" thickBot="1" x14ac:dyDescent="0.25">
      <c r="A95" s="21"/>
      <c r="B95" s="274"/>
      <c r="C95" s="70" t="s">
        <v>955</v>
      </c>
      <c r="D95" s="71"/>
      <c r="E95" s="71"/>
      <c r="F95" s="71"/>
      <c r="G95" s="71"/>
      <c r="H95" s="71"/>
      <c r="I95" s="8"/>
      <c r="J95" s="2"/>
      <c r="K95" s="2"/>
      <c r="L95" s="2"/>
      <c r="M95" s="2"/>
      <c r="N95" s="2"/>
      <c r="O95" s="2"/>
      <c r="P95" s="2"/>
      <c r="Q95" s="2"/>
      <c r="R95" s="2"/>
      <c r="S95" s="2"/>
      <c r="T95" s="59"/>
      <c r="U95" s="59"/>
      <c r="V95" s="59"/>
      <c r="W95" s="59"/>
      <c r="X95" s="176"/>
      <c r="Y95" s="48"/>
      <c r="Z95" s="24"/>
    </row>
    <row r="96" spans="1:26" ht="16.5" thickBot="1" x14ac:dyDescent="0.25">
      <c r="A96" s="21"/>
      <c r="B96" s="274"/>
      <c r="C96" s="71" t="s">
        <v>956</v>
      </c>
      <c r="D96" s="71"/>
      <c r="E96" s="71"/>
      <c r="F96" s="71"/>
      <c r="G96" s="71"/>
      <c r="H96" s="71"/>
      <c r="I96" s="8"/>
      <c r="J96" s="2"/>
      <c r="K96" s="2"/>
      <c r="L96" s="2"/>
      <c r="M96" s="2"/>
      <c r="N96" s="2"/>
      <c r="O96" s="2"/>
      <c r="P96" s="2"/>
      <c r="Q96" s="2"/>
      <c r="R96" s="2"/>
      <c r="S96" s="2"/>
      <c r="T96" s="59"/>
      <c r="U96" s="59"/>
      <c r="V96" s="374">
        <f>VLOOKUP($F$1,Part4,53,FALSE)</f>
        <v>213415643</v>
      </c>
      <c r="W96" s="375"/>
      <c r="X96" s="176"/>
      <c r="Y96" s="48"/>
      <c r="Z96" s="24"/>
    </row>
    <row r="97" spans="1:26" ht="15.75" thickBot="1" x14ac:dyDescent="0.25">
      <c r="A97" s="21"/>
      <c r="B97" s="274"/>
      <c r="C97" s="71"/>
      <c r="D97" s="71"/>
      <c r="E97" s="71"/>
      <c r="F97" s="71"/>
      <c r="G97" s="71"/>
      <c r="H97" s="71"/>
      <c r="I97" s="8"/>
      <c r="J97" s="2"/>
      <c r="K97" s="2"/>
      <c r="L97" s="2"/>
      <c r="M97" s="2"/>
      <c r="N97" s="2"/>
      <c r="O97" s="2"/>
      <c r="P97" s="2"/>
      <c r="Q97" s="2"/>
      <c r="R97" s="2"/>
      <c r="S97" s="2"/>
      <c r="T97" s="59"/>
      <c r="U97" s="59"/>
      <c r="V97" s="8"/>
      <c r="W97" s="8"/>
      <c r="X97" s="176"/>
      <c r="Y97" s="48"/>
      <c r="Z97" s="24"/>
    </row>
    <row r="98" spans="1:26" ht="16.5" thickBot="1" x14ac:dyDescent="0.25">
      <c r="A98" s="21"/>
      <c r="B98" s="274"/>
      <c r="C98" s="71" t="s">
        <v>957</v>
      </c>
      <c r="D98" s="71"/>
      <c r="E98" s="71"/>
      <c r="F98" s="71"/>
      <c r="G98" s="71"/>
      <c r="H98" s="71"/>
      <c r="I98" s="8"/>
      <c r="J98" s="2"/>
      <c r="K98" s="2"/>
      <c r="L98" s="2"/>
      <c r="M98" s="2"/>
      <c r="N98" s="2"/>
      <c r="O98" s="2"/>
      <c r="P98" s="2"/>
      <c r="Q98" s="2"/>
      <c r="R98" s="2"/>
      <c r="S98" s="2"/>
      <c r="T98" s="59"/>
      <c r="U98" s="59"/>
      <c r="V98" s="374">
        <f>VLOOKUP($F$1,Part4,54,FALSE)</f>
        <v>176601680</v>
      </c>
      <c r="W98" s="375"/>
      <c r="X98" s="176"/>
      <c r="Y98" s="48"/>
      <c r="Z98" s="24"/>
    </row>
    <row r="99" spans="1:26" ht="16.5" thickBot="1" x14ac:dyDescent="0.25">
      <c r="A99" s="21"/>
      <c r="B99" s="274"/>
      <c r="C99" s="71"/>
      <c r="D99" s="71"/>
      <c r="E99" s="71"/>
      <c r="F99" s="71"/>
      <c r="G99" s="71"/>
      <c r="H99" s="71"/>
      <c r="I99" s="8"/>
      <c r="J99" s="2"/>
      <c r="K99" s="2"/>
      <c r="L99" s="2"/>
      <c r="M99" s="2"/>
      <c r="N99" s="2"/>
      <c r="O99" s="2"/>
      <c r="P99" s="2"/>
      <c r="Q99" s="2"/>
      <c r="R99" s="2"/>
      <c r="S99" s="2"/>
      <c r="T99" s="59"/>
      <c r="U99" s="59"/>
      <c r="V99" s="73"/>
      <c r="W99" s="59"/>
      <c r="X99" s="176"/>
      <c r="Y99" s="48"/>
      <c r="Z99" s="24"/>
    </row>
    <row r="100" spans="1:26" ht="16.5" thickBot="1" x14ac:dyDescent="0.25">
      <c r="A100" s="21"/>
      <c r="B100" s="274"/>
      <c r="C100" s="71" t="s">
        <v>958</v>
      </c>
      <c r="D100" s="71"/>
      <c r="E100" s="71"/>
      <c r="F100" s="71"/>
      <c r="G100" s="71"/>
      <c r="H100" s="71"/>
      <c r="I100" s="8"/>
      <c r="J100" s="2"/>
      <c r="K100" s="2"/>
      <c r="L100" s="2"/>
      <c r="M100" s="2"/>
      <c r="N100" s="2"/>
      <c r="O100" s="2"/>
      <c r="P100" s="2"/>
      <c r="Q100" s="2"/>
      <c r="R100" s="274"/>
      <c r="S100" s="274"/>
      <c r="T100" s="59"/>
      <c r="U100" s="59"/>
      <c r="V100" s="374">
        <f>VLOOKUP($F$1,Part4,55,FALSE)</f>
        <v>36813963</v>
      </c>
      <c r="W100" s="375"/>
      <c r="X100" s="176"/>
      <c r="Y100" s="48"/>
      <c r="Z100" s="24"/>
    </row>
    <row r="101" spans="1:26" ht="15.75" x14ac:dyDescent="0.2">
      <c r="A101" s="21"/>
      <c r="B101" s="274"/>
      <c r="C101" s="71"/>
      <c r="D101" s="71"/>
      <c r="E101" s="71"/>
      <c r="F101" s="71"/>
      <c r="G101" s="71"/>
      <c r="H101" s="71"/>
      <c r="I101" s="8"/>
      <c r="J101" s="2"/>
      <c r="K101" s="2"/>
      <c r="L101" s="2"/>
      <c r="M101" s="2"/>
      <c r="N101" s="2"/>
      <c r="O101" s="2"/>
      <c r="P101" s="2"/>
      <c r="Q101" s="2"/>
      <c r="R101" s="274"/>
      <c r="S101" s="274"/>
      <c r="T101" s="59"/>
      <c r="U101" s="59"/>
      <c r="V101" s="73"/>
      <c r="W101" s="59"/>
      <c r="X101" s="176"/>
      <c r="Y101" s="48"/>
      <c r="Z101" s="24"/>
    </row>
    <row r="102" spans="1:26" ht="15.75" thickBot="1" x14ac:dyDescent="0.25">
      <c r="A102" s="21"/>
      <c r="B102" s="274"/>
      <c r="C102" s="71"/>
      <c r="D102" s="71"/>
      <c r="E102" s="71"/>
      <c r="F102" s="71"/>
      <c r="G102" s="71"/>
      <c r="H102" s="71"/>
      <c r="I102" s="8"/>
      <c r="J102" s="2"/>
      <c r="K102" s="2"/>
      <c r="L102" s="2"/>
      <c r="M102" s="2"/>
      <c r="N102" s="2"/>
      <c r="O102" s="2"/>
      <c r="P102" s="2"/>
      <c r="Q102" s="2"/>
      <c r="R102" s="274"/>
      <c r="S102" s="274"/>
      <c r="T102" s="59"/>
      <c r="U102" s="59"/>
      <c r="V102" s="59"/>
      <c r="W102" s="59"/>
      <c r="X102" s="176"/>
      <c r="Y102" s="48"/>
      <c r="Z102" s="24"/>
    </row>
    <row r="103" spans="1:26" ht="16.5" thickBot="1" x14ac:dyDescent="0.25">
      <c r="A103" s="21"/>
      <c r="B103" s="274"/>
      <c r="C103" s="71" t="s">
        <v>959</v>
      </c>
      <c r="D103" s="71"/>
      <c r="E103" s="71"/>
      <c r="F103" s="71"/>
      <c r="G103" s="71"/>
      <c r="H103" s="71"/>
      <c r="I103" s="8"/>
      <c r="J103" s="2"/>
      <c r="K103" s="2"/>
      <c r="L103" s="2"/>
      <c r="M103" s="2"/>
      <c r="N103" s="2"/>
      <c r="O103" s="2"/>
      <c r="P103" s="2"/>
      <c r="Q103" s="2"/>
      <c r="R103" s="274"/>
      <c r="S103" s="274"/>
      <c r="T103" s="59"/>
      <c r="U103" s="59"/>
      <c r="V103" s="374">
        <f>VLOOKUP($F$1,Part4,56,FALSE)</f>
        <v>31273802</v>
      </c>
      <c r="W103" s="375"/>
      <c r="X103" s="176"/>
      <c r="Y103" s="48"/>
      <c r="Z103" s="24"/>
    </row>
    <row r="104" spans="1:26" ht="15.75" thickBot="1" x14ac:dyDescent="0.25">
      <c r="A104" s="21"/>
      <c r="B104" s="274"/>
      <c r="C104" s="71"/>
      <c r="D104" s="71"/>
      <c r="E104" s="71"/>
      <c r="F104" s="71"/>
      <c r="G104" s="71"/>
      <c r="H104" s="71"/>
      <c r="I104" s="8"/>
      <c r="J104" s="2"/>
      <c r="K104" s="2"/>
      <c r="L104" s="2"/>
      <c r="M104" s="2"/>
      <c r="N104" s="2"/>
      <c r="O104" s="2"/>
      <c r="P104" s="2"/>
      <c r="Q104" s="2"/>
      <c r="R104" s="274"/>
      <c r="S104" s="274"/>
      <c r="T104" s="59"/>
      <c r="U104" s="59"/>
      <c r="V104" s="288"/>
      <c r="W104" s="288"/>
      <c r="X104" s="176"/>
      <c r="Y104" s="48"/>
      <c r="Z104" s="24"/>
    </row>
    <row r="105" spans="1:26" ht="16.5" thickBot="1" x14ac:dyDescent="0.25">
      <c r="A105" s="21"/>
      <c r="B105" s="274"/>
      <c r="C105" s="71" t="s">
        <v>960</v>
      </c>
      <c r="D105" s="71"/>
      <c r="E105" s="71"/>
      <c r="F105" s="71"/>
      <c r="G105" s="71"/>
      <c r="H105" s="71"/>
      <c r="I105" s="8"/>
      <c r="J105" s="2"/>
      <c r="K105" s="2"/>
      <c r="L105" s="2"/>
      <c r="M105" s="2"/>
      <c r="N105" s="2"/>
      <c r="O105" s="2"/>
      <c r="P105" s="2"/>
      <c r="Q105" s="2"/>
      <c r="R105" s="274"/>
      <c r="S105" s="274"/>
      <c r="T105" s="59"/>
      <c r="U105" s="59"/>
      <c r="V105" s="374">
        <f>VLOOKUP($F$1,Part4,57,FALSE)</f>
        <v>25544494</v>
      </c>
      <c r="W105" s="375"/>
      <c r="X105" s="176"/>
      <c r="Y105" s="48"/>
      <c r="Z105" s="24"/>
    </row>
    <row r="106" spans="1:26" ht="16.5" thickBot="1" x14ac:dyDescent="0.25">
      <c r="A106" s="21"/>
      <c r="B106" s="274"/>
      <c r="C106" s="71"/>
      <c r="D106" s="71"/>
      <c r="E106" s="71"/>
      <c r="F106" s="71"/>
      <c r="G106" s="71"/>
      <c r="H106" s="71"/>
      <c r="I106" s="8"/>
      <c r="J106" s="2"/>
      <c r="K106" s="2"/>
      <c r="L106" s="2"/>
      <c r="M106" s="2"/>
      <c r="N106" s="2"/>
      <c r="O106" s="2"/>
      <c r="P106" s="2"/>
      <c r="Q106" s="2"/>
      <c r="R106" s="274"/>
      <c r="S106" s="274"/>
      <c r="T106" s="59"/>
      <c r="U106" s="59"/>
      <c r="V106" s="73"/>
      <c r="W106" s="59"/>
      <c r="X106" s="176"/>
      <c r="Y106" s="48"/>
      <c r="Z106" s="24"/>
    </row>
    <row r="107" spans="1:26" ht="16.5" thickBot="1" x14ac:dyDescent="0.25">
      <c r="A107" s="21"/>
      <c r="B107" s="274"/>
      <c r="C107" s="71" t="s">
        <v>961</v>
      </c>
      <c r="D107" s="71"/>
      <c r="E107" s="71"/>
      <c r="F107" s="71"/>
      <c r="G107" s="71"/>
      <c r="H107" s="71"/>
      <c r="I107" s="8"/>
      <c r="J107" s="2"/>
      <c r="K107" s="2"/>
      <c r="L107" s="2"/>
      <c r="M107" s="2"/>
      <c r="N107" s="2"/>
      <c r="O107" s="2"/>
      <c r="P107" s="2"/>
      <c r="Q107" s="2"/>
      <c r="R107" s="2"/>
      <c r="S107" s="2"/>
      <c r="T107" s="59"/>
      <c r="U107" s="59"/>
      <c r="V107" s="374">
        <f>VLOOKUP($F$1,Part4,58,FALSE)</f>
        <v>5729308</v>
      </c>
      <c r="W107" s="375"/>
      <c r="X107" s="176"/>
      <c r="Y107" s="48"/>
      <c r="Z107" s="24"/>
    </row>
    <row r="108" spans="1:26" ht="15.75" x14ac:dyDescent="0.2">
      <c r="A108" s="21"/>
      <c r="B108" s="274"/>
      <c r="C108" s="71"/>
      <c r="D108" s="71"/>
      <c r="E108" s="71"/>
      <c r="F108" s="71"/>
      <c r="G108" s="71"/>
      <c r="H108" s="71"/>
      <c r="I108" s="8"/>
      <c r="J108" s="2"/>
      <c r="K108" s="2"/>
      <c r="L108" s="2"/>
      <c r="M108" s="2"/>
      <c r="N108" s="2"/>
      <c r="O108" s="2"/>
      <c r="P108" s="2"/>
      <c r="Q108" s="2"/>
      <c r="R108" s="2"/>
      <c r="S108" s="2"/>
      <c r="T108" s="59"/>
      <c r="U108" s="59"/>
      <c r="V108" s="73"/>
      <c r="W108" s="59"/>
      <c r="X108" s="176"/>
      <c r="Y108" s="48"/>
      <c r="Z108" s="24"/>
    </row>
    <row r="109" spans="1:26" ht="16.5" thickBot="1" x14ac:dyDescent="0.25">
      <c r="A109" s="21"/>
      <c r="B109" s="274"/>
      <c r="C109" s="70"/>
      <c r="D109" s="71"/>
      <c r="E109" s="71"/>
      <c r="F109" s="71"/>
      <c r="G109" s="71"/>
      <c r="H109" s="71"/>
      <c r="I109" s="8"/>
      <c r="J109" s="2"/>
      <c r="K109" s="2"/>
      <c r="L109" s="2"/>
      <c r="M109" s="2"/>
      <c r="N109" s="2"/>
      <c r="O109" s="2"/>
      <c r="P109" s="2"/>
      <c r="Q109" s="2"/>
      <c r="R109" s="2"/>
      <c r="S109" s="2"/>
      <c r="T109" s="59"/>
      <c r="U109" s="59"/>
      <c r="V109" s="59"/>
      <c r="W109" s="59"/>
      <c r="X109" s="176"/>
      <c r="Y109" s="48"/>
      <c r="Z109" s="24"/>
    </row>
    <row r="110" spans="1:26" ht="16.5" thickBot="1" x14ac:dyDescent="0.25">
      <c r="A110" s="21"/>
      <c r="B110" s="274"/>
      <c r="C110" s="71" t="s">
        <v>962</v>
      </c>
      <c r="D110" s="71"/>
      <c r="E110" s="71"/>
      <c r="F110" s="71"/>
      <c r="G110" s="71"/>
      <c r="H110" s="71"/>
      <c r="I110" s="8"/>
      <c r="J110" s="2"/>
      <c r="K110" s="2"/>
      <c r="L110" s="2"/>
      <c r="M110" s="2"/>
      <c r="N110" s="2"/>
      <c r="O110" s="2"/>
      <c r="P110" s="2"/>
      <c r="Q110" s="2"/>
      <c r="R110" s="2"/>
      <c r="S110" s="2"/>
      <c r="T110" s="59"/>
      <c r="U110" s="59"/>
      <c r="V110" s="374">
        <f>VLOOKUP($F$1,Part4,59,FALSE)</f>
        <v>3425098</v>
      </c>
      <c r="W110" s="375"/>
      <c r="X110" s="176"/>
      <c r="Y110" s="48"/>
      <c r="Z110" s="24"/>
    </row>
    <row r="111" spans="1:26" ht="15.75" thickBot="1" x14ac:dyDescent="0.25">
      <c r="A111" s="21"/>
      <c r="B111" s="274"/>
      <c r="C111" s="71"/>
      <c r="D111" s="71"/>
      <c r="E111" s="71"/>
      <c r="F111" s="71"/>
      <c r="G111" s="71"/>
      <c r="H111" s="71"/>
      <c r="I111" s="8"/>
      <c r="J111" s="2"/>
      <c r="K111" s="2"/>
      <c r="L111" s="2"/>
      <c r="M111" s="2"/>
      <c r="N111" s="2"/>
      <c r="O111" s="2"/>
      <c r="P111" s="2"/>
      <c r="Q111" s="2"/>
      <c r="R111" s="2"/>
      <c r="S111" s="2"/>
      <c r="T111" s="59"/>
      <c r="U111" s="59"/>
      <c r="V111" s="8"/>
      <c r="W111" s="8"/>
      <c r="X111" s="176"/>
      <c r="Y111" s="48"/>
      <c r="Z111" s="24"/>
    </row>
    <row r="112" spans="1:26" ht="16.5" thickBot="1" x14ac:dyDescent="0.25">
      <c r="A112" s="21"/>
      <c r="B112" s="274"/>
      <c r="C112" s="71" t="s">
        <v>963</v>
      </c>
      <c r="D112" s="71"/>
      <c r="E112" s="71"/>
      <c r="F112" s="71"/>
      <c r="G112" s="71"/>
      <c r="H112" s="71"/>
      <c r="I112" s="8"/>
      <c r="J112" s="2"/>
      <c r="K112" s="2"/>
      <c r="L112" s="2"/>
      <c r="M112" s="2"/>
      <c r="N112" s="2"/>
      <c r="O112" s="2"/>
      <c r="P112" s="2"/>
      <c r="Q112" s="2"/>
      <c r="R112" s="2"/>
      <c r="S112" s="2"/>
      <c r="T112" s="59"/>
      <c r="U112" s="59"/>
      <c r="V112" s="374">
        <f>VLOOKUP($F$1,Part4,60,FALSE)</f>
        <v>2853836</v>
      </c>
      <c r="W112" s="375"/>
      <c r="X112" s="176"/>
      <c r="Y112" s="48"/>
      <c r="Z112" s="24"/>
    </row>
    <row r="113" spans="1:26" ht="16.5" thickBot="1" x14ac:dyDescent="0.25">
      <c r="A113" s="21"/>
      <c r="B113" s="274"/>
      <c r="C113" s="71"/>
      <c r="D113" s="71"/>
      <c r="E113" s="71"/>
      <c r="F113" s="71"/>
      <c r="G113" s="71"/>
      <c r="H113" s="71"/>
      <c r="I113" s="8"/>
      <c r="J113" s="2"/>
      <c r="K113" s="2"/>
      <c r="L113" s="2"/>
      <c r="M113" s="2"/>
      <c r="N113" s="2"/>
      <c r="O113" s="2"/>
      <c r="P113" s="2"/>
      <c r="Q113" s="2"/>
      <c r="R113" s="2"/>
      <c r="S113" s="2"/>
      <c r="T113" s="59"/>
      <c r="U113" s="59"/>
      <c r="V113" s="73"/>
      <c r="W113" s="59"/>
      <c r="X113" s="176"/>
      <c r="Y113" s="48"/>
      <c r="Z113" s="24"/>
    </row>
    <row r="114" spans="1:26" ht="16.5" thickBot="1" x14ac:dyDescent="0.25">
      <c r="A114" s="21"/>
      <c r="B114" s="274"/>
      <c r="C114" s="71" t="s">
        <v>964</v>
      </c>
      <c r="D114" s="71"/>
      <c r="E114" s="71"/>
      <c r="F114" s="71"/>
      <c r="G114" s="71"/>
      <c r="H114" s="71"/>
      <c r="I114" s="8"/>
      <c r="J114" s="2"/>
      <c r="K114" s="2"/>
      <c r="L114" s="2"/>
      <c r="M114" s="2"/>
      <c r="N114" s="2"/>
      <c r="O114" s="2"/>
      <c r="P114" s="2"/>
      <c r="Q114" s="2"/>
      <c r="R114" s="2"/>
      <c r="S114" s="2"/>
      <c r="T114" s="59"/>
      <c r="U114" s="59"/>
      <c r="V114" s="374">
        <f>VLOOKUP($F$1,Part4,61,FALSE)</f>
        <v>571262</v>
      </c>
      <c r="W114" s="375"/>
      <c r="X114" s="176"/>
      <c r="Y114" s="48"/>
      <c r="Z114" s="24"/>
    </row>
    <row r="115" spans="1:26" ht="15" x14ac:dyDescent="0.2">
      <c r="A115" s="21"/>
      <c r="B115" s="274"/>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48"/>
      <c r="Z115" s="24"/>
    </row>
    <row r="116" spans="1:26" ht="15" x14ac:dyDescent="0.2">
      <c r="A116" s="21"/>
      <c r="B116" s="274"/>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48"/>
      <c r="Z116" s="24"/>
    </row>
    <row r="117" spans="1:26" ht="15" x14ac:dyDescent="0.2">
      <c r="A117" s="21"/>
      <c r="B117" s="274"/>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48"/>
      <c r="Z117" s="24"/>
    </row>
    <row r="118" spans="1:26" ht="15" x14ac:dyDescent="0.2">
      <c r="A118" s="21"/>
      <c r="B118" s="274"/>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48"/>
      <c r="Z118" s="24"/>
    </row>
    <row r="119" spans="1:26" ht="15" x14ac:dyDescent="0.2">
      <c r="A119" s="21"/>
      <c r="B119" s="274"/>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48"/>
      <c r="Z119" s="24"/>
    </row>
    <row r="120" spans="1:26" ht="15" x14ac:dyDescent="0.2">
      <c r="A120" s="21"/>
      <c r="B120" s="274"/>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48"/>
      <c r="Z120" s="24"/>
    </row>
    <row r="121" spans="1:26" s="273" customFormat="1" ht="20.25" customHeight="1" thickBot="1" x14ac:dyDescent="0.25">
      <c r="A121" s="269"/>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1"/>
      <c r="Z121" s="272"/>
    </row>
    <row r="122" spans="1:26" x14ac:dyDescent="0.2">
      <c r="A122" s="148"/>
    </row>
    <row r="123" spans="1:26" x14ac:dyDescent="0.2">
      <c r="A123" s="148"/>
    </row>
  </sheetData>
  <mergeCells count="77">
    <mergeCell ref="V114:W114"/>
    <mergeCell ref="V85:W85"/>
    <mergeCell ref="V87:W87"/>
    <mergeCell ref="V89:W89"/>
    <mergeCell ref="V96:W96"/>
    <mergeCell ref="V98:W98"/>
    <mergeCell ref="V100:W100"/>
    <mergeCell ref="V103:W103"/>
    <mergeCell ref="V105:W105"/>
    <mergeCell ref="V107:W107"/>
    <mergeCell ref="V110:W110"/>
    <mergeCell ref="V112:W112"/>
    <mergeCell ref="V82:W82"/>
    <mergeCell ref="V57:W57"/>
    <mergeCell ref="V59:W59"/>
    <mergeCell ref="V61:W61"/>
    <mergeCell ref="V64:W64"/>
    <mergeCell ref="V66:W66"/>
    <mergeCell ref="V68:W68"/>
    <mergeCell ref="V71:W71"/>
    <mergeCell ref="V73:W73"/>
    <mergeCell ref="V75:W75"/>
    <mergeCell ref="V78:W78"/>
    <mergeCell ref="V80:W80"/>
    <mergeCell ref="V54:W54"/>
    <mergeCell ref="V29:W29"/>
    <mergeCell ref="V31:W31"/>
    <mergeCell ref="V33:W33"/>
    <mergeCell ref="V36:W36"/>
    <mergeCell ref="V38:W38"/>
    <mergeCell ref="V40:W40"/>
    <mergeCell ref="V43:W43"/>
    <mergeCell ref="V45:W45"/>
    <mergeCell ref="V47:W47"/>
    <mergeCell ref="V50:W50"/>
    <mergeCell ref="V52:W52"/>
    <mergeCell ref="C22:G23"/>
    <mergeCell ref="J22:K22"/>
    <mergeCell ref="N22:O22"/>
    <mergeCell ref="R22:S22"/>
    <mergeCell ref="V22:W22"/>
    <mergeCell ref="J25:K25"/>
    <mergeCell ref="N25:O25"/>
    <mergeCell ref="R25:S25"/>
    <mergeCell ref="V25:W25"/>
    <mergeCell ref="J17:K17"/>
    <mergeCell ref="N17:O17"/>
    <mergeCell ref="R17:S17"/>
    <mergeCell ref="V17:W17"/>
    <mergeCell ref="C19:H20"/>
    <mergeCell ref="J19:K19"/>
    <mergeCell ref="N19:O19"/>
    <mergeCell ref="R19:S19"/>
    <mergeCell ref="V19:W19"/>
    <mergeCell ref="J14:K14"/>
    <mergeCell ref="N14:O14"/>
    <mergeCell ref="R14:S14"/>
    <mergeCell ref="V14:W14"/>
    <mergeCell ref="J15:K15"/>
    <mergeCell ref="N15:O15"/>
    <mergeCell ref="R15:S15"/>
    <mergeCell ref="V15:W15"/>
    <mergeCell ref="J12:K13"/>
    <mergeCell ref="N12:O12"/>
    <mergeCell ref="R12:S12"/>
    <mergeCell ref="V12:W13"/>
    <mergeCell ref="N13:O13"/>
    <mergeCell ref="R13:S13"/>
    <mergeCell ref="J11:K11"/>
    <mergeCell ref="N11:O11"/>
    <mergeCell ref="R11:S11"/>
    <mergeCell ref="V11:W11"/>
    <mergeCell ref="A3:Y3"/>
    <mergeCell ref="A4:Y4"/>
    <mergeCell ref="A5:Y5"/>
    <mergeCell ref="C7:D7"/>
    <mergeCell ref="C10:P10"/>
  </mergeCells>
  <printOptions horizontalCentered="1"/>
  <pageMargins left="0.39370078740157483" right="0.39370078740157483" top="0.98425196850393704" bottom="0.59055118110236227" header="0.51181102362204722" footer="0.51181102362204722"/>
  <pageSetup paperSize="9" scale="4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7"/>
  <sheetViews>
    <sheetView showGridLines="0" topLeftCell="D2" workbookViewId="0">
      <selection activeCell="W18" sqref="W18:X18"/>
    </sheetView>
  </sheetViews>
  <sheetFormatPr defaultRowHeight="12.75" x14ac:dyDescent="0.2"/>
  <cols>
    <col min="1" max="2" width="1.7109375" customWidth="1"/>
    <col min="3" max="4" width="14.28515625" customWidth="1"/>
    <col min="5" max="5" width="19.28515625" customWidth="1"/>
    <col min="6" max="6" width="5.42578125" customWidth="1"/>
    <col min="7" max="7" width="4.140625" customWidth="1"/>
    <col min="8" max="8" width="3.7109375" customWidth="1"/>
    <col min="9" max="9" width="5.7109375" customWidth="1"/>
    <col min="11" max="11" width="3.28515625" customWidth="1"/>
    <col min="12" max="12" width="15.42578125" customWidth="1"/>
    <col min="13" max="13" width="6.7109375" customWidth="1"/>
    <col min="15" max="15" width="7.5703125" customWidth="1"/>
    <col min="16" max="16" width="6.7109375" customWidth="1"/>
    <col min="17" max="17" width="7.28515625" customWidth="1"/>
    <col min="19" max="19" width="7.7109375" customWidth="1"/>
    <col min="20" max="20" width="7.140625" customWidth="1"/>
    <col min="21" max="21" width="6.85546875" customWidth="1"/>
    <col min="22" max="22" width="3.5703125" customWidth="1"/>
    <col min="23" max="23" width="15.42578125" customWidth="1"/>
    <col min="24" max="24" width="1.7109375" customWidth="1"/>
    <col min="25" max="25" width="2.7109375" customWidth="1"/>
    <col min="26" max="26" width="1.7109375" style="169" customWidth="1"/>
  </cols>
  <sheetData>
    <row r="1" spans="1:26" ht="18.75" customHeight="1" x14ac:dyDescent="0.2">
      <c r="A1" s="198"/>
      <c r="B1" s="199"/>
      <c r="C1" s="199"/>
      <c r="D1" s="199"/>
      <c r="E1" s="199"/>
      <c r="F1" s="292">
        <f>+'Part 2'!F1</f>
        <v>327</v>
      </c>
      <c r="G1" s="199"/>
      <c r="H1" s="199"/>
      <c r="I1" s="199"/>
      <c r="J1" s="199"/>
      <c r="K1" s="199"/>
      <c r="L1" s="199"/>
      <c r="M1" s="199"/>
      <c r="N1" s="199"/>
      <c r="O1" s="199"/>
      <c r="P1" s="199"/>
      <c r="Q1" s="199"/>
      <c r="R1" s="199"/>
      <c r="S1" s="199"/>
      <c r="T1" s="199"/>
      <c r="U1" s="199"/>
      <c r="V1" s="199"/>
      <c r="W1" s="199"/>
      <c r="X1" s="199"/>
      <c r="Y1" s="293"/>
    </row>
    <row r="2" spans="1:26" ht="18.75" customHeight="1" x14ac:dyDescent="0.2">
      <c r="A2" s="152"/>
      <c r="B2" s="153"/>
      <c r="C2" s="153"/>
      <c r="D2" s="153"/>
      <c r="E2" s="153"/>
      <c r="F2" s="156"/>
      <c r="G2" s="153"/>
      <c r="H2" s="153"/>
      <c r="I2" s="153"/>
      <c r="J2" s="153"/>
      <c r="K2" s="153"/>
      <c r="L2" s="153"/>
      <c r="M2" s="153"/>
      <c r="N2" s="153"/>
      <c r="O2" s="153"/>
      <c r="P2" s="153"/>
      <c r="Q2" s="153"/>
      <c r="R2" s="153"/>
      <c r="S2" s="153"/>
      <c r="T2" s="153"/>
      <c r="U2" s="153"/>
      <c r="V2" s="153"/>
      <c r="W2" s="153"/>
      <c r="X2" s="153"/>
      <c r="Y2" s="155"/>
    </row>
    <row r="3" spans="1:26" s="157" customFormat="1" ht="18.75" customHeight="1" x14ac:dyDescent="0.3">
      <c r="A3" s="384" t="s">
        <v>852</v>
      </c>
      <c r="B3" s="387"/>
      <c r="C3" s="387"/>
      <c r="D3" s="387"/>
      <c r="E3" s="387"/>
      <c r="F3" s="387"/>
      <c r="G3" s="387"/>
      <c r="H3" s="387"/>
      <c r="I3" s="387"/>
      <c r="J3" s="387"/>
      <c r="K3" s="387"/>
      <c r="L3" s="387"/>
      <c r="M3" s="387"/>
      <c r="N3" s="387"/>
      <c r="O3" s="387"/>
      <c r="P3" s="387"/>
      <c r="Q3" s="387"/>
      <c r="R3" s="387"/>
      <c r="S3" s="387"/>
      <c r="T3" s="387"/>
      <c r="U3" s="387"/>
      <c r="V3" s="387"/>
      <c r="W3" s="387"/>
      <c r="X3" s="387"/>
      <c r="Y3" s="388"/>
      <c r="Z3" s="294"/>
    </row>
    <row r="4" spans="1:26" s="157" customFormat="1" ht="18.75" customHeight="1" x14ac:dyDescent="0.3">
      <c r="A4" s="384" t="s">
        <v>853</v>
      </c>
      <c r="B4" s="387"/>
      <c r="C4" s="387"/>
      <c r="D4" s="387"/>
      <c r="E4" s="387"/>
      <c r="F4" s="387"/>
      <c r="G4" s="387"/>
      <c r="H4" s="387"/>
      <c r="I4" s="387"/>
      <c r="J4" s="387"/>
      <c r="K4" s="387"/>
      <c r="L4" s="387"/>
      <c r="M4" s="387"/>
      <c r="N4" s="387"/>
      <c r="O4" s="387"/>
      <c r="P4" s="387"/>
      <c r="Q4" s="387"/>
      <c r="R4" s="387"/>
      <c r="S4" s="387"/>
      <c r="T4" s="387"/>
      <c r="U4" s="387"/>
      <c r="V4" s="387"/>
      <c r="W4" s="387"/>
      <c r="X4" s="387"/>
      <c r="Y4" s="388"/>
      <c r="Z4" s="294"/>
    </row>
    <row r="5" spans="1:26" ht="18.75" customHeight="1" x14ac:dyDescent="0.25">
      <c r="A5" s="380"/>
      <c r="B5" s="381"/>
      <c r="C5" s="381"/>
      <c r="D5" s="381"/>
      <c r="E5" s="381"/>
      <c r="F5" s="381"/>
      <c r="G5" s="381"/>
      <c r="H5" s="381"/>
      <c r="I5" s="381"/>
      <c r="J5" s="381"/>
      <c r="K5" s="381"/>
      <c r="L5" s="381"/>
      <c r="M5" s="381"/>
      <c r="N5" s="381"/>
      <c r="O5" s="381"/>
      <c r="P5" s="381"/>
      <c r="Q5" s="381"/>
      <c r="R5" s="381"/>
      <c r="S5" s="381"/>
      <c r="T5" s="381"/>
      <c r="U5" s="381"/>
      <c r="V5" s="381"/>
      <c r="W5" s="381"/>
      <c r="X5" s="381"/>
      <c r="Y5" s="382"/>
      <c r="Z5" s="295"/>
    </row>
    <row r="6" spans="1:26" ht="18.75" customHeight="1" thickBot="1" x14ac:dyDescent="0.25">
      <c r="A6" s="54"/>
      <c r="B6" s="55"/>
      <c r="C6" s="55"/>
      <c r="D6" s="55"/>
      <c r="E6" s="55"/>
      <c r="F6" s="55"/>
      <c r="G6" s="55"/>
      <c r="H6" s="55"/>
      <c r="I6" s="55"/>
      <c r="J6" s="55"/>
      <c r="K6" s="55"/>
      <c r="L6" s="55"/>
      <c r="M6" s="107"/>
      <c r="N6" s="107"/>
      <c r="O6" s="107"/>
      <c r="P6" s="107"/>
      <c r="Q6" s="107"/>
      <c r="R6" s="107"/>
      <c r="S6" s="107"/>
      <c r="T6" s="107"/>
      <c r="U6" s="107"/>
      <c r="V6" s="107"/>
      <c r="W6" s="107"/>
      <c r="X6" s="55"/>
      <c r="Y6" s="56"/>
    </row>
    <row r="7" spans="1:26" x14ac:dyDescent="0.2">
      <c r="A7" s="21"/>
      <c r="B7" s="2"/>
      <c r="C7" s="405"/>
      <c r="D7" s="405"/>
      <c r="E7" s="57"/>
      <c r="F7" s="57"/>
      <c r="G7" s="2"/>
      <c r="H7" s="2"/>
      <c r="I7" s="2"/>
      <c r="J7" s="2"/>
      <c r="K7" s="2"/>
      <c r="L7" s="2"/>
      <c r="M7" s="2"/>
      <c r="N7" s="2"/>
      <c r="O7" s="2"/>
      <c r="P7" s="2"/>
      <c r="Q7" s="2"/>
      <c r="R7" s="2"/>
      <c r="S7" s="2"/>
      <c r="T7" s="2"/>
      <c r="U7" s="2"/>
      <c r="V7" s="2"/>
      <c r="W7" s="2"/>
      <c r="X7" s="2"/>
      <c r="Y7" s="48"/>
    </row>
    <row r="8" spans="1:26" ht="18" x14ac:dyDescent="0.25">
      <c r="A8" s="30"/>
      <c r="B8" s="24"/>
      <c r="C8" s="58" t="str">
        <f>+CONCATENATE("Local Authority : ",VLOOKUP(F1,Part5,5,FALSE))</f>
        <v>Local Authority : England</v>
      </c>
      <c r="D8" s="58"/>
      <c r="E8" s="58"/>
      <c r="F8" s="58"/>
      <c r="G8" s="24"/>
      <c r="H8" s="24"/>
      <c r="I8" s="24"/>
      <c r="J8" s="24"/>
      <c r="K8" s="24"/>
      <c r="L8" s="24"/>
      <c r="M8" s="24"/>
      <c r="N8" s="24"/>
      <c r="O8" s="24"/>
      <c r="P8" s="24"/>
      <c r="Q8" s="24"/>
      <c r="R8" s="24"/>
      <c r="S8" s="24"/>
      <c r="T8" s="24"/>
      <c r="U8" s="24"/>
      <c r="V8" s="24"/>
      <c r="W8" s="24"/>
      <c r="X8" s="24"/>
      <c r="Y8" s="25"/>
      <c r="Z8" s="194"/>
    </row>
    <row r="9" spans="1:26" ht="15.75" x14ac:dyDescent="0.25">
      <c r="A9" s="28"/>
      <c r="B9" s="51"/>
      <c r="C9" s="51"/>
      <c r="D9" s="51"/>
      <c r="E9" s="51"/>
      <c r="F9" s="51"/>
      <c r="G9" s="29"/>
      <c r="H9" s="24"/>
      <c r="I9" s="24"/>
      <c r="J9" s="24"/>
      <c r="K9" s="24"/>
      <c r="L9" s="24"/>
      <c r="M9" s="24"/>
      <c r="N9" s="24"/>
      <c r="O9" s="24"/>
      <c r="P9" s="24"/>
      <c r="Q9" s="24"/>
      <c r="R9" s="24"/>
      <c r="S9" s="24"/>
      <c r="T9" s="24"/>
      <c r="U9" s="24"/>
      <c r="V9" s="24"/>
      <c r="W9" s="24"/>
      <c r="X9" s="24"/>
      <c r="Y9" s="25"/>
      <c r="Z9" s="194"/>
    </row>
    <row r="10" spans="1:26" s="259" customFormat="1" ht="15.75" x14ac:dyDescent="0.25">
      <c r="A10" s="9"/>
      <c r="B10" s="8"/>
      <c r="C10" s="393" t="s">
        <v>965</v>
      </c>
      <c r="D10" s="393"/>
      <c r="E10" s="393"/>
      <c r="F10" s="393"/>
      <c r="G10" s="393"/>
      <c r="H10" s="393"/>
      <c r="I10" s="8"/>
      <c r="J10" s="8"/>
      <c r="K10" s="59"/>
      <c r="L10" s="59"/>
      <c r="M10" s="59"/>
      <c r="N10" s="59"/>
      <c r="O10" s="59"/>
      <c r="P10" s="59"/>
      <c r="Q10" s="59"/>
      <c r="R10" s="59"/>
      <c r="S10" s="59"/>
      <c r="T10" s="59"/>
      <c r="U10" s="59"/>
      <c r="V10" s="59"/>
      <c r="W10" s="59"/>
      <c r="X10" s="59"/>
      <c r="Y10" s="10"/>
      <c r="Z10" s="106"/>
    </row>
    <row r="11" spans="1:26" s="259" customFormat="1" ht="15" x14ac:dyDescent="0.2">
      <c r="A11" s="9"/>
      <c r="B11" s="8"/>
      <c r="C11" s="411" t="s">
        <v>966</v>
      </c>
      <c r="D11" s="390"/>
      <c r="E11" s="390"/>
      <c r="F11" s="390"/>
      <c r="G11" s="390"/>
      <c r="H11" s="390"/>
      <c r="I11" s="390"/>
      <c r="J11" s="390"/>
      <c r="K11" s="390"/>
      <c r="L11" s="390"/>
      <c r="M11" s="390"/>
      <c r="N11" s="390"/>
      <c r="O11" s="390"/>
      <c r="P11" s="390"/>
      <c r="Q11" s="390"/>
      <c r="R11" s="390"/>
      <c r="S11" s="390"/>
      <c r="T11" s="390"/>
      <c r="U11" s="390"/>
      <c r="V11" s="390"/>
      <c r="W11" s="390"/>
      <c r="X11" s="59"/>
      <c r="Y11" s="10"/>
      <c r="Z11" s="106"/>
    </row>
    <row r="12" spans="1:26" s="259" customFormat="1" ht="15.6" customHeight="1" x14ac:dyDescent="0.2">
      <c r="A12" s="9"/>
      <c r="B12" s="8"/>
      <c r="C12" s="390"/>
      <c r="D12" s="390"/>
      <c r="E12" s="390"/>
      <c r="F12" s="390"/>
      <c r="G12" s="390"/>
      <c r="H12" s="390"/>
      <c r="I12" s="390"/>
      <c r="J12" s="390"/>
      <c r="K12" s="390"/>
      <c r="L12" s="390"/>
      <c r="M12" s="390"/>
      <c r="N12" s="390"/>
      <c r="O12" s="390"/>
      <c r="P12" s="390"/>
      <c r="Q12" s="390"/>
      <c r="R12" s="390"/>
      <c r="S12" s="390"/>
      <c r="T12" s="390"/>
      <c r="U12" s="390"/>
      <c r="V12" s="390"/>
      <c r="W12" s="390"/>
      <c r="X12" s="59"/>
      <c r="Y12" s="10"/>
      <c r="Z12" s="106"/>
    </row>
    <row r="13" spans="1:26" s="259" customFormat="1" ht="15" x14ac:dyDescent="0.2">
      <c r="A13" s="9"/>
      <c r="B13" s="8"/>
      <c r="C13" s="8"/>
      <c r="D13" s="8"/>
      <c r="E13" s="8"/>
      <c r="F13" s="8"/>
      <c r="G13" s="8"/>
      <c r="H13" s="8"/>
      <c r="I13" s="8"/>
      <c r="J13" s="8"/>
      <c r="K13" s="412" t="s">
        <v>545</v>
      </c>
      <c r="L13" s="412"/>
      <c r="M13" s="59"/>
      <c r="N13" s="412" t="s">
        <v>546</v>
      </c>
      <c r="O13" s="412"/>
      <c r="P13" s="64"/>
      <c r="Q13" s="412" t="s">
        <v>547</v>
      </c>
      <c r="R13" s="412"/>
      <c r="S13" s="64"/>
      <c r="T13" s="412" t="s">
        <v>548</v>
      </c>
      <c r="U13" s="412"/>
      <c r="V13" s="64"/>
      <c r="W13" s="412" t="s">
        <v>565</v>
      </c>
      <c r="X13" s="412"/>
      <c r="Y13" s="10"/>
      <c r="Z13" s="106"/>
    </row>
    <row r="14" spans="1:26" s="259" customFormat="1" ht="15.75" x14ac:dyDescent="0.2">
      <c r="A14" s="9"/>
      <c r="B14" s="8"/>
      <c r="C14" s="8"/>
      <c r="D14" s="8"/>
      <c r="E14" s="8"/>
      <c r="F14" s="8"/>
      <c r="G14" s="8"/>
      <c r="H14" s="8"/>
      <c r="I14" s="8"/>
      <c r="J14" s="8"/>
      <c r="K14" s="413" t="s">
        <v>35</v>
      </c>
      <c r="L14" s="390"/>
      <c r="M14" s="65"/>
      <c r="N14" s="414" t="str">
        <f>+[3]TierSplit!C1</f>
        <v>Linking billing authorities with their precepting authorities</v>
      </c>
      <c r="O14" s="415"/>
      <c r="P14" s="59"/>
      <c r="Q14" s="413" t="str">
        <f>+IF(+[3]TierSplit!F1="UA","",IF(+[3]TierSplit!F1="MD","",CONCATENATE(+[3]TierSplit!F1," County Council")))</f>
        <v xml:space="preserve"> County Council</v>
      </c>
      <c r="R14" s="390"/>
      <c r="S14" s="59"/>
      <c r="T14" s="414">
        <f>+IF(+[3]TierSplit!I1="County","",IF(+[3]TierSplit!I1="NA","",+[3]TierSplit!I1))</f>
        <v>0</v>
      </c>
      <c r="U14" s="415"/>
      <c r="V14" s="65"/>
      <c r="W14" s="413" t="s">
        <v>556</v>
      </c>
      <c r="X14" s="413"/>
      <c r="Y14" s="10"/>
      <c r="Z14" s="106"/>
    </row>
    <row r="15" spans="1:26" s="259" customFormat="1" ht="15.75" x14ac:dyDescent="0.2">
      <c r="A15" s="9"/>
      <c r="B15" s="8"/>
      <c r="C15" s="8"/>
      <c r="D15" s="8"/>
      <c r="E15" s="8"/>
      <c r="F15" s="8"/>
      <c r="G15" s="8"/>
      <c r="H15" s="8"/>
      <c r="I15" s="8"/>
      <c r="J15" s="8"/>
      <c r="K15" s="390"/>
      <c r="L15" s="390"/>
      <c r="M15" s="65"/>
      <c r="N15" s="415"/>
      <c r="O15" s="415"/>
      <c r="P15" s="59"/>
      <c r="Q15" s="390"/>
      <c r="R15" s="390"/>
      <c r="S15" s="59"/>
      <c r="T15" s="415"/>
      <c r="U15" s="415"/>
      <c r="V15" s="59"/>
      <c r="W15" s="59"/>
      <c r="X15" s="59"/>
      <c r="Y15" s="10"/>
      <c r="Z15" s="106"/>
    </row>
    <row r="16" spans="1:26" s="259" customFormat="1" ht="15.75" x14ac:dyDescent="0.2">
      <c r="A16" s="9"/>
      <c r="B16" s="8"/>
      <c r="C16" s="8"/>
      <c r="D16" s="8"/>
      <c r="E16" s="8"/>
      <c r="F16" s="8"/>
      <c r="G16" s="8"/>
      <c r="H16" s="8"/>
      <c r="I16" s="8"/>
      <c r="J16" s="8"/>
      <c r="K16" s="399" t="s">
        <v>542</v>
      </c>
      <c r="L16" s="399"/>
      <c r="M16" s="65"/>
      <c r="N16" s="399" t="s">
        <v>542</v>
      </c>
      <c r="O16" s="399"/>
      <c r="P16" s="59"/>
      <c r="Q16" s="399" t="s">
        <v>542</v>
      </c>
      <c r="R16" s="399"/>
      <c r="S16" s="59"/>
      <c r="T16" s="399" t="s">
        <v>542</v>
      </c>
      <c r="U16" s="399"/>
      <c r="V16" s="65"/>
      <c r="W16" s="399" t="s">
        <v>542</v>
      </c>
      <c r="X16" s="399"/>
      <c r="Y16" s="10"/>
      <c r="Z16" s="106"/>
    </row>
    <row r="17" spans="1:26" s="259" customFormat="1" ht="16.5" thickBot="1" x14ac:dyDescent="0.3">
      <c r="A17" s="9"/>
      <c r="B17" s="8"/>
      <c r="C17" s="12" t="s">
        <v>967</v>
      </c>
      <c r="D17" s="8"/>
      <c r="E17" s="8"/>
      <c r="F17" s="8"/>
      <c r="G17" s="8"/>
      <c r="H17" s="8"/>
      <c r="I17" s="8"/>
      <c r="J17" s="8"/>
      <c r="K17" s="59"/>
      <c r="L17" s="59"/>
      <c r="M17" s="59"/>
      <c r="N17" s="59"/>
      <c r="O17" s="59"/>
      <c r="P17" s="59"/>
      <c r="Q17" s="59"/>
      <c r="R17" s="59"/>
      <c r="S17" s="59"/>
      <c r="T17" s="59"/>
      <c r="U17" s="59"/>
      <c r="V17" s="59"/>
      <c r="W17" s="59"/>
      <c r="X17" s="59"/>
      <c r="Y17" s="10"/>
      <c r="Z17" s="106"/>
    </row>
    <row r="18" spans="1:26" s="259" customFormat="1" ht="16.5" thickBot="1" x14ac:dyDescent="0.25">
      <c r="A18" s="9"/>
      <c r="B18" s="8"/>
      <c r="C18" s="8"/>
      <c r="D18" s="360" t="s">
        <v>968</v>
      </c>
      <c r="E18" s="360"/>
      <c r="F18" s="360"/>
      <c r="G18" s="360"/>
      <c r="H18" s="360"/>
      <c r="I18" s="360"/>
      <c r="J18" s="8"/>
      <c r="K18" s="374">
        <f>VLOOKUP($F$1,Part5,6,FALSE)</f>
        <v>10276306933</v>
      </c>
      <c r="L18" s="375"/>
      <c r="M18" s="59"/>
      <c r="N18" s="374">
        <f>VLOOKUP($F$1,Part5,7,FALSE)</f>
        <v>8327499408</v>
      </c>
      <c r="O18" s="375"/>
      <c r="P18" s="59"/>
      <c r="Q18" s="374">
        <f>VLOOKUP($F$1,Part5,8,FALSE)</f>
        <v>1834546635</v>
      </c>
      <c r="R18" s="375"/>
      <c r="S18" s="59"/>
      <c r="T18" s="374">
        <f>VLOOKUP($F$1,Part5,9,FALSE)</f>
        <v>115379145</v>
      </c>
      <c r="U18" s="375"/>
      <c r="V18" s="59"/>
      <c r="W18" s="374">
        <f>VLOOKUP($F$1,Part5,10,FALSE)</f>
        <v>20552613853</v>
      </c>
      <c r="X18" s="375"/>
      <c r="Y18" s="10"/>
      <c r="Z18" s="106"/>
    </row>
    <row r="19" spans="1:26" s="259" customFormat="1" ht="16.149999999999999" customHeight="1" x14ac:dyDescent="0.2">
      <c r="A19" s="9"/>
      <c r="B19" s="8"/>
      <c r="C19" s="8"/>
      <c r="D19" s="360"/>
      <c r="E19" s="360"/>
      <c r="F19" s="360"/>
      <c r="G19" s="360"/>
      <c r="H19" s="360"/>
      <c r="I19" s="360"/>
      <c r="J19" s="8"/>
      <c r="K19" s="59"/>
      <c r="L19" s="59"/>
      <c r="M19" s="59"/>
      <c r="N19" s="59"/>
      <c r="O19" s="59"/>
      <c r="P19" s="59"/>
      <c r="Q19" s="59"/>
      <c r="R19" s="59"/>
      <c r="S19" s="59"/>
      <c r="T19" s="59"/>
      <c r="U19" s="59"/>
      <c r="V19" s="59"/>
      <c r="W19" s="59"/>
      <c r="X19" s="59"/>
      <c r="Y19" s="10"/>
      <c r="Z19" s="106"/>
    </row>
    <row r="20" spans="1:26" s="259" customFormat="1" ht="15.75" thickBot="1" x14ac:dyDescent="0.25">
      <c r="A20" s="9"/>
      <c r="B20" s="8"/>
      <c r="C20" s="8"/>
      <c r="D20" s="71"/>
      <c r="E20" s="71"/>
      <c r="F20" s="71"/>
      <c r="G20" s="71"/>
      <c r="H20" s="71"/>
      <c r="I20" s="71"/>
      <c r="J20" s="8"/>
      <c r="K20" s="59"/>
      <c r="L20" s="59"/>
      <c r="M20" s="59"/>
      <c r="N20" s="59"/>
      <c r="O20" s="59"/>
      <c r="P20" s="59"/>
      <c r="Q20" s="59"/>
      <c r="R20" s="59"/>
      <c r="S20" s="59"/>
      <c r="T20" s="59"/>
      <c r="U20" s="59"/>
      <c r="V20" s="59"/>
      <c r="W20" s="59"/>
      <c r="X20" s="59"/>
      <c r="Y20" s="10"/>
      <c r="Z20" s="106"/>
    </row>
    <row r="21" spans="1:26" s="259" customFormat="1" ht="16.5" thickBot="1" x14ac:dyDescent="0.25">
      <c r="A21" s="9"/>
      <c r="B21" s="8"/>
      <c r="C21" s="8"/>
      <c r="D21" s="71" t="s">
        <v>969</v>
      </c>
      <c r="E21" s="71"/>
      <c r="F21" s="71"/>
      <c r="G21" s="71"/>
      <c r="H21" s="71"/>
      <c r="I21" s="71"/>
      <c r="J21" s="8"/>
      <c r="K21" s="374">
        <f>VLOOKUP($F$1,Part5,11,FALSE)</f>
        <v>6849309</v>
      </c>
      <c r="L21" s="375"/>
      <c r="M21" s="59"/>
      <c r="N21" s="59"/>
      <c r="O21" s="59"/>
      <c r="P21" s="59"/>
      <c r="Q21" s="59"/>
      <c r="R21" s="59"/>
      <c r="S21" s="59"/>
      <c r="T21" s="59"/>
      <c r="U21" s="59"/>
      <c r="V21" s="59"/>
      <c r="W21" s="374">
        <f>VLOOKUP($F$1,Part5,12,FALSE)</f>
        <v>6849309</v>
      </c>
      <c r="X21" s="375"/>
      <c r="Y21" s="10"/>
      <c r="Z21" s="106"/>
    </row>
    <row r="22" spans="1:26" s="259" customFormat="1" ht="15" customHeight="1" thickBot="1" x14ac:dyDescent="0.25">
      <c r="A22" s="9"/>
      <c r="B22" s="8"/>
      <c r="C22" s="8"/>
      <c r="D22" s="71"/>
      <c r="E22" s="71"/>
      <c r="F22" s="71"/>
      <c r="G22" s="71"/>
      <c r="H22" s="71"/>
      <c r="I22" s="71"/>
      <c r="J22" s="8"/>
      <c r="K22" s="59"/>
      <c r="L22" s="59"/>
      <c r="M22" s="59"/>
      <c r="N22" s="59"/>
      <c r="O22" s="59"/>
      <c r="P22" s="59"/>
      <c r="Q22" s="59"/>
      <c r="R22" s="59"/>
      <c r="S22" s="59"/>
      <c r="T22" s="59"/>
      <c r="U22" s="59"/>
      <c r="V22" s="59"/>
      <c r="W22" s="59"/>
      <c r="X22" s="59"/>
      <c r="Y22" s="10"/>
      <c r="Z22" s="106"/>
    </row>
    <row r="23" spans="1:26" s="259" customFormat="1" ht="16.5" thickBot="1" x14ac:dyDescent="0.3">
      <c r="A23" s="9"/>
      <c r="B23" s="8"/>
      <c r="C23" s="8"/>
      <c r="D23" s="243">
        <v>3</v>
      </c>
      <c r="E23" s="71"/>
      <c r="F23" s="71"/>
      <c r="G23" s="71"/>
      <c r="H23" s="71"/>
      <c r="I23" s="71"/>
      <c r="J23" s="16" t="s">
        <v>577</v>
      </c>
      <c r="K23" s="374">
        <f>VLOOKUP($F$1,Part5,13,FALSE)</f>
        <v>10269457624</v>
      </c>
      <c r="L23" s="375"/>
      <c r="M23" s="59"/>
      <c r="N23" s="59"/>
      <c r="O23" s="59"/>
      <c r="P23" s="59"/>
      <c r="Q23" s="59"/>
      <c r="R23" s="59"/>
      <c r="S23" s="59"/>
      <c r="T23" s="59"/>
      <c r="U23" s="59"/>
      <c r="V23" s="59"/>
      <c r="W23" s="374">
        <f>VLOOKUP($F$1,Part5,14,FALSE)</f>
        <v>20545764544</v>
      </c>
      <c r="X23" s="375"/>
      <c r="Y23" s="10"/>
      <c r="Z23" s="106"/>
    </row>
    <row r="24" spans="1:26" s="259" customFormat="1" ht="15" x14ac:dyDescent="0.2">
      <c r="A24" s="9"/>
      <c r="B24" s="8"/>
      <c r="C24" s="8"/>
      <c r="D24" s="71"/>
      <c r="E24" s="71"/>
      <c r="F24" s="71"/>
      <c r="G24" s="71"/>
      <c r="H24" s="71"/>
      <c r="I24" s="71"/>
      <c r="J24" s="8"/>
      <c r="K24" s="59"/>
      <c r="L24" s="59"/>
      <c r="M24" s="59"/>
      <c r="N24" s="59"/>
      <c r="O24" s="59"/>
      <c r="P24" s="59"/>
      <c r="Q24" s="59"/>
      <c r="R24" s="59"/>
      <c r="S24" s="59"/>
      <c r="T24" s="59"/>
      <c r="U24" s="59"/>
      <c r="V24" s="59"/>
      <c r="W24" s="59"/>
      <c r="X24" s="59"/>
      <c r="Y24" s="10"/>
      <c r="Z24" s="106"/>
    </row>
    <row r="25" spans="1:26" s="259" customFormat="1" ht="15.75" customHeight="1" thickBot="1" x14ac:dyDescent="0.3">
      <c r="A25" s="9"/>
      <c r="B25" s="8"/>
      <c r="C25" s="12" t="s">
        <v>970</v>
      </c>
      <c r="D25" s="71"/>
      <c r="E25" s="71"/>
      <c r="F25" s="71"/>
      <c r="G25" s="71"/>
      <c r="H25" s="71"/>
      <c r="I25" s="71"/>
      <c r="J25" s="8"/>
      <c r="K25" s="59"/>
      <c r="L25" s="59"/>
      <c r="M25" s="59"/>
      <c r="N25" s="59"/>
      <c r="O25" s="59"/>
      <c r="P25" s="59"/>
      <c r="Q25" s="59"/>
      <c r="R25" s="59"/>
      <c r="S25" s="59"/>
      <c r="T25" s="59"/>
      <c r="U25" s="59"/>
      <c r="V25" s="59"/>
      <c r="W25" s="59"/>
      <c r="X25" s="59"/>
      <c r="Y25" s="10"/>
      <c r="Z25" s="106"/>
    </row>
    <row r="26" spans="1:26" s="259" customFormat="1" ht="16.5" thickBot="1" x14ac:dyDescent="0.25">
      <c r="A26" s="9"/>
      <c r="B26" s="8"/>
      <c r="C26" s="8"/>
      <c r="D26" s="71" t="s">
        <v>971</v>
      </c>
      <c r="E26" s="71"/>
      <c r="F26" s="71"/>
      <c r="G26" s="71"/>
      <c r="H26" s="71"/>
      <c r="I26" s="71"/>
      <c r="J26" s="8"/>
      <c r="K26" s="59"/>
      <c r="L26" s="59"/>
      <c r="M26" s="59"/>
      <c r="N26" s="374">
        <f>VLOOKUP($F$1,Part5,15,FALSE)</f>
        <v>84126680</v>
      </c>
      <c r="O26" s="375"/>
      <c r="P26" s="59"/>
      <c r="Q26" s="59"/>
      <c r="R26" s="59"/>
      <c r="S26" s="59"/>
      <c r="T26" s="59"/>
      <c r="U26" s="59"/>
      <c r="V26" s="59"/>
      <c r="W26" s="374">
        <f>VLOOKUP($F$1,Part5,16,FALSE)</f>
        <v>84126680</v>
      </c>
      <c r="X26" s="375"/>
      <c r="Y26" s="10"/>
      <c r="Z26" s="106"/>
    </row>
    <row r="27" spans="1:26" s="259" customFormat="1" ht="15.75" thickBot="1" x14ac:dyDescent="0.25">
      <c r="A27" s="9"/>
      <c r="B27" s="8"/>
      <c r="C27" s="8"/>
      <c r="D27" s="71"/>
      <c r="E27" s="71"/>
      <c r="F27" s="71"/>
      <c r="G27" s="71"/>
      <c r="H27" s="71"/>
      <c r="I27" s="71"/>
      <c r="J27" s="8"/>
      <c r="K27" s="59"/>
      <c r="L27" s="59"/>
      <c r="M27" s="59"/>
      <c r="N27" s="59"/>
      <c r="O27" s="59"/>
      <c r="P27" s="59"/>
      <c r="Q27" s="59"/>
      <c r="R27" s="59"/>
      <c r="S27" s="59"/>
      <c r="T27" s="59"/>
      <c r="U27" s="59"/>
      <c r="V27" s="59"/>
      <c r="W27" s="59"/>
      <c r="X27" s="59"/>
      <c r="Y27" s="10"/>
      <c r="Z27" s="106"/>
    </row>
    <row r="28" spans="1:26" s="259" customFormat="1" ht="16.5" thickBot="1" x14ac:dyDescent="0.25">
      <c r="A28" s="9"/>
      <c r="B28" s="8"/>
      <c r="C28" s="8"/>
      <c r="D28" s="71" t="s">
        <v>972</v>
      </c>
      <c r="E28" s="71"/>
      <c r="F28" s="71"/>
      <c r="G28" s="71"/>
      <c r="H28" s="71"/>
      <c r="I28" s="71"/>
      <c r="J28" s="8"/>
      <c r="K28" s="59"/>
      <c r="L28" s="59"/>
      <c r="M28" s="59"/>
      <c r="N28" s="374">
        <f>VLOOKUP($F$1,Part5,17,FALSE)</f>
        <v>2727861</v>
      </c>
      <c r="O28" s="375"/>
      <c r="P28" s="59"/>
      <c r="Q28" s="59"/>
      <c r="R28" s="59"/>
      <c r="S28" s="59"/>
      <c r="T28" s="59"/>
      <c r="U28" s="59"/>
      <c r="V28" s="59"/>
      <c r="W28" s="374">
        <f>VLOOKUP($F$1,Part5,18,FALSE)</f>
        <v>2727861</v>
      </c>
      <c r="X28" s="375"/>
      <c r="Y28" s="10"/>
      <c r="Z28" s="106"/>
    </row>
    <row r="29" spans="1:26" s="259" customFormat="1" ht="15.75" thickBot="1" x14ac:dyDescent="0.25">
      <c r="A29" s="9"/>
      <c r="B29" s="8"/>
      <c r="C29" s="8"/>
      <c r="D29" s="71"/>
      <c r="E29" s="71"/>
      <c r="F29" s="71"/>
      <c r="G29" s="71"/>
      <c r="H29" s="71"/>
      <c r="I29" s="71"/>
      <c r="J29" s="8"/>
      <c r="K29" s="59"/>
      <c r="L29" s="59"/>
      <c r="M29" s="59"/>
      <c r="N29" s="59"/>
      <c r="O29" s="59"/>
      <c r="P29" s="59"/>
      <c r="Q29" s="59"/>
      <c r="R29" s="59"/>
      <c r="S29" s="59"/>
      <c r="T29" s="59"/>
      <c r="U29" s="59"/>
      <c r="V29" s="59"/>
      <c r="W29" s="59"/>
      <c r="X29" s="59"/>
      <c r="Y29" s="10"/>
      <c r="Z29" s="106"/>
    </row>
    <row r="30" spans="1:26" s="259" customFormat="1" ht="16.5" thickBot="1" x14ac:dyDescent="0.25">
      <c r="A30" s="9"/>
      <c r="B30" s="8"/>
      <c r="C30" s="8"/>
      <c r="D30" s="71" t="s">
        <v>973</v>
      </c>
      <c r="E30" s="71"/>
      <c r="F30" s="71"/>
      <c r="G30" s="71"/>
      <c r="H30" s="71"/>
      <c r="I30" s="71"/>
      <c r="J30" s="8"/>
      <c r="K30" s="59"/>
      <c r="L30" s="59"/>
      <c r="M30" s="59"/>
      <c r="N30" s="374">
        <f>VLOOKUP($F$1,Part5,19,FALSE)</f>
        <v>1132971</v>
      </c>
      <c r="O30" s="375"/>
      <c r="P30" s="59"/>
      <c r="Q30" s="59"/>
      <c r="R30" s="59"/>
      <c r="S30" s="59"/>
      <c r="T30" s="59"/>
      <c r="U30" s="59"/>
      <c r="V30" s="59"/>
      <c r="W30" s="374">
        <f>VLOOKUP($F$1,Part5,20,FALSE)</f>
        <v>1132971</v>
      </c>
      <c r="X30" s="375"/>
      <c r="Y30" s="10"/>
      <c r="Z30" s="106"/>
    </row>
    <row r="31" spans="1:26" s="259" customFormat="1" ht="16.149999999999999" customHeight="1" thickBot="1" x14ac:dyDescent="0.25">
      <c r="A31" s="9"/>
      <c r="B31" s="8"/>
      <c r="C31" s="8"/>
      <c r="D31" s="71"/>
      <c r="E31" s="71"/>
      <c r="F31" s="71"/>
      <c r="G31" s="71"/>
      <c r="H31" s="71"/>
      <c r="I31" s="71"/>
      <c r="J31" s="8"/>
      <c r="K31" s="59"/>
      <c r="L31" s="59"/>
      <c r="M31" s="59"/>
      <c r="N31" s="59"/>
      <c r="O31" s="59"/>
      <c r="P31" s="59"/>
      <c r="Q31" s="59"/>
      <c r="R31" s="59"/>
      <c r="S31" s="59"/>
      <c r="T31" s="59"/>
      <c r="U31" s="59"/>
      <c r="V31" s="59"/>
      <c r="W31" s="59"/>
      <c r="X31" s="59"/>
      <c r="Y31" s="10"/>
      <c r="Z31" s="106"/>
    </row>
    <row r="32" spans="1:26" s="259" customFormat="1" ht="16.5" thickBot="1" x14ac:dyDescent="0.25">
      <c r="A32" s="9"/>
      <c r="B32" s="8"/>
      <c r="C32" s="8"/>
      <c r="D32" s="71" t="s">
        <v>974</v>
      </c>
      <c r="E32" s="71"/>
      <c r="F32" s="71"/>
      <c r="G32" s="71"/>
      <c r="H32" s="71"/>
      <c r="I32" s="71"/>
      <c r="J32" s="8"/>
      <c r="K32" s="59"/>
      <c r="L32" s="59"/>
      <c r="M32" s="59"/>
      <c r="N32" s="374">
        <f>VLOOKUP($F$1,Part5,21,FALSE)</f>
        <v>3595456</v>
      </c>
      <c r="O32" s="375"/>
      <c r="P32" s="59"/>
      <c r="Q32" s="374">
        <f>VLOOKUP($F$1,Part5,22,FALSE)</f>
        <v>0</v>
      </c>
      <c r="R32" s="375"/>
      <c r="S32" s="59"/>
      <c r="T32" s="59"/>
      <c r="U32" s="59"/>
      <c r="V32" s="59"/>
      <c r="W32" s="374">
        <f>VLOOKUP($F$1,Part5,23,FALSE)</f>
        <v>3595456</v>
      </c>
      <c r="X32" s="375"/>
      <c r="Y32" s="10"/>
      <c r="Z32" s="106"/>
    </row>
    <row r="33" spans="1:26" s="259" customFormat="1" ht="15.75" thickBot="1" x14ac:dyDescent="0.25">
      <c r="A33" s="9"/>
      <c r="B33" s="8"/>
      <c r="C33" s="8"/>
      <c r="D33" s="71"/>
      <c r="E33" s="71"/>
      <c r="F33" s="71"/>
      <c r="G33" s="71"/>
      <c r="H33" s="71"/>
      <c r="I33" s="71"/>
      <c r="J33" s="8"/>
      <c r="K33" s="59"/>
      <c r="L33" s="59"/>
      <c r="M33" s="59"/>
      <c r="N33" s="59"/>
      <c r="O33" s="59"/>
      <c r="P33" s="59"/>
      <c r="Q33" s="59"/>
      <c r="R33" s="59"/>
      <c r="S33" s="59"/>
      <c r="T33" s="59"/>
      <c r="U33" s="59"/>
      <c r="V33" s="59"/>
      <c r="W33" s="59"/>
      <c r="X33" s="59"/>
      <c r="Y33" s="10"/>
      <c r="Z33" s="106"/>
    </row>
    <row r="34" spans="1:26" s="259" customFormat="1" ht="16.5" thickBot="1" x14ac:dyDescent="0.25">
      <c r="A34" s="9"/>
      <c r="B34" s="8"/>
      <c r="C34" s="8"/>
      <c r="D34" s="71" t="s">
        <v>975</v>
      </c>
      <c r="E34" s="71"/>
      <c r="F34" s="71"/>
      <c r="G34" s="71"/>
      <c r="H34" s="71"/>
      <c r="I34" s="71"/>
      <c r="J34" s="8"/>
      <c r="K34" s="59"/>
      <c r="L34" s="59"/>
      <c r="M34" s="59"/>
      <c r="N34" s="374">
        <f>VLOOKUP($F$1,Part5,24,FALSE)</f>
        <v>6672653</v>
      </c>
      <c r="O34" s="375"/>
      <c r="P34" s="59"/>
      <c r="Q34" s="374">
        <f>VLOOKUP($F$1,Part5,25,FALSE)</f>
        <v>156733</v>
      </c>
      <c r="R34" s="375"/>
      <c r="S34" s="59"/>
      <c r="T34" s="374">
        <f>VLOOKUP($F$1,Part5,26,FALSE)</f>
        <v>19923</v>
      </c>
      <c r="U34" s="375"/>
      <c r="V34" s="59"/>
      <c r="W34" s="374">
        <f>VLOOKUP($F$1,Part5,27,FALSE)</f>
        <v>6849309</v>
      </c>
      <c r="X34" s="375"/>
      <c r="Y34" s="10"/>
      <c r="Z34" s="106"/>
    </row>
    <row r="35" spans="1:26" s="259" customFormat="1" ht="15.75" x14ac:dyDescent="0.2">
      <c r="A35" s="9"/>
      <c r="B35" s="8"/>
      <c r="C35" s="8"/>
      <c r="D35" s="71"/>
      <c r="E35" s="71"/>
      <c r="F35" s="71"/>
      <c r="G35" s="71"/>
      <c r="H35" s="71"/>
      <c r="I35" s="71"/>
      <c r="J35" s="8"/>
      <c r="K35" s="59"/>
      <c r="L35" s="59"/>
      <c r="M35" s="59"/>
      <c r="N35" s="73"/>
      <c r="O35" s="59"/>
      <c r="P35" s="59"/>
      <c r="Q35" s="73"/>
      <c r="R35" s="59"/>
      <c r="S35" s="59"/>
      <c r="T35" s="73"/>
      <c r="U35" s="59"/>
      <c r="V35" s="59"/>
      <c r="W35" s="73"/>
      <c r="X35" s="59"/>
      <c r="Y35" s="10"/>
      <c r="Z35" s="106"/>
    </row>
    <row r="36" spans="1:26" s="259" customFormat="1" ht="15.75" x14ac:dyDescent="0.25">
      <c r="A36" s="9"/>
      <c r="B36" s="8"/>
      <c r="C36" s="12" t="s">
        <v>976</v>
      </c>
      <c r="D36" s="71"/>
      <c r="E36" s="71"/>
      <c r="F36" s="71"/>
      <c r="G36" s="71"/>
      <c r="H36" s="71"/>
      <c r="I36" s="71"/>
      <c r="J36" s="8"/>
      <c r="K36" s="59"/>
      <c r="L36" s="59"/>
      <c r="M36" s="59"/>
      <c r="N36" s="73"/>
      <c r="O36" s="59"/>
      <c r="P36" s="59"/>
      <c r="Q36" s="73"/>
      <c r="R36" s="59"/>
      <c r="S36" s="59"/>
      <c r="T36" s="73"/>
      <c r="U36" s="59"/>
      <c r="V36" s="59"/>
      <c r="W36" s="73"/>
      <c r="X36" s="59"/>
      <c r="Y36" s="10"/>
      <c r="Z36" s="106"/>
    </row>
    <row r="37" spans="1:26" s="259" customFormat="1" ht="16.5" thickBot="1" x14ac:dyDescent="0.3">
      <c r="A37" s="9"/>
      <c r="B37" s="8"/>
      <c r="C37" s="12" t="s">
        <v>977</v>
      </c>
      <c r="D37" s="71"/>
      <c r="E37" s="71"/>
      <c r="F37" s="71"/>
      <c r="G37" s="71"/>
      <c r="H37" s="71"/>
      <c r="I37" s="71"/>
      <c r="J37" s="8"/>
      <c r="K37" s="399" t="s">
        <v>542</v>
      </c>
      <c r="L37" s="399"/>
      <c r="M37" s="65"/>
      <c r="N37" s="399" t="s">
        <v>542</v>
      </c>
      <c r="O37" s="399"/>
      <c r="P37" s="59"/>
      <c r="Q37" s="399" t="s">
        <v>542</v>
      </c>
      <c r="R37" s="399"/>
      <c r="S37" s="59"/>
      <c r="T37" s="399" t="s">
        <v>542</v>
      </c>
      <c r="U37" s="399"/>
      <c r="V37" s="65"/>
      <c r="W37" s="399" t="s">
        <v>542</v>
      </c>
      <c r="X37" s="399"/>
      <c r="Y37" s="10"/>
      <c r="Z37" s="106"/>
    </row>
    <row r="38" spans="1:26" s="259" customFormat="1" ht="16.5" thickBot="1" x14ac:dyDescent="0.25">
      <c r="A38" s="9"/>
      <c r="B38" s="8"/>
      <c r="C38" s="8"/>
      <c r="D38" s="71" t="s">
        <v>978</v>
      </c>
      <c r="E38" s="71"/>
      <c r="F38" s="71"/>
      <c r="G38" s="71"/>
      <c r="H38" s="71"/>
      <c r="I38" s="71"/>
      <c r="J38" s="8"/>
      <c r="K38" s="374">
        <f>VLOOKUP($F$1,Part5,28,FALSE)</f>
        <v>620348573.45000005</v>
      </c>
      <c r="L38" s="375"/>
      <c r="M38" s="59"/>
      <c r="N38" s="374">
        <f>VLOOKUP($F$1,Part5,29,FALSE)</f>
        <v>519923197</v>
      </c>
      <c r="O38" s="375"/>
      <c r="P38" s="59"/>
      <c r="Q38" s="374">
        <f>VLOOKUP($F$1,Part5,30,FALSE)</f>
        <v>92604228</v>
      </c>
      <c r="R38" s="375"/>
      <c r="S38" s="59"/>
      <c r="T38" s="374">
        <f>VLOOKUP($F$1,Part5,31,FALSE)</f>
        <v>7821168</v>
      </c>
      <c r="U38" s="375"/>
      <c r="V38" s="59"/>
      <c r="W38" s="374">
        <f>VLOOKUP($F$1,Part5,32,FALSE)</f>
        <v>1240697166.2200003</v>
      </c>
      <c r="X38" s="375"/>
      <c r="Y38" s="10"/>
      <c r="Z38" s="106"/>
    </row>
    <row r="39" spans="1:26" s="259" customFormat="1" ht="15.75" thickBot="1" x14ac:dyDescent="0.25">
      <c r="A39" s="9"/>
      <c r="B39" s="8"/>
      <c r="C39" s="8"/>
      <c r="D39" s="71"/>
      <c r="E39" s="71"/>
      <c r="F39" s="71"/>
      <c r="G39" s="71"/>
      <c r="H39" s="71"/>
      <c r="I39" s="71"/>
      <c r="J39" s="8"/>
      <c r="K39" s="59"/>
      <c r="L39" s="59"/>
      <c r="M39" s="59"/>
      <c r="N39" s="59"/>
      <c r="O39" s="59"/>
      <c r="P39" s="59"/>
      <c r="Q39" s="59"/>
      <c r="R39" s="59"/>
      <c r="S39" s="59"/>
      <c r="T39" s="59"/>
      <c r="U39" s="59"/>
      <c r="V39" s="59"/>
      <c r="W39" s="59"/>
      <c r="X39" s="59"/>
      <c r="Y39" s="10"/>
      <c r="Z39" s="106"/>
    </row>
    <row r="40" spans="1:26" s="259" customFormat="1" ht="16.5" thickBot="1" x14ac:dyDescent="0.25">
      <c r="A40" s="9"/>
      <c r="B40" s="8"/>
      <c r="C40" s="8"/>
      <c r="D40" s="71" t="s">
        <v>979</v>
      </c>
      <c r="E40" s="71"/>
      <c r="F40" s="71"/>
      <c r="G40" s="71"/>
      <c r="H40" s="71"/>
      <c r="I40" s="71"/>
      <c r="J40" s="8"/>
      <c r="K40" s="374">
        <f>VLOOKUP($F$1,Part5,33,FALSE)</f>
        <v>235455300.57000005</v>
      </c>
      <c r="L40" s="375"/>
      <c r="M40" s="59"/>
      <c r="N40" s="374">
        <f>VLOOKUP($F$1,Part5,34,FALSE)</f>
        <v>185191252</v>
      </c>
      <c r="O40" s="375"/>
      <c r="P40" s="59"/>
      <c r="Q40" s="374">
        <f>VLOOKUP($F$1,Part5,35,FALSE)</f>
        <v>47948229</v>
      </c>
      <c r="R40" s="375"/>
      <c r="S40" s="59"/>
      <c r="T40" s="374">
        <f>VLOOKUP($F$1,Part5,36,FALSE)</f>
        <v>2315826</v>
      </c>
      <c r="U40" s="375"/>
      <c r="V40" s="59"/>
      <c r="W40" s="374">
        <f>VLOOKUP($F$1,Part5,37,FALSE)</f>
        <v>470910607.76000023</v>
      </c>
      <c r="X40" s="375"/>
      <c r="Y40" s="10"/>
      <c r="Z40" s="106"/>
    </row>
    <row r="41" spans="1:26" s="259" customFormat="1" ht="15" x14ac:dyDescent="0.2">
      <c r="A41" s="9"/>
      <c r="B41" s="8"/>
      <c r="C41" s="8"/>
      <c r="D41" s="71"/>
      <c r="E41" s="71"/>
      <c r="F41" s="71"/>
      <c r="G41" s="71"/>
      <c r="H41" s="71"/>
      <c r="I41" s="71"/>
      <c r="J41" s="8"/>
      <c r="K41" s="59"/>
      <c r="L41" s="59"/>
      <c r="M41" s="59"/>
      <c r="N41" s="59"/>
      <c r="O41" s="59"/>
      <c r="P41" s="59"/>
      <c r="Q41" s="59"/>
      <c r="R41" s="59"/>
      <c r="S41" s="59"/>
      <c r="T41" s="59"/>
      <c r="U41" s="59"/>
      <c r="V41" s="59"/>
      <c r="W41" s="59"/>
      <c r="X41" s="59"/>
      <c r="Y41" s="10"/>
      <c r="Z41" s="106"/>
    </row>
    <row r="42" spans="1:26" s="259" customFormat="1" ht="16.5" thickBot="1" x14ac:dyDescent="0.3">
      <c r="A42" s="21"/>
      <c r="B42" s="2"/>
      <c r="C42" s="12"/>
      <c r="D42" s="70" t="s">
        <v>980</v>
      </c>
      <c r="E42" s="218"/>
      <c r="F42" s="218"/>
      <c r="G42" s="218"/>
      <c r="H42" s="218"/>
      <c r="I42" s="218"/>
      <c r="J42" s="2"/>
      <c r="K42" s="2"/>
      <c r="L42" s="2"/>
      <c r="M42" s="2"/>
      <c r="N42" s="2"/>
      <c r="O42" s="2"/>
      <c r="P42" s="2"/>
      <c r="Q42" s="2"/>
      <c r="R42" s="2"/>
      <c r="S42" s="2"/>
      <c r="T42" s="2"/>
      <c r="U42" s="2"/>
      <c r="V42" s="2"/>
      <c r="W42" s="2"/>
      <c r="X42" s="2"/>
      <c r="Y42" s="48"/>
      <c r="Z42" s="106"/>
    </row>
    <row r="43" spans="1:26" s="259" customFormat="1" ht="16.5" thickBot="1" x14ac:dyDescent="0.25">
      <c r="A43" s="21"/>
      <c r="B43" s="2"/>
      <c r="C43" s="8"/>
      <c r="D43" s="71" t="s">
        <v>981</v>
      </c>
      <c r="E43" s="218"/>
      <c r="F43" s="218"/>
      <c r="G43" s="218"/>
      <c r="H43" s="218"/>
      <c r="I43" s="218"/>
      <c r="J43" s="2"/>
      <c r="K43" s="374">
        <f>VLOOKUP($F$1,Part5,38,FALSE)</f>
        <v>271252996.88999999</v>
      </c>
      <c r="L43" s="375"/>
      <c r="M43" s="59"/>
      <c r="N43" s="374">
        <f>VLOOKUP($F$1,Part5,39,FALSE)</f>
        <v>221180370</v>
      </c>
      <c r="O43" s="375"/>
      <c r="P43" s="59"/>
      <c r="Q43" s="374">
        <f>VLOOKUP($F$1,Part5,40,FALSE)</f>
        <v>43692015</v>
      </c>
      <c r="R43" s="375"/>
      <c r="S43" s="59"/>
      <c r="T43" s="374">
        <f>VLOOKUP($F$1,Part5,41,FALSE)</f>
        <v>3548777</v>
      </c>
      <c r="U43" s="375"/>
      <c r="V43" s="59"/>
      <c r="W43" s="374">
        <f>VLOOKUP($F$1,Part5,42,FALSE)</f>
        <v>539674158.8599999</v>
      </c>
      <c r="X43" s="375"/>
      <c r="Y43" s="48"/>
      <c r="Z43" s="106"/>
    </row>
    <row r="44" spans="1:26" s="259" customFormat="1" ht="15.75" thickBot="1" x14ac:dyDescent="0.25">
      <c r="A44" s="21"/>
      <c r="B44" s="2"/>
      <c r="C44" s="8"/>
      <c r="D44" s="71"/>
      <c r="E44" s="218"/>
      <c r="F44" s="218"/>
      <c r="G44" s="218"/>
      <c r="H44" s="218"/>
      <c r="I44" s="218"/>
      <c r="J44" s="2"/>
      <c r="K44" s="2"/>
      <c r="L44" s="2"/>
      <c r="M44" s="2"/>
      <c r="N44" s="2"/>
      <c r="O44" s="2"/>
      <c r="P44" s="2"/>
      <c r="Q44" s="2"/>
      <c r="R44" s="2"/>
      <c r="S44" s="2"/>
      <c r="T44" s="2"/>
      <c r="U44" s="2"/>
      <c r="V44" s="2"/>
      <c r="W44" s="2"/>
      <c r="X44" s="2"/>
      <c r="Y44" s="48"/>
      <c r="Z44" s="106"/>
    </row>
    <row r="45" spans="1:26" s="259" customFormat="1" ht="16.5" thickBot="1" x14ac:dyDescent="0.25">
      <c r="A45" s="21"/>
      <c r="B45" s="2"/>
      <c r="C45" s="8"/>
      <c r="D45" s="71" t="s">
        <v>982</v>
      </c>
      <c r="E45" s="218"/>
      <c r="F45" s="218"/>
      <c r="G45" s="218"/>
      <c r="H45" s="218"/>
      <c r="I45" s="218"/>
      <c r="J45" s="2"/>
      <c r="K45" s="374">
        <f>VLOOKUP($F$1,Part5,43,FALSE)</f>
        <v>45020933.070000008</v>
      </c>
      <c r="L45" s="375"/>
      <c r="M45" s="59"/>
      <c r="N45" s="374">
        <f>VLOOKUP($F$1,Part5,44,FALSE)</f>
        <v>37197612</v>
      </c>
      <c r="O45" s="375"/>
      <c r="P45" s="59"/>
      <c r="Q45" s="374">
        <f>VLOOKUP($F$1,Part5,45,FALSE)</f>
        <v>7244735</v>
      </c>
      <c r="R45" s="375"/>
      <c r="S45" s="59"/>
      <c r="T45" s="374">
        <f>VLOOKUP($F$1,Part5,46,FALSE)</f>
        <v>516042</v>
      </c>
      <c r="U45" s="375"/>
      <c r="V45" s="59"/>
      <c r="W45" s="374">
        <f>VLOOKUP($F$1,Part5,47,FALSE)</f>
        <v>89979322.14000003</v>
      </c>
      <c r="X45" s="375"/>
      <c r="Y45" s="48"/>
      <c r="Z45" s="106"/>
    </row>
    <row r="46" spans="1:26" s="259" customFormat="1" ht="15.75" thickBot="1" x14ac:dyDescent="0.25">
      <c r="A46" s="21"/>
      <c r="B46" s="2"/>
      <c r="C46" s="8"/>
      <c r="D46" s="71"/>
      <c r="E46" s="218"/>
      <c r="F46" s="218"/>
      <c r="G46" s="218"/>
      <c r="H46" s="218"/>
      <c r="I46" s="218"/>
      <c r="J46" s="2"/>
      <c r="K46" s="2"/>
      <c r="L46" s="2"/>
      <c r="M46" s="2"/>
      <c r="N46" s="2"/>
      <c r="O46" s="2"/>
      <c r="P46" s="2"/>
      <c r="Q46" s="2"/>
      <c r="R46" s="2"/>
      <c r="S46" s="2"/>
      <c r="T46" s="2"/>
      <c r="U46" s="2"/>
      <c r="V46" s="2"/>
      <c r="W46" s="2"/>
      <c r="X46" s="2"/>
      <c r="Y46" s="48"/>
      <c r="Z46" s="106"/>
    </row>
    <row r="47" spans="1:26" s="259" customFormat="1" ht="16.5" thickBot="1" x14ac:dyDescent="0.25">
      <c r="A47" s="21"/>
      <c r="B47" s="2"/>
      <c r="C47" s="8"/>
      <c r="D47" s="71" t="s">
        <v>983</v>
      </c>
      <c r="E47" s="218"/>
      <c r="F47" s="218"/>
      <c r="G47" s="218"/>
      <c r="H47" s="218"/>
      <c r="I47" s="218"/>
      <c r="J47" s="2"/>
      <c r="K47" s="374">
        <f>VLOOKUP($F$1,Part5,48,FALSE)</f>
        <v>316273929.9199999</v>
      </c>
      <c r="L47" s="375"/>
      <c r="M47" s="59"/>
      <c r="N47" s="374">
        <f>VLOOKUP($F$1,Part5,49,FALSE)</f>
        <v>258377982</v>
      </c>
      <c r="O47" s="375"/>
      <c r="P47" s="59"/>
      <c r="Q47" s="374">
        <f>VLOOKUP($F$1,Part5,50,FALSE)</f>
        <v>50936750</v>
      </c>
      <c r="R47" s="375"/>
      <c r="S47" s="59"/>
      <c r="T47" s="374">
        <f>VLOOKUP($F$1,Part5,51,FALSE)</f>
        <v>4064819</v>
      </c>
      <c r="U47" s="375"/>
      <c r="V47" s="59"/>
      <c r="W47" s="374">
        <f>VLOOKUP($F$1,Part5,52,FALSE)</f>
        <v>629653480.92000043</v>
      </c>
      <c r="X47" s="375"/>
      <c r="Y47" s="48"/>
      <c r="Z47" s="106"/>
    </row>
    <row r="48" spans="1:26" s="259" customFormat="1" ht="15" x14ac:dyDescent="0.2">
      <c r="A48" s="21"/>
      <c r="B48" s="2"/>
      <c r="C48" s="8"/>
      <c r="D48" s="71"/>
      <c r="E48" s="218"/>
      <c r="F48" s="218"/>
      <c r="G48" s="218"/>
      <c r="H48" s="218"/>
      <c r="I48" s="218"/>
      <c r="J48" s="2"/>
      <c r="K48" s="2"/>
      <c r="L48" s="2"/>
      <c r="M48" s="2"/>
      <c r="N48" s="2"/>
      <c r="O48" s="2"/>
      <c r="P48" s="2"/>
      <c r="Q48" s="2"/>
      <c r="R48" s="2"/>
      <c r="S48" s="2"/>
      <c r="T48" s="2"/>
      <c r="U48" s="2"/>
      <c r="V48" s="2"/>
      <c r="W48" s="2"/>
      <c r="X48" s="2"/>
      <c r="Y48" s="48"/>
      <c r="Z48" s="106"/>
    </row>
    <row r="49" spans="1:26" s="259" customFormat="1" ht="15.75" x14ac:dyDescent="0.25">
      <c r="A49" s="21"/>
      <c r="B49" s="2"/>
      <c r="C49" s="12" t="s">
        <v>984</v>
      </c>
      <c r="D49" s="71"/>
      <c r="E49" s="218"/>
      <c r="F49" s="218"/>
      <c r="G49" s="218"/>
      <c r="H49" s="218"/>
      <c r="I49" s="218"/>
      <c r="J49" s="2"/>
      <c r="K49" s="2"/>
      <c r="L49" s="2"/>
      <c r="M49" s="2"/>
      <c r="N49" s="2"/>
      <c r="O49" s="2"/>
      <c r="P49" s="2"/>
      <c r="Q49" s="2"/>
      <c r="R49" s="2"/>
      <c r="S49" s="2"/>
      <c r="T49" s="2"/>
      <c r="U49" s="2"/>
      <c r="V49" s="2"/>
      <c r="W49" s="2"/>
      <c r="X49" s="2"/>
      <c r="Y49" s="48"/>
      <c r="Z49" s="106"/>
    </row>
    <row r="50" spans="1:26" s="259" customFormat="1" ht="16.5" thickBot="1" x14ac:dyDescent="0.3">
      <c r="A50" s="21"/>
      <c r="B50" s="2"/>
      <c r="C50" s="12"/>
      <c r="D50" s="70" t="s">
        <v>985</v>
      </c>
      <c r="E50" s="218"/>
      <c r="F50" s="218"/>
      <c r="G50" s="218"/>
      <c r="H50" s="218"/>
      <c r="I50" s="218"/>
      <c r="J50" s="2"/>
      <c r="K50" s="2"/>
      <c r="L50" s="2"/>
      <c r="M50" s="2"/>
      <c r="N50" s="2"/>
      <c r="O50" s="2"/>
      <c r="P50" s="2"/>
      <c r="Q50" s="2"/>
      <c r="R50" s="2"/>
      <c r="S50" s="2"/>
      <c r="T50" s="2"/>
      <c r="U50" s="2"/>
      <c r="V50" s="2"/>
      <c r="W50" s="2"/>
      <c r="X50" s="2"/>
      <c r="Y50" s="48"/>
      <c r="Z50" s="106"/>
    </row>
    <row r="51" spans="1:26" s="259" customFormat="1" ht="16.5" thickBot="1" x14ac:dyDescent="0.25">
      <c r="A51" s="21"/>
      <c r="B51" s="2"/>
      <c r="C51" s="8"/>
      <c r="D51" s="71" t="s">
        <v>986</v>
      </c>
      <c r="E51" s="218"/>
      <c r="F51" s="218"/>
      <c r="G51" s="218"/>
      <c r="H51" s="218"/>
      <c r="I51" s="218"/>
      <c r="J51" s="2"/>
      <c r="K51" s="374">
        <f>VLOOKUP($F$1,Part5,53,FALSE)</f>
        <v>0</v>
      </c>
      <c r="L51" s="375"/>
      <c r="M51" s="59"/>
      <c r="N51" s="374">
        <f>VLOOKUP($F$1,Part5,54,FALSE)</f>
        <v>0</v>
      </c>
      <c r="O51" s="375"/>
      <c r="P51" s="59"/>
      <c r="Q51" s="374">
        <f>VLOOKUP($F$1,Part5,55,FALSE)</f>
        <v>0</v>
      </c>
      <c r="R51" s="375"/>
      <c r="S51" s="59"/>
      <c r="T51" s="374">
        <f>VLOOKUP($F$1,Part5,56,FALSE)</f>
        <v>0</v>
      </c>
      <c r="U51" s="375"/>
      <c r="V51" s="59"/>
      <c r="W51" s="374">
        <f>VLOOKUP($F$1,Part5,57,FALSE)</f>
        <v>0</v>
      </c>
      <c r="X51" s="375"/>
      <c r="Y51" s="48"/>
      <c r="Z51" s="106"/>
    </row>
    <row r="52" spans="1:26" s="259" customFormat="1" ht="15.75" thickBot="1" x14ac:dyDescent="0.25">
      <c r="A52" s="21"/>
      <c r="B52" s="2"/>
      <c r="C52" s="8"/>
      <c r="D52" s="71"/>
      <c r="E52" s="218"/>
      <c r="F52" s="218"/>
      <c r="G52" s="218"/>
      <c r="H52" s="218"/>
      <c r="I52" s="218"/>
      <c r="J52" s="2"/>
      <c r="K52" s="2"/>
      <c r="L52" s="2"/>
      <c r="M52" s="2"/>
      <c r="N52" s="2"/>
      <c r="O52" s="2"/>
      <c r="P52" s="2"/>
      <c r="Q52" s="2"/>
      <c r="R52" s="2"/>
      <c r="S52" s="2"/>
      <c r="T52" s="2"/>
      <c r="U52" s="2"/>
      <c r="V52" s="2"/>
      <c r="W52" s="2"/>
      <c r="X52" s="2"/>
      <c r="Y52" s="48"/>
      <c r="Z52" s="106"/>
    </row>
    <row r="53" spans="1:26" s="259" customFormat="1" ht="16.5" thickBot="1" x14ac:dyDescent="0.25">
      <c r="A53" s="21"/>
      <c r="B53" s="2"/>
      <c r="C53" s="8"/>
      <c r="D53" s="71" t="s">
        <v>987</v>
      </c>
      <c r="E53" s="218"/>
      <c r="F53" s="218"/>
      <c r="G53" s="218"/>
      <c r="H53" s="218"/>
      <c r="I53" s="218"/>
      <c r="J53" s="2"/>
      <c r="K53" s="374">
        <f>VLOOKUP($F$1,Part5,58,FALSE)</f>
        <v>239316919.66</v>
      </c>
      <c r="L53" s="375"/>
      <c r="M53" s="59"/>
      <c r="N53" s="374">
        <f>VLOOKUP($F$1,Part5,59,FALSE)</f>
        <v>195417867</v>
      </c>
      <c r="O53" s="375"/>
      <c r="P53" s="59"/>
      <c r="Q53" s="374">
        <f>VLOOKUP($F$1,Part5,60,FALSE)</f>
        <v>41109826</v>
      </c>
      <c r="R53" s="375"/>
      <c r="S53" s="59"/>
      <c r="T53" s="374">
        <f>VLOOKUP($F$1,Part5,61,FALSE)</f>
        <v>2789211</v>
      </c>
      <c r="U53" s="375"/>
      <c r="V53" s="59"/>
      <c r="W53" s="374">
        <f>VLOOKUP($F$1,Part5,62,FALSE)</f>
        <v>478633823.65999991</v>
      </c>
      <c r="X53" s="375"/>
      <c r="Y53" s="48"/>
      <c r="Z53" s="106"/>
    </row>
    <row r="54" spans="1:26" s="259" customFormat="1" ht="15.75" thickBot="1" x14ac:dyDescent="0.25">
      <c r="A54" s="21"/>
      <c r="B54" s="2"/>
      <c r="C54" s="8"/>
      <c r="D54" s="71"/>
      <c r="E54" s="218"/>
      <c r="F54" s="218"/>
      <c r="G54" s="218"/>
      <c r="H54" s="218"/>
      <c r="I54" s="218"/>
      <c r="J54" s="2"/>
      <c r="K54" s="2"/>
      <c r="L54" s="2"/>
      <c r="M54" s="2"/>
      <c r="N54" s="2"/>
      <c r="O54" s="2"/>
      <c r="P54" s="2"/>
      <c r="Q54" s="2"/>
      <c r="R54" s="2"/>
      <c r="S54" s="2"/>
      <c r="T54" s="2"/>
      <c r="U54" s="2"/>
      <c r="V54" s="2"/>
      <c r="W54" s="2"/>
      <c r="X54" s="2"/>
      <c r="Y54" s="48"/>
      <c r="Z54" s="106"/>
    </row>
    <row r="55" spans="1:26" s="259" customFormat="1" ht="16.5" thickBot="1" x14ac:dyDescent="0.25">
      <c r="A55" s="21"/>
      <c r="B55" s="2"/>
      <c r="C55" s="8"/>
      <c r="D55" s="71" t="s">
        <v>988</v>
      </c>
      <c r="E55" s="218"/>
      <c r="F55" s="218"/>
      <c r="G55" s="218"/>
      <c r="H55" s="218"/>
      <c r="I55" s="218"/>
      <c r="J55" s="2"/>
      <c r="K55" s="374">
        <f>VLOOKUP($F$1,Part5,63,FALSE)</f>
        <v>239316919.66</v>
      </c>
      <c r="L55" s="375"/>
      <c r="M55" s="59"/>
      <c r="N55" s="374">
        <f>VLOOKUP($F$1,Part5,64,FALSE)</f>
        <v>195417867</v>
      </c>
      <c r="O55" s="375"/>
      <c r="P55" s="59"/>
      <c r="Q55" s="374">
        <f>VLOOKUP($F$1,Part5,65,FALSE)</f>
        <v>41109826</v>
      </c>
      <c r="R55" s="375"/>
      <c r="S55" s="59"/>
      <c r="T55" s="374">
        <f>VLOOKUP($F$1,Part5,66,FALSE)</f>
        <v>2789211</v>
      </c>
      <c r="U55" s="375"/>
      <c r="V55" s="59"/>
      <c r="W55" s="374">
        <f>VLOOKUP($F$1,Part5,67,FALSE)</f>
        <v>478633823.65999991</v>
      </c>
      <c r="X55" s="375"/>
      <c r="Y55" s="48"/>
      <c r="Z55" s="106"/>
    </row>
    <row r="56" spans="1:26" s="259" customFormat="1" ht="15" x14ac:dyDescent="0.2">
      <c r="A56" s="21"/>
      <c r="B56" s="2"/>
      <c r="C56" s="8"/>
      <c r="D56" s="71"/>
      <c r="E56" s="218"/>
      <c r="F56" s="218"/>
      <c r="G56" s="218"/>
      <c r="H56" s="218"/>
      <c r="I56" s="218"/>
      <c r="J56" s="2"/>
      <c r="K56" s="2"/>
      <c r="L56" s="2"/>
      <c r="M56" s="2"/>
      <c r="N56" s="2"/>
      <c r="O56" s="2"/>
      <c r="P56" s="2"/>
      <c r="Q56" s="2"/>
      <c r="R56" s="2"/>
      <c r="S56" s="2"/>
      <c r="T56" s="2"/>
      <c r="U56" s="2"/>
      <c r="V56" s="2"/>
      <c r="W56" s="2"/>
      <c r="X56" s="2"/>
      <c r="Y56" s="48"/>
      <c r="Z56" s="106"/>
    </row>
    <row r="57" spans="1:26" s="259" customFormat="1" ht="16.5" thickBot="1" x14ac:dyDescent="0.25">
      <c r="A57" s="21"/>
      <c r="B57" s="2"/>
      <c r="C57" s="8"/>
      <c r="D57" s="70" t="s">
        <v>989</v>
      </c>
      <c r="E57" s="218"/>
      <c r="F57" s="218"/>
      <c r="G57" s="218"/>
      <c r="H57" s="218"/>
      <c r="I57" s="218"/>
      <c r="J57" s="2"/>
      <c r="K57" s="2"/>
      <c r="L57" s="2"/>
      <c r="M57" s="2"/>
      <c r="N57" s="2"/>
      <c r="O57" s="2"/>
      <c r="P57" s="2"/>
      <c r="Q57" s="2"/>
      <c r="R57" s="2"/>
      <c r="S57" s="2"/>
      <c r="T57" s="2"/>
      <c r="U57" s="2"/>
      <c r="V57" s="2"/>
      <c r="W57" s="2"/>
      <c r="X57" s="2"/>
      <c r="Y57" s="48"/>
      <c r="Z57" s="106"/>
    </row>
    <row r="58" spans="1:26" s="259" customFormat="1" ht="16.5" thickBot="1" x14ac:dyDescent="0.25">
      <c r="A58" s="21"/>
      <c r="B58" s="2"/>
      <c r="C58" s="8"/>
      <c r="D58" s="71" t="s">
        <v>990</v>
      </c>
      <c r="E58" s="218"/>
      <c r="F58" s="218"/>
      <c r="G58" s="218"/>
      <c r="H58" s="218"/>
      <c r="I58" s="218"/>
      <c r="J58" s="2"/>
      <c r="K58" s="374">
        <f>VLOOKUP($F$1,Part5,68,FALSE)</f>
        <v>0</v>
      </c>
      <c r="L58" s="375"/>
      <c r="M58" s="59"/>
      <c r="N58" s="374">
        <f>VLOOKUP($F$1,Part5,69,FALSE)</f>
        <v>0</v>
      </c>
      <c r="O58" s="375"/>
      <c r="P58" s="59"/>
      <c r="Q58" s="374">
        <f>VLOOKUP($F$1,Part5,70,FALSE)</f>
        <v>0</v>
      </c>
      <c r="R58" s="375"/>
      <c r="S58" s="59"/>
      <c r="T58" s="374">
        <f>VLOOKUP($F$1,Part5,71,FALSE)</f>
        <v>0</v>
      </c>
      <c r="U58" s="375"/>
      <c r="V58" s="59"/>
      <c r="W58" s="374">
        <f>VLOOKUP($F$1,Part5,72,FALSE)</f>
        <v>0</v>
      </c>
      <c r="X58" s="375"/>
      <c r="Y58" s="48"/>
      <c r="Z58" s="106"/>
    </row>
    <row r="59" spans="1:26" s="259" customFormat="1" ht="15.75" thickBot="1" x14ac:dyDescent="0.25">
      <c r="A59" s="21"/>
      <c r="B59" s="2"/>
      <c r="C59" s="8"/>
      <c r="D59" s="71"/>
      <c r="E59" s="218"/>
      <c r="F59" s="218"/>
      <c r="G59" s="218"/>
      <c r="H59" s="218"/>
      <c r="I59" s="218"/>
      <c r="J59" s="2"/>
      <c r="K59" s="2"/>
      <c r="L59" s="2"/>
      <c r="M59" s="2"/>
      <c r="N59" s="2"/>
      <c r="O59" s="2"/>
      <c r="P59" s="2"/>
      <c r="Q59" s="2"/>
      <c r="R59" s="2"/>
      <c r="S59" s="2"/>
      <c r="T59" s="2"/>
      <c r="U59" s="2"/>
      <c r="V59" s="2"/>
      <c r="W59" s="2"/>
      <c r="X59" s="2"/>
      <c r="Y59" s="48"/>
      <c r="Z59" s="106"/>
    </row>
    <row r="60" spans="1:26" s="259" customFormat="1" ht="16.5" thickBot="1" x14ac:dyDescent="0.25">
      <c r="A60" s="21"/>
      <c r="B60" s="2"/>
      <c r="C60" s="8"/>
      <c r="D60" s="71" t="s">
        <v>991</v>
      </c>
      <c r="E60" s="218"/>
      <c r="F60" s="218"/>
      <c r="G60" s="218"/>
      <c r="H60" s="218"/>
      <c r="I60" s="218"/>
      <c r="J60" s="2"/>
      <c r="K60" s="374">
        <f>VLOOKUP($F$1,Part5,73,FALSE)</f>
        <v>633074077.97000003</v>
      </c>
      <c r="L60" s="375"/>
      <c r="M60" s="59"/>
      <c r="N60" s="374">
        <f>VLOOKUP($F$1,Part5,74,FALSE)</f>
        <v>511325157</v>
      </c>
      <c r="O60" s="375"/>
      <c r="P60" s="59"/>
      <c r="Q60" s="374">
        <f>VLOOKUP($F$1,Part5,75,FALSE)</f>
        <v>114953821</v>
      </c>
      <c r="R60" s="375"/>
      <c r="S60" s="59"/>
      <c r="T60" s="374">
        <f>VLOOKUP($F$1,Part5,76,FALSE)</f>
        <v>6795113</v>
      </c>
      <c r="U60" s="375"/>
      <c r="V60" s="59"/>
      <c r="W60" s="374">
        <f>VLOOKUP($F$1,Part5,77,FALSE)</f>
        <v>1266148168.8900003</v>
      </c>
      <c r="X60" s="375"/>
      <c r="Y60" s="48"/>
      <c r="Z60" s="106"/>
    </row>
    <row r="61" spans="1:26" s="259" customFormat="1" ht="15.75" thickBot="1" x14ac:dyDescent="0.25">
      <c r="A61" s="21"/>
      <c r="B61" s="2"/>
      <c r="C61" s="8"/>
      <c r="D61" s="71"/>
      <c r="E61" s="218"/>
      <c r="F61" s="218"/>
      <c r="G61" s="218"/>
      <c r="H61" s="218"/>
      <c r="I61" s="218"/>
      <c r="J61" s="2"/>
      <c r="K61" s="2"/>
      <c r="L61" s="2"/>
      <c r="M61" s="2"/>
      <c r="N61" s="2"/>
      <c r="O61" s="2"/>
      <c r="P61" s="2"/>
      <c r="Q61" s="2"/>
      <c r="R61" s="2"/>
      <c r="S61" s="2"/>
      <c r="T61" s="2"/>
      <c r="U61" s="2"/>
      <c r="V61" s="2"/>
      <c r="W61" s="2"/>
      <c r="X61" s="2"/>
      <c r="Y61" s="48"/>
      <c r="Z61" s="106"/>
    </row>
    <row r="62" spans="1:26" s="259" customFormat="1" ht="16.5" thickBot="1" x14ac:dyDescent="0.25">
      <c r="A62" s="21"/>
      <c r="B62" s="2"/>
      <c r="C62" s="8"/>
      <c r="D62" s="71" t="s">
        <v>992</v>
      </c>
      <c r="E62" s="218"/>
      <c r="F62" s="218"/>
      <c r="G62" s="218"/>
      <c r="H62" s="218"/>
      <c r="I62" s="218"/>
      <c r="J62" s="2"/>
      <c r="K62" s="374">
        <f>VLOOKUP($F$1,Part5,78,FALSE)</f>
        <v>633074077.97000003</v>
      </c>
      <c r="L62" s="375"/>
      <c r="M62" s="59"/>
      <c r="N62" s="374">
        <f>VLOOKUP($F$1,Part5,79,FALSE)</f>
        <v>511325157</v>
      </c>
      <c r="O62" s="375"/>
      <c r="P62" s="59"/>
      <c r="Q62" s="374">
        <f>VLOOKUP($F$1,Part5,80,FALSE)</f>
        <v>114953821</v>
      </c>
      <c r="R62" s="375"/>
      <c r="S62" s="59"/>
      <c r="T62" s="374">
        <f>VLOOKUP($F$1,Part5,81,FALSE)</f>
        <v>6795113</v>
      </c>
      <c r="U62" s="375"/>
      <c r="V62" s="59"/>
      <c r="W62" s="374">
        <f>VLOOKUP($F$1,Part5,82,FALSE)</f>
        <v>1266148168.8900003</v>
      </c>
      <c r="X62" s="375"/>
      <c r="Y62" s="48"/>
      <c r="Z62" s="106"/>
    </row>
    <row r="63" spans="1:26" s="259" customFormat="1" ht="15" x14ac:dyDescent="0.2">
      <c r="A63" s="21"/>
      <c r="B63" s="2"/>
      <c r="C63" s="8"/>
      <c r="D63" s="8"/>
      <c r="E63" s="2"/>
      <c r="F63" s="2"/>
      <c r="G63" s="2"/>
      <c r="H63" s="2"/>
      <c r="I63" s="2"/>
      <c r="J63" s="2"/>
      <c r="K63" s="2"/>
      <c r="L63" s="2"/>
      <c r="M63" s="2"/>
      <c r="N63" s="2"/>
      <c r="O63" s="2"/>
      <c r="P63" s="2"/>
      <c r="Q63" s="2"/>
      <c r="R63" s="2"/>
      <c r="S63" s="2"/>
      <c r="T63" s="2"/>
      <c r="U63" s="2"/>
      <c r="V63" s="2"/>
      <c r="W63" s="2"/>
      <c r="X63" s="2"/>
      <c r="Y63" s="48"/>
      <c r="Z63" s="106"/>
    </row>
    <row r="64" spans="1:26" s="259" customFormat="1" ht="16.5" thickBot="1" x14ac:dyDescent="0.25">
      <c r="A64" s="22"/>
      <c r="B64" s="23"/>
      <c r="C64" s="416" t="str">
        <f>+IF(AB66&gt;0,"There are errors in the calculations on this page.  Have you over written some of the pre-filled calculations? Please check.","")</f>
        <v/>
      </c>
      <c r="D64" s="416"/>
      <c r="E64" s="416"/>
      <c r="F64" s="416"/>
      <c r="G64" s="416"/>
      <c r="H64" s="416"/>
      <c r="I64" s="416"/>
      <c r="J64" s="416"/>
      <c r="K64" s="416"/>
      <c r="L64" s="416"/>
      <c r="M64" s="416"/>
      <c r="N64" s="416"/>
      <c r="O64" s="416"/>
      <c r="P64" s="416"/>
      <c r="Q64" s="416"/>
      <c r="R64" s="416"/>
      <c r="S64" s="416"/>
      <c r="T64" s="416"/>
      <c r="U64" s="416"/>
      <c r="V64" s="416"/>
      <c r="W64" s="416"/>
      <c r="X64" s="23"/>
      <c r="Y64" s="49"/>
      <c r="Z64" s="106"/>
    </row>
    <row r="65" spans="2:26" s="169" customFormat="1" ht="15" x14ac:dyDescent="0.2">
      <c r="B65" s="279"/>
      <c r="C65" s="280"/>
      <c r="D65" s="280"/>
      <c r="E65" s="280"/>
      <c r="F65" s="280"/>
      <c r="G65" s="280"/>
      <c r="H65" s="280"/>
      <c r="I65" s="106"/>
      <c r="T65" s="281"/>
      <c r="U65" s="281"/>
      <c r="V65" s="106"/>
      <c r="W65" s="106"/>
      <c r="X65" s="283"/>
      <c r="Z65" s="194"/>
    </row>
    <row r="66" spans="2:26" s="169" customFormat="1" ht="15.75" x14ac:dyDescent="0.2">
      <c r="B66" s="279"/>
      <c r="C66" s="280"/>
      <c r="D66" s="280"/>
      <c r="E66" s="280"/>
      <c r="F66" s="280"/>
      <c r="G66" s="280"/>
      <c r="H66" s="280"/>
      <c r="I66" s="106"/>
      <c r="T66" s="281"/>
      <c r="U66" s="281"/>
      <c r="V66" s="409"/>
      <c r="W66" s="409"/>
      <c r="X66" s="283"/>
      <c r="Z66" s="194"/>
    </row>
    <row r="67" spans="2:26" s="169" customFormat="1" ht="15.75" x14ac:dyDescent="0.2">
      <c r="B67" s="279"/>
      <c r="C67" s="280"/>
      <c r="D67" s="280"/>
      <c r="E67" s="280"/>
      <c r="F67" s="280"/>
      <c r="G67" s="280"/>
      <c r="H67" s="280"/>
      <c r="I67" s="106"/>
      <c r="T67" s="281"/>
      <c r="U67" s="281"/>
      <c r="V67" s="282"/>
      <c r="W67" s="281"/>
      <c r="X67" s="283"/>
      <c r="Z67" s="194"/>
    </row>
    <row r="68" spans="2:26" s="169" customFormat="1" ht="15.75" x14ac:dyDescent="0.2">
      <c r="B68" s="279"/>
      <c r="C68" s="280"/>
      <c r="D68" s="280"/>
      <c r="E68" s="280"/>
      <c r="F68" s="280"/>
      <c r="G68" s="280"/>
      <c r="H68" s="280"/>
      <c r="I68" s="106"/>
      <c r="T68" s="281"/>
      <c r="U68" s="281"/>
      <c r="V68" s="409"/>
      <c r="W68" s="409"/>
      <c r="X68" s="283"/>
      <c r="Z68" s="194"/>
    </row>
    <row r="69" spans="2:26" s="169" customFormat="1" ht="15.75" x14ac:dyDescent="0.2">
      <c r="B69" s="279"/>
      <c r="C69" s="280"/>
      <c r="D69" s="280"/>
      <c r="E69" s="280"/>
      <c r="F69" s="280"/>
      <c r="G69" s="280"/>
      <c r="H69" s="280"/>
      <c r="I69" s="106"/>
      <c r="T69" s="281"/>
      <c r="U69" s="281"/>
      <c r="V69" s="282"/>
      <c r="W69" s="281"/>
      <c r="X69" s="283"/>
      <c r="Z69" s="194"/>
    </row>
    <row r="70" spans="2:26" s="169" customFormat="1" ht="15.75" x14ac:dyDescent="0.2">
      <c r="B70" s="279"/>
      <c r="C70" s="280"/>
      <c r="D70" s="280"/>
      <c r="E70" s="280"/>
      <c r="F70" s="280"/>
      <c r="G70" s="280"/>
      <c r="H70" s="280"/>
      <c r="I70" s="106"/>
      <c r="T70" s="281"/>
      <c r="U70" s="281"/>
      <c r="V70" s="282"/>
      <c r="W70" s="281"/>
      <c r="X70" s="283"/>
      <c r="Z70" s="194"/>
    </row>
    <row r="71" spans="2:26" s="169" customFormat="1" ht="15.75" x14ac:dyDescent="0.2">
      <c r="B71" s="279"/>
      <c r="C71" s="280"/>
      <c r="D71" s="280"/>
      <c r="E71" s="280"/>
      <c r="F71" s="280"/>
      <c r="G71" s="280"/>
      <c r="H71" s="280"/>
      <c r="I71" s="106"/>
      <c r="T71" s="281"/>
      <c r="U71" s="281"/>
      <c r="V71" s="409"/>
      <c r="W71" s="409"/>
      <c r="X71" s="283"/>
      <c r="Z71" s="194"/>
    </row>
    <row r="72" spans="2:26" s="169" customFormat="1" ht="15" x14ac:dyDescent="0.2">
      <c r="B72" s="279"/>
      <c r="C72" s="280"/>
      <c r="D72" s="280"/>
      <c r="E72" s="280"/>
      <c r="F72" s="280"/>
      <c r="G72" s="280"/>
      <c r="H72" s="280"/>
      <c r="I72" s="106"/>
      <c r="T72" s="281"/>
      <c r="U72" s="281"/>
      <c r="V72" s="106"/>
      <c r="W72" s="106"/>
      <c r="X72" s="283"/>
      <c r="Z72" s="194"/>
    </row>
    <row r="73" spans="2:26" s="169" customFormat="1" ht="15.75" x14ac:dyDescent="0.2">
      <c r="B73" s="279"/>
      <c r="C73" s="280"/>
      <c r="D73" s="280"/>
      <c r="E73" s="280"/>
      <c r="F73" s="280"/>
      <c r="G73" s="280"/>
      <c r="H73" s="280"/>
      <c r="I73" s="106"/>
      <c r="T73" s="281"/>
      <c r="U73" s="281"/>
      <c r="V73" s="409"/>
      <c r="W73" s="409"/>
      <c r="X73" s="283"/>
      <c r="Z73" s="194"/>
    </row>
    <row r="74" spans="2:26" s="169" customFormat="1" ht="15.75" x14ac:dyDescent="0.2">
      <c r="B74" s="279"/>
      <c r="C74" s="280"/>
      <c r="D74" s="280"/>
      <c r="E74" s="280"/>
      <c r="F74" s="280"/>
      <c r="G74" s="280"/>
      <c r="H74" s="280"/>
      <c r="I74" s="106"/>
      <c r="T74" s="281"/>
      <c r="U74" s="281"/>
      <c r="V74" s="282"/>
      <c r="W74" s="281"/>
      <c r="X74" s="283"/>
      <c r="Z74" s="194"/>
    </row>
    <row r="75" spans="2:26" s="169" customFormat="1" ht="15.75" x14ac:dyDescent="0.2">
      <c r="B75" s="279"/>
      <c r="C75" s="280"/>
      <c r="D75" s="280"/>
      <c r="E75" s="280"/>
      <c r="F75" s="280"/>
      <c r="G75" s="280"/>
      <c r="H75" s="280"/>
      <c r="I75" s="106"/>
      <c r="T75" s="281"/>
      <c r="U75" s="281"/>
      <c r="V75" s="409"/>
      <c r="W75" s="409"/>
      <c r="X75" s="283"/>
      <c r="Z75" s="194"/>
    </row>
    <row r="76" spans="2:26" s="169" customFormat="1" ht="15.75" x14ac:dyDescent="0.2">
      <c r="B76" s="279"/>
      <c r="C76" s="280"/>
      <c r="D76" s="280"/>
      <c r="E76" s="280"/>
      <c r="F76" s="280"/>
      <c r="G76" s="280"/>
      <c r="H76" s="280"/>
      <c r="I76" s="106"/>
      <c r="T76" s="281"/>
      <c r="U76" s="281"/>
      <c r="V76" s="282"/>
      <c r="W76" s="281"/>
      <c r="X76" s="283"/>
      <c r="Z76" s="194"/>
    </row>
    <row r="77" spans="2:26" s="169" customFormat="1" ht="15" x14ac:dyDescent="0.2">
      <c r="B77" s="279"/>
      <c r="C77" s="280"/>
      <c r="D77" s="280"/>
      <c r="E77" s="280"/>
      <c r="F77" s="280"/>
      <c r="G77" s="280"/>
      <c r="H77" s="280"/>
      <c r="I77" s="283"/>
      <c r="J77" s="283"/>
      <c r="K77" s="283"/>
      <c r="L77" s="283"/>
      <c r="M77" s="283"/>
      <c r="N77" s="283"/>
      <c r="O77" s="283"/>
      <c r="P77" s="283"/>
      <c r="Q77" s="283"/>
      <c r="R77" s="283"/>
      <c r="S77" s="283"/>
      <c r="T77" s="283"/>
      <c r="U77" s="283"/>
      <c r="V77" s="283"/>
      <c r="W77" s="283"/>
      <c r="X77" s="283"/>
      <c r="Z77" s="194"/>
    </row>
    <row r="78" spans="2:26" s="169" customFormat="1" ht="15.75" x14ac:dyDescent="0.2">
      <c r="B78" s="279"/>
      <c r="C78" s="280"/>
      <c r="D78" s="280"/>
      <c r="E78" s="280"/>
      <c r="F78" s="280"/>
      <c r="G78" s="280"/>
      <c r="H78" s="280"/>
      <c r="I78" s="106"/>
      <c r="R78" s="289"/>
      <c r="T78" s="281"/>
      <c r="U78" s="281"/>
      <c r="V78" s="409"/>
      <c r="W78" s="409"/>
      <c r="X78" s="283"/>
      <c r="Z78" s="194"/>
    </row>
    <row r="79" spans="2:26" s="169" customFormat="1" ht="15" x14ac:dyDescent="0.2">
      <c r="B79" s="279"/>
      <c r="C79" s="280"/>
      <c r="D79" s="280"/>
      <c r="E79" s="280"/>
      <c r="F79" s="280"/>
      <c r="G79" s="280"/>
      <c r="H79" s="280"/>
      <c r="I79" s="106"/>
      <c r="T79" s="281"/>
      <c r="U79" s="281"/>
      <c r="V79" s="106"/>
      <c r="W79" s="106"/>
      <c r="X79" s="283"/>
      <c r="Z79" s="194"/>
    </row>
    <row r="80" spans="2:26" s="169" customFormat="1" ht="15.75" x14ac:dyDescent="0.2">
      <c r="B80" s="279"/>
      <c r="C80" s="280"/>
      <c r="D80" s="280"/>
      <c r="E80" s="280"/>
      <c r="F80" s="280"/>
      <c r="G80" s="280"/>
      <c r="H80" s="280"/>
      <c r="I80" s="106"/>
      <c r="T80" s="281"/>
      <c r="U80" s="281"/>
      <c r="V80" s="409"/>
      <c r="W80" s="410"/>
      <c r="X80" s="283"/>
      <c r="Z80" s="194"/>
    </row>
    <row r="81" spans="1:26" s="169" customFormat="1" ht="15.75" x14ac:dyDescent="0.2">
      <c r="B81" s="279"/>
      <c r="C81" s="280"/>
      <c r="D81" s="280"/>
      <c r="E81" s="280"/>
      <c r="F81" s="280"/>
      <c r="G81" s="280"/>
      <c r="H81" s="280"/>
      <c r="I81" s="106"/>
      <c r="T81" s="281"/>
      <c r="U81" s="281"/>
      <c r="V81" s="282"/>
      <c r="W81" s="281"/>
      <c r="X81" s="283"/>
      <c r="Z81" s="194"/>
    </row>
    <row r="82" spans="1:26" s="169" customFormat="1" ht="15.75" x14ac:dyDescent="0.2">
      <c r="B82" s="279"/>
      <c r="C82" s="280"/>
      <c r="D82" s="280"/>
      <c r="E82" s="280"/>
      <c r="F82" s="280"/>
      <c r="G82" s="280"/>
      <c r="H82" s="280"/>
      <c r="I82" s="106"/>
      <c r="T82" s="281"/>
      <c r="U82" s="281"/>
      <c r="V82" s="409"/>
      <c r="W82" s="410"/>
      <c r="X82" s="283"/>
      <c r="Z82" s="194"/>
    </row>
    <row r="83" spans="1:26" s="169" customFormat="1" ht="15.75" x14ac:dyDescent="0.2">
      <c r="B83" s="279"/>
      <c r="C83" s="280"/>
      <c r="D83" s="280"/>
      <c r="E83" s="280"/>
      <c r="F83" s="280"/>
      <c r="G83" s="280"/>
      <c r="H83" s="280"/>
      <c r="I83" s="106"/>
      <c r="T83" s="281"/>
      <c r="U83" s="281"/>
      <c r="V83" s="282"/>
      <c r="W83" s="281"/>
      <c r="X83" s="283"/>
      <c r="Z83" s="194"/>
    </row>
    <row r="84" spans="1:26" s="169" customFormat="1" ht="15" x14ac:dyDescent="0.2">
      <c r="B84" s="279"/>
      <c r="C84" s="280"/>
      <c r="D84" s="280"/>
      <c r="E84" s="280"/>
      <c r="F84" s="280"/>
      <c r="G84" s="280"/>
      <c r="H84" s="280"/>
      <c r="I84" s="283"/>
      <c r="J84" s="283"/>
      <c r="K84" s="283"/>
      <c r="L84" s="283"/>
      <c r="M84" s="283"/>
      <c r="N84" s="283"/>
      <c r="O84" s="283"/>
      <c r="P84" s="283"/>
      <c r="Q84" s="283"/>
      <c r="R84" s="283"/>
      <c r="S84" s="283"/>
      <c r="T84" s="283"/>
      <c r="U84" s="283"/>
      <c r="V84" s="283"/>
      <c r="W84" s="283"/>
      <c r="X84" s="283"/>
      <c r="Z84" s="194"/>
    </row>
    <row r="85" spans="1:26" s="169" customFormat="1" ht="15.75" x14ac:dyDescent="0.2">
      <c r="B85" s="279"/>
      <c r="C85" s="280"/>
      <c r="D85" s="280"/>
      <c r="E85" s="280"/>
      <c r="F85" s="280"/>
      <c r="G85" s="280"/>
      <c r="H85" s="280"/>
      <c r="I85" s="106"/>
      <c r="R85" s="289"/>
      <c r="T85" s="281"/>
      <c r="U85" s="281"/>
      <c r="V85" s="409"/>
      <c r="W85" s="410"/>
      <c r="X85" s="283"/>
      <c r="Z85" s="194"/>
    </row>
    <row r="86" spans="1:26" s="169" customFormat="1" ht="15" x14ac:dyDescent="0.2">
      <c r="B86" s="279"/>
      <c r="C86" s="280"/>
      <c r="D86" s="280"/>
      <c r="E86" s="280"/>
      <c r="F86" s="280"/>
      <c r="G86" s="280"/>
      <c r="H86" s="280"/>
      <c r="I86" s="106"/>
      <c r="T86" s="281"/>
      <c r="U86" s="281"/>
      <c r="V86" s="106"/>
      <c r="W86" s="106"/>
      <c r="X86" s="283"/>
      <c r="Z86" s="194"/>
    </row>
    <row r="87" spans="1:26" s="169" customFormat="1" ht="15.75" x14ac:dyDescent="0.2">
      <c r="B87" s="279"/>
      <c r="C87" s="280"/>
      <c r="D87" s="280"/>
      <c r="E87" s="280"/>
      <c r="F87" s="280"/>
      <c r="G87" s="280"/>
      <c r="H87" s="280"/>
      <c r="I87" s="106"/>
      <c r="T87" s="281"/>
      <c r="U87" s="281"/>
      <c r="V87" s="409"/>
      <c r="W87" s="410"/>
      <c r="X87" s="283"/>
      <c r="Z87" s="194"/>
    </row>
    <row r="88" spans="1:26" s="169" customFormat="1" ht="15.75" x14ac:dyDescent="0.2">
      <c r="B88" s="279"/>
      <c r="C88" s="280"/>
      <c r="D88" s="280"/>
      <c r="E88" s="280"/>
      <c r="F88" s="280"/>
      <c r="G88" s="280"/>
      <c r="H88" s="280"/>
      <c r="I88" s="106"/>
      <c r="T88" s="281"/>
      <c r="U88" s="281"/>
      <c r="V88" s="282"/>
      <c r="W88" s="281"/>
      <c r="X88" s="283"/>
      <c r="Z88" s="194"/>
    </row>
    <row r="89" spans="1:26" s="169" customFormat="1" ht="15.75" x14ac:dyDescent="0.2">
      <c r="B89" s="279"/>
      <c r="C89" s="280"/>
      <c r="D89" s="280"/>
      <c r="E89" s="280"/>
      <c r="F89" s="280"/>
      <c r="G89" s="280"/>
      <c r="H89" s="280"/>
      <c r="I89" s="106"/>
      <c r="T89" s="281"/>
      <c r="U89" s="281"/>
      <c r="V89" s="409"/>
      <c r="W89" s="410"/>
      <c r="X89" s="283"/>
      <c r="Z89" s="194"/>
    </row>
    <row r="90" spans="1:26" s="169" customFormat="1" ht="15.75" x14ac:dyDescent="0.2">
      <c r="B90" s="279"/>
      <c r="C90" s="280"/>
      <c r="D90" s="280"/>
      <c r="E90" s="280"/>
      <c r="F90" s="280"/>
      <c r="G90" s="280"/>
      <c r="H90" s="280"/>
      <c r="I90" s="106"/>
      <c r="T90" s="281"/>
      <c r="U90" s="281"/>
      <c r="V90" s="282"/>
      <c r="W90" s="281"/>
      <c r="X90" s="283"/>
      <c r="Z90" s="194"/>
    </row>
    <row r="91" spans="1:26" s="169" customFormat="1" ht="15.75" x14ac:dyDescent="0.2">
      <c r="B91" s="279"/>
      <c r="C91" s="280"/>
      <c r="D91" s="280"/>
      <c r="E91" s="280"/>
      <c r="F91" s="280"/>
      <c r="G91" s="280"/>
      <c r="H91" s="280"/>
      <c r="I91" s="106"/>
      <c r="T91" s="281"/>
      <c r="U91" s="281"/>
      <c r="V91" s="282"/>
      <c r="W91" s="281"/>
      <c r="X91" s="283"/>
      <c r="Z91" s="194"/>
    </row>
    <row r="92" spans="1:26" s="169" customFormat="1" ht="15.75" x14ac:dyDescent="0.2">
      <c r="A92" s="106"/>
      <c r="B92" s="106"/>
      <c r="C92" s="280"/>
      <c r="D92" s="280"/>
      <c r="E92" s="280"/>
      <c r="F92" s="280"/>
      <c r="G92" s="280"/>
      <c r="H92" s="280"/>
      <c r="I92" s="106"/>
      <c r="T92" s="281"/>
      <c r="U92" s="281"/>
      <c r="V92" s="282"/>
      <c r="W92" s="281"/>
      <c r="X92" s="281"/>
      <c r="Y92" s="281"/>
      <c r="Z92" s="194"/>
    </row>
    <row r="93" spans="1:26" s="169" customFormat="1" ht="15.75" x14ac:dyDescent="0.2">
      <c r="B93" s="279"/>
      <c r="C93" s="280"/>
      <c r="D93" s="280"/>
      <c r="E93" s="280"/>
      <c r="F93" s="280"/>
      <c r="G93" s="280"/>
      <c r="H93" s="280"/>
      <c r="I93" s="283"/>
      <c r="J93" s="283"/>
      <c r="K93" s="283"/>
      <c r="L93" s="283"/>
      <c r="M93" s="283"/>
      <c r="N93" s="283"/>
      <c r="O93" s="283"/>
      <c r="P93" s="283"/>
      <c r="Q93" s="283"/>
      <c r="R93" s="283"/>
      <c r="S93" s="283"/>
      <c r="T93" s="283"/>
      <c r="U93" s="283"/>
      <c r="V93" s="282"/>
      <c r="W93" s="281"/>
      <c r="X93" s="283"/>
      <c r="Z93" s="194"/>
    </row>
    <row r="94" spans="1:26" s="169" customFormat="1" ht="15.75" x14ac:dyDescent="0.2">
      <c r="B94" s="279"/>
      <c r="C94" s="290"/>
      <c r="D94" s="228"/>
      <c r="E94" s="228"/>
      <c r="F94" s="228"/>
      <c r="G94" s="228"/>
      <c r="H94" s="228"/>
      <c r="X94" s="283"/>
      <c r="Z94" s="194"/>
    </row>
    <row r="95" spans="1:26" s="169" customFormat="1" ht="15.75" x14ac:dyDescent="0.2">
      <c r="B95" s="279"/>
      <c r="C95" s="290"/>
      <c r="D95" s="280"/>
      <c r="E95" s="280"/>
      <c r="F95" s="280"/>
      <c r="G95" s="280"/>
      <c r="H95" s="280"/>
      <c r="I95" s="106"/>
      <c r="T95" s="281"/>
      <c r="U95" s="281"/>
      <c r="V95" s="281"/>
      <c r="W95" s="281"/>
      <c r="X95" s="283"/>
      <c r="Z95" s="194"/>
    </row>
    <row r="96" spans="1:26" s="169" customFormat="1" ht="15.75" x14ac:dyDescent="0.2">
      <c r="B96" s="279"/>
      <c r="C96" s="280"/>
      <c r="D96" s="280"/>
      <c r="E96" s="280"/>
      <c r="F96" s="280"/>
      <c r="G96" s="280"/>
      <c r="H96" s="280"/>
      <c r="I96" s="106"/>
      <c r="T96" s="281"/>
      <c r="U96" s="281"/>
      <c r="V96" s="409"/>
      <c r="W96" s="410"/>
      <c r="X96" s="283"/>
      <c r="Z96" s="194"/>
    </row>
    <row r="97" spans="2:26" s="169" customFormat="1" ht="15" x14ac:dyDescent="0.2">
      <c r="B97" s="279"/>
      <c r="C97" s="280"/>
      <c r="D97" s="280"/>
      <c r="E97" s="280"/>
      <c r="F97" s="280"/>
      <c r="G97" s="280"/>
      <c r="H97" s="280"/>
      <c r="I97" s="106"/>
      <c r="T97" s="281"/>
      <c r="U97" s="281"/>
      <c r="V97" s="106"/>
      <c r="W97" s="106"/>
      <c r="X97" s="283"/>
      <c r="Z97" s="194"/>
    </row>
    <row r="98" spans="2:26" s="169" customFormat="1" ht="15.75" x14ac:dyDescent="0.2">
      <c r="B98" s="279"/>
      <c r="C98" s="280"/>
      <c r="D98" s="280"/>
      <c r="E98" s="280"/>
      <c r="F98" s="280"/>
      <c r="G98" s="280"/>
      <c r="H98" s="280"/>
      <c r="I98" s="106"/>
      <c r="T98" s="281"/>
      <c r="U98" s="281"/>
      <c r="V98" s="409"/>
      <c r="W98" s="410"/>
      <c r="X98" s="283"/>
      <c r="Z98" s="194"/>
    </row>
    <row r="99" spans="2:26" s="169" customFormat="1" ht="15.75" x14ac:dyDescent="0.2">
      <c r="B99" s="279"/>
      <c r="C99" s="280"/>
      <c r="D99" s="280"/>
      <c r="E99" s="280"/>
      <c r="F99" s="280"/>
      <c r="G99" s="280"/>
      <c r="H99" s="280"/>
      <c r="I99" s="106"/>
      <c r="T99" s="281"/>
      <c r="U99" s="281"/>
      <c r="V99" s="282"/>
      <c r="W99" s="281"/>
      <c r="X99" s="283"/>
      <c r="Z99" s="194"/>
    </row>
    <row r="100" spans="2:26" s="169" customFormat="1" ht="15.75" x14ac:dyDescent="0.2">
      <c r="B100" s="279"/>
      <c r="C100" s="280"/>
      <c r="D100" s="280"/>
      <c r="E100" s="280"/>
      <c r="F100" s="280"/>
      <c r="G100" s="280"/>
      <c r="H100" s="280"/>
      <c r="I100" s="106"/>
      <c r="R100" s="279"/>
      <c r="S100" s="279"/>
      <c r="T100" s="281"/>
      <c r="U100" s="281"/>
      <c r="V100" s="409"/>
      <c r="W100" s="410"/>
      <c r="X100" s="283"/>
      <c r="Z100" s="194"/>
    </row>
    <row r="101" spans="2:26" s="169" customFormat="1" ht="15.75" x14ac:dyDescent="0.2">
      <c r="B101" s="279"/>
      <c r="C101" s="280"/>
      <c r="D101" s="280"/>
      <c r="E101" s="280"/>
      <c r="F101" s="280"/>
      <c r="G101" s="280"/>
      <c r="H101" s="280"/>
      <c r="I101" s="106"/>
      <c r="R101" s="279"/>
      <c r="S101" s="279"/>
      <c r="T101" s="281"/>
      <c r="U101" s="281"/>
      <c r="V101" s="282"/>
      <c r="W101" s="281"/>
      <c r="X101" s="283"/>
      <c r="Z101" s="194"/>
    </row>
    <row r="102" spans="2:26" s="169" customFormat="1" ht="15" x14ac:dyDescent="0.2">
      <c r="B102" s="279"/>
      <c r="C102" s="280"/>
      <c r="D102" s="280"/>
      <c r="E102" s="280"/>
      <c r="F102" s="280"/>
      <c r="G102" s="280"/>
      <c r="H102" s="280"/>
      <c r="I102" s="106"/>
      <c r="R102" s="279"/>
      <c r="S102" s="279"/>
      <c r="T102" s="281"/>
      <c r="U102" s="281"/>
      <c r="V102" s="281"/>
      <c r="W102" s="281"/>
      <c r="X102" s="283"/>
      <c r="Z102" s="194"/>
    </row>
    <row r="103" spans="2:26" s="169" customFormat="1" ht="15.75" x14ac:dyDescent="0.2">
      <c r="B103" s="279"/>
      <c r="C103" s="280"/>
      <c r="D103" s="280"/>
      <c r="E103" s="280"/>
      <c r="F103" s="280"/>
      <c r="G103" s="280"/>
      <c r="H103" s="280"/>
      <c r="I103" s="106"/>
      <c r="R103" s="279"/>
      <c r="S103" s="279"/>
      <c r="T103" s="281"/>
      <c r="U103" s="281"/>
      <c r="V103" s="409"/>
      <c r="W103" s="410"/>
      <c r="X103" s="283"/>
      <c r="Z103" s="194"/>
    </row>
    <row r="104" spans="2:26" s="169" customFormat="1" ht="15" x14ac:dyDescent="0.2">
      <c r="B104" s="279"/>
      <c r="C104" s="280"/>
      <c r="D104" s="280"/>
      <c r="E104" s="280"/>
      <c r="F104" s="280"/>
      <c r="G104" s="280"/>
      <c r="H104" s="280"/>
      <c r="I104" s="106"/>
      <c r="R104" s="279"/>
      <c r="S104" s="279"/>
      <c r="T104" s="281"/>
      <c r="U104" s="281"/>
      <c r="V104" s="171"/>
      <c r="W104" s="171"/>
      <c r="X104" s="283"/>
      <c r="Z104" s="194"/>
    </row>
    <row r="105" spans="2:26" s="169" customFormat="1" ht="15.75" x14ac:dyDescent="0.2">
      <c r="B105" s="279"/>
      <c r="C105" s="280"/>
      <c r="D105" s="280"/>
      <c r="E105" s="280"/>
      <c r="F105" s="280"/>
      <c r="G105" s="280"/>
      <c r="H105" s="280"/>
      <c r="I105" s="106"/>
      <c r="R105" s="279"/>
      <c r="S105" s="279"/>
      <c r="T105" s="281"/>
      <c r="U105" s="281"/>
      <c r="V105" s="409"/>
      <c r="W105" s="410"/>
      <c r="X105" s="283"/>
      <c r="Z105" s="194"/>
    </row>
    <row r="106" spans="2:26" s="169" customFormat="1" ht="15.75" x14ac:dyDescent="0.2">
      <c r="B106" s="279"/>
      <c r="C106" s="280"/>
      <c r="D106" s="280"/>
      <c r="E106" s="280"/>
      <c r="F106" s="280"/>
      <c r="G106" s="280"/>
      <c r="H106" s="280"/>
      <c r="I106" s="106"/>
      <c r="R106" s="279"/>
      <c r="S106" s="279"/>
      <c r="T106" s="281"/>
      <c r="U106" s="281"/>
      <c r="V106" s="282"/>
      <c r="W106" s="281"/>
      <c r="X106" s="283"/>
      <c r="Z106" s="194"/>
    </row>
    <row r="107" spans="2:26" s="169" customFormat="1" ht="15.75" x14ac:dyDescent="0.2">
      <c r="B107" s="279"/>
      <c r="C107" s="280"/>
      <c r="D107" s="280"/>
      <c r="E107" s="280"/>
      <c r="F107" s="280"/>
      <c r="G107" s="280"/>
      <c r="H107" s="280"/>
      <c r="I107" s="106"/>
      <c r="T107" s="281"/>
      <c r="U107" s="281"/>
      <c r="V107" s="409"/>
      <c r="W107" s="410"/>
      <c r="X107" s="283"/>
      <c r="Z107" s="194"/>
    </row>
    <row r="108" spans="2:26" s="169" customFormat="1" ht="15.75" x14ac:dyDescent="0.2">
      <c r="B108" s="279"/>
      <c r="C108" s="280"/>
      <c r="D108" s="280"/>
      <c r="E108" s="280"/>
      <c r="F108" s="280"/>
      <c r="G108" s="280"/>
      <c r="H108" s="280"/>
      <c r="I108" s="106"/>
      <c r="T108" s="281"/>
      <c r="U108" s="281"/>
      <c r="V108" s="282"/>
      <c r="W108" s="281"/>
      <c r="X108" s="283"/>
      <c r="Z108" s="194"/>
    </row>
    <row r="109" spans="2:26" s="169" customFormat="1" ht="15.75" x14ac:dyDescent="0.2">
      <c r="B109" s="279"/>
      <c r="C109" s="290"/>
      <c r="D109" s="280"/>
      <c r="E109" s="280"/>
      <c r="F109" s="280"/>
      <c r="G109" s="280"/>
      <c r="H109" s="280"/>
      <c r="I109" s="106"/>
      <c r="T109" s="281"/>
      <c r="U109" s="281"/>
      <c r="V109" s="281"/>
      <c r="W109" s="281"/>
      <c r="X109" s="283"/>
      <c r="Z109" s="194"/>
    </row>
    <row r="110" spans="2:26" s="169" customFormat="1" ht="15.75" x14ac:dyDescent="0.2">
      <c r="B110" s="279"/>
      <c r="C110" s="280"/>
      <c r="D110" s="280"/>
      <c r="E110" s="280"/>
      <c r="F110" s="280"/>
      <c r="G110" s="280"/>
      <c r="H110" s="280"/>
      <c r="I110" s="106"/>
      <c r="T110" s="281"/>
      <c r="U110" s="281"/>
      <c r="V110" s="409"/>
      <c r="W110" s="410"/>
      <c r="X110" s="283"/>
      <c r="Z110" s="194"/>
    </row>
    <row r="111" spans="2:26" s="169" customFormat="1" ht="15" x14ac:dyDescent="0.2">
      <c r="B111" s="279"/>
      <c r="C111" s="280"/>
      <c r="D111" s="280"/>
      <c r="E111" s="280"/>
      <c r="F111" s="280"/>
      <c r="G111" s="280"/>
      <c r="H111" s="280"/>
      <c r="I111" s="106"/>
      <c r="T111" s="281"/>
      <c r="U111" s="281"/>
      <c r="V111" s="106"/>
      <c r="W111" s="106"/>
      <c r="X111" s="283"/>
      <c r="Z111" s="194"/>
    </row>
    <row r="112" spans="2:26" s="169" customFormat="1" ht="15.75" x14ac:dyDescent="0.2">
      <c r="B112" s="279"/>
      <c r="C112" s="280"/>
      <c r="D112" s="280"/>
      <c r="E112" s="280"/>
      <c r="F112" s="280"/>
      <c r="G112" s="280"/>
      <c r="H112" s="280"/>
      <c r="I112" s="106"/>
      <c r="T112" s="281"/>
      <c r="U112" s="281"/>
      <c r="V112" s="409"/>
      <c r="W112" s="410"/>
      <c r="X112" s="283"/>
      <c r="Z112" s="194"/>
    </row>
    <row r="113" spans="2:26" s="169" customFormat="1" ht="15.75" x14ac:dyDescent="0.2">
      <c r="B113" s="279"/>
      <c r="C113" s="280"/>
      <c r="D113" s="280"/>
      <c r="E113" s="280"/>
      <c r="F113" s="280"/>
      <c r="G113" s="280"/>
      <c r="H113" s="280"/>
      <c r="I113" s="106"/>
      <c r="T113" s="281"/>
      <c r="U113" s="281"/>
      <c r="V113" s="282"/>
      <c r="W113" s="281"/>
      <c r="X113" s="283"/>
      <c r="Z113" s="194"/>
    </row>
    <row r="114" spans="2:26" s="169" customFormat="1" ht="15.75" x14ac:dyDescent="0.2">
      <c r="B114" s="279"/>
      <c r="C114" s="280"/>
      <c r="D114" s="280"/>
      <c r="E114" s="280"/>
      <c r="F114" s="280"/>
      <c r="G114" s="280"/>
      <c r="H114" s="280"/>
      <c r="I114" s="106"/>
      <c r="T114" s="281"/>
      <c r="U114" s="281"/>
      <c r="V114" s="409"/>
      <c r="W114" s="410"/>
      <c r="X114" s="283"/>
      <c r="Z114" s="194"/>
    </row>
    <row r="115" spans="2:26" s="169" customFormat="1" ht="15" x14ac:dyDescent="0.2">
      <c r="B115" s="279"/>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Z115" s="194"/>
    </row>
    <row r="116" spans="2:26" s="169" customFormat="1" ht="15" x14ac:dyDescent="0.2">
      <c r="B116" s="279"/>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Z116" s="194"/>
    </row>
    <row r="117" spans="2:26" s="169" customFormat="1" ht="15" x14ac:dyDescent="0.2">
      <c r="B117" s="279"/>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Z117" s="194"/>
    </row>
    <row r="118" spans="2:26" s="169" customFormat="1" ht="15" x14ac:dyDescent="0.2">
      <c r="B118" s="279"/>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Z118" s="194"/>
    </row>
    <row r="119" spans="2:26" s="169" customFormat="1" ht="15" x14ac:dyDescent="0.2">
      <c r="B119" s="279"/>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Z119" s="194"/>
    </row>
    <row r="120" spans="2:26" s="169" customFormat="1" ht="15" x14ac:dyDescent="0.2">
      <c r="B120" s="279"/>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Z120" s="194"/>
    </row>
    <row r="121" spans="2:26" s="291" customFormat="1" ht="20.25" customHeight="1" x14ac:dyDescent="0.2"/>
    <row r="122" spans="2:26" s="259" customFormat="1" x14ac:dyDescent="0.2">
      <c r="Z122" s="169"/>
    </row>
    <row r="123" spans="2:26" s="259" customFormat="1" x14ac:dyDescent="0.2">
      <c r="Z123" s="169"/>
    </row>
    <row r="124" spans="2:26" s="259" customFormat="1" x14ac:dyDescent="0.2">
      <c r="Z124" s="169"/>
    </row>
    <row r="125" spans="2:26" s="259" customFormat="1" x14ac:dyDescent="0.2">
      <c r="Z125" s="169"/>
    </row>
    <row r="126" spans="2:26" s="259" customFormat="1" x14ac:dyDescent="0.2">
      <c r="Z126" s="169"/>
    </row>
    <row r="127" spans="2:26" s="259" customFormat="1" x14ac:dyDescent="0.2">
      <c r="Z127" s="169"/>
    </row>
    <row r="128" spans="2:26" s="259" customFormat="1" x14ac:dyDescent="0.2">
      <c r="Z128" s="169"/>
    </row>
    <row r="129" spans="26:26" s="259" customFormat="1" x14ac:dyDescent="0.2">
      <c r="Z129" s="169"/>
    </row>
    <row r="130" spans="26:26" s="259" customFormat="1" x14ac:dyDescent="0.2">
      <c r="Z130" s="169"/>
    </row>
    <row r="131" spans="26:26" s="259" customFormat="1" x14ac:dyDescent="0.2">
      <c r="Z131" s="169"/>
    </row>
    <row r="132" spans="26:26" s="259" customFormat="1" x14ac:dyDescent="0.2">
      <c r="Z132" s="169"/>
    </row>
    <row r="133" spans="26:26" s="259" customFormat="1" x14ac:dyDescent="0.2">
      <c r="Z133" s="169"/>
    </row>
    <row r="134" spans="26:26" s="259" customFormat="1" x14ac:dyDescent="0.2">
      <c r="Z134" s="169"/>
    </row>
    <row r="135" spans="26:26" s="259" customFormat="1" x14ac:dyDescent="0.2">
      <c r="Z135" s="169"/>
    </row>
    <row r="136" spans="26:26" s="259" customFormat="1" x14ac:dyDescent="0.2">
      <c r="Z136" s="169"/>
    </row>
    <row r="137" spans="26:26" s="259" customFormat="1" x14ac:dyDescent="0.2">
      <c r="Z137" s="169"/>
    </row>
    <row r="138" spans="26:26" s="259" customFormat="1" x14ac:dyDescent="0.2">
      <c r="Z138" s="169"/>
    </row>
    <row r="139" spans="26:26" s="259" customFormat="1" x14ac:dyDescent="0.2">
      <c r="Z139" s="169"/>
    </row>
    <row r="140" spans="26:26" s="259" customFormat="1" x14ac:dyDescent="0.2">
      <c r="Z140" s="169"/>
    </row>
    <row r="141" spans="26:26" s="259" customFormat="1" x14ac:dyDescent="0.2">
      <c r="Z141" s="169"/>
    </row>
    <row r="142" spans="26:26" s="259" customFormat="1" x14ac:dyDescent="0.2">
      <c r="Z142" s="169"/>
    </row>
    <row r="143" spans="26:26" s="259" customFormat="1" x14ac:dyDescent="0.2">
      <c r="Z143" s="169"/>
    </row>
    <row r="144" spans="26:26" s="259" customFormat="1" x14ac:dyDescent="0.2">
      <c r="Z144" s="169"/>
    </row>
    <row r="145" spans="26:26" s="259" customFormat="1" x14ac:dyDescent="0.2">
      <c r="Z145" s="169"/>
    </row>
    <row r="146" spans="26:26" s="259" customFormat="1" x14ac:dyDescent="0.2">
      <c r="Z146" s="169"/>
    </row>
    <row r="147" spans="26:26" s="259" customFormat="1" x14ac:dyDescent="0.2">
      <c r="Z147" s="169"/>
    </row>
    <row r="148" spans="26:26" s="259" customFormat="1" x14ac:dyDescent="0.2">
      <c r="Z148" s="169"/>
    </row>
    <row r="149" spans="26:26" s="259" customFormat="1" x14ac:dyDescent="0.2">
      <c r="Z149" s="169"/>
    </row>
    <row r="150" spans="26:26" s="259" customFormat="1" x14ac:dyDescent="0.2">
      <c r="Z150" s="169"/>
    </row>
    <row r="151" spans="26:26" s="259" customFormat="1" x14ac:dyDescent="0.2">
      <c r="Z151" s="169"/>
    </row>
    <row r="152" spans="26:26" s="259" customFormat="1" x14ac:dyDescent="0.2">
      <c r="Z152" s="169"/>
    </row>
    <row r="153" spans="26:26" s="259" customFormat="1" x14ac:dyDescent="0.2">
      <c r="Z153" s="169"/>
    </row>
    <row r="154" spans="26:26" s="259" customFormat="1" x14ac:dyDescent="0.2">
      <c r="Z154" s="169"/>
    </row>
    <row r="155" spans="26:26" s="259" customFormat="1" x14ac:dyDescent="0.2">
      <c r="Z155" s="169"/>
    </row>
    <row r="156" spans="26:26" s="259" customFormat="1" x14ac:dyDescent="0.2">
      <c r="Z156" s="169"/>
    </row>
    <row r="157" spans="26:26" s="259" customFormat="1" x14ac:dyDescent="0.2">
      <c r="Z157" s="169"/>
    </row>
    <row r="158" spans="26:26" s="259" customFormat="1" x14ac:dyDescent="0.2">
      <c r="Z158" s="169"/>
    </row>
    <row r="159" spans="26:26" s="259" customFormat="1" x14ac:dyDescent="0.2">
      <c r="Z159" s="169"/>
    </row>
    <row r="160" spans="26:26" s="259" customFormat="1" x14ac:dyDescent="0.2">
      <c r="Z160" s="169"/>
    </row>
    <row r="161" spans="26:26" s="259" customFormat="1" x14ac:dyDescent="0.2">
      <c r="Z161" s="169"/>
    </row>
    <row r="162" spans="26:26" s="259" customFormat="1" x14ac:dyDescent="0.2">
      <c r="Z162" s="169"/>
    </row>
    <row r="163" spans="26:26" s="259" customFormat="1" x14ac:dyDescent="0.2">
      <c r="Z163" s="169"/>
    </row>
    <row r="164" spans="26:26" s="259" customFormat="1" x14ac:dyDescent="0.2">
      <c r="Z164" s="169"/>
    </row>
    <row r="165" spans="26:26" s="259" customFormat="1" x14ac:dyDescent="0.2">
      <c r="Z165" s="169"/>
    </row>
    <row r="166" spans="26:26" s="259" customFormat="1" x14ac:dyDescent="0.2">
      <c r="Z166" s="169"/>
    </row>
    <row r="167" spans="26:26" s="259" customFormat="1" x14ac:dyDescent="0.2">
      <c r="Z167" s="169"/>
    </row>
    <row r="168" spans="26:26" s="259" customFormat="1" x14ac:dyDescent="0.2">
      <c r="Z168" s="169"/>
    </row>
    <row r="169" spans="26:26" s="259" customFormat="1" x14ac:dyDescent="0.2">
      <c r="Z169" s="169"/>
    </row>
    <row r="170" spans="26:26" s="259" customFormat="1" x14ac:dyDescent="0.2">
      <c r="Z170" s="169"/>
    </row>
    <row r="171" spans="26:26" s="259" customFormat="1" x14ac:dyDescent="0.2">
      <c r="Z171" s="169"/>
    </row>
    <row r="172" spans="26:26" s="259" customFormat="1" x14ac:dyDescent="0.2">
      <c r="Z172" s="169"/>
    </row>
    <row r="173" spans="26:26" s="259" customFormat="1" x14ac:dyDescent="0.2">
      <c r="Z173" s="169"/>
    </row>
    <row r="174" spans="26:26" s="259" customFormat="1" x14ac:dyDescent="0.2">
      <c r="Z174" s="169"/>
    </row>
    <row r="175" spans="26:26" s="259" customFormat="1" x14ac:dyDescent="0.2">
      <c r="Z175" s="169"/>
    </row>
    <row r="176" spans="26:26" s="259" customFormat="1" x14ac:dyDescent="0.2">
      <c r="Z176" s="169"/>
    </row>
    <row r="177" spans="26:26" s="259" customFormat="1" x14ac:dyDescent="0.2">
      <c r="Z177" s="169"/>
    </row>
  </sheetData>
  <mergeCells count="125">
    <mergeCell ref="K60:L60"/>
    <mergeCell ref="N60:O60"/>
    <mergeCell ref="Q60:R60"/>
    <mergeCell ref="T60:U60"/>
    <mergeCell ref="W60:X60"/>
    <mergeCell ref="C64:W64"/>
    <mergeCell ref="K53:L53"/>
    <mergeCell ref="N53:O53"/>
    <mergeCell ref="Q53:R53"/>
    <mergeCell ref="T53:U53"/>
    <mergeCell ref="W53:X53"/>
    <mergeCell ref="K55:L55"/>
    <mergeCell ref="N55:O55"/>
    <mergeCell ref="Q55:R55"/>
    <mergeCell ref="T55:U55"/>
    <mergeCell ref="W55:X55"/>
    <mergeCell ref="K62:L62"/>
    <mergeCell ref="N62:O62"/>
    <mergeCell ref="Q62:R62"/>
    <mergeCell ref="T62:U62"/>
    <mergeCell ref="W62:X62"/>
    <mergeCell ref="T43:U43"/>
    <mergeCell ref="K45:L45"/>
    <mergeCell ref="K47:L47"/>
    <mergeCell ref="N47:O47"/>
    <mergeCell ref="Q47:R47"/>
    <mergeCell ref="T47:U47"/>
    <mergeCell ref="Q37:R37"/>
    <mergeCell ref="T37:U37"/>
    <mergeCell ref="K38:L38"/>
    <mergeCell ref="N38:O38"/>
    <mergeCell ref="Q38:R38"/>
    <mergeCell ref="T38:U38"/>
    <mergeCell ref="N40:O40"/>
    <mergeCell ref="Q40:R40"/>
    <mergeCell ref="T40:U40"/>
    <mergeCell ref="K40:L40"/>
    <mergeCell ref="K43:L43"/>
    <mergeCell ref="N30:O30"/>
    <mergeCell ref="W30:X30"/>
    <mergeCell ref="N32:O32"/>
    <mergeCell ref="Q32:R32"/>
    <mergeCell ref="K21:L21"/>
    <mergeCell ref="W21:X21"/>
    <mergeCell ref="K23:L23"/>
    <mergeCell ref="W23:X23"/>
    <mergeCell ref="N26:O26"/>
    <mergeCell ref="W26:X26"/>
    <mergeCell ref="W32:X32"/>
    <mergeCell ref="T16:U16"/>
    <mergeCell ref="W16:X16"/>
    <mergeCell ref="D18:I19"/>
    <mergeCell ref="K18:L18"/>
    <mergeCell ref="N18:O18"/>
    <mergeCell ref="Q18:R18"/>
    <mergeCell ref="T18:U18"/>
    <mergeCell ref="N28:O28"/>
    <mergeCell ref="W28:X28"/>
    <mergeCell ref="Q14:R15"/>
    <mergeCell ref="T14:U15"/>
    <mergeCell ref="W14:X14"/>
    <mergeCell ref="K58:L58"/>
    <mergeCell ref="N58:O58"/>
    <mergeCell ref="Q58:R58"/>
    <mergeCell ref="T58:U58"/>
    <mergeCell ref="W58:X58"/>
    <mergeCell ref="K51:L51"/>
    <mergeCell ref="N51:O51"/>
    <mergeCell ref="Q51:R51"/>
    <mergeCell ref="T51:U51"/>
    <mergeCell ref="W51:X51"/>
    <mergeCell ref="N45:O45"/>
    <mergeCell ref="Q45:R45"/>
    <mergeCell ref="T45:U45"/>
    <mergeCell ref="W45:X45"/>
    <mergeCell ref="W47:X47"/>
    <mergeCell ref="N43:O43"/>
    <mergeCell ref="Q43:R43"/>
    <mergeCell ref="W43:X43"/>
    <mergeCell ref="K16:L16"/>
    <mergeCell ref="N16:O16"/>
    <mergeCell ref="Q16:R16"/>
    <mergeCell ref="V112:W112"/>
    <mergeCell ref="V114:W114"/>
    <mergeCell ref="V85:W85"/>
    <mergeCell ref="V87:W87"/>
    <mergeCell ref="V89:W89"/>
    <mergeCell ref="V96:W96"/>
    <mergeCell ref="V98:W98"/>
    <mergeCell ref="V100:W100"/>
    <mergeCell ref="W34:X34"/>
    <mergeCell ref="W37:X37"/>
    <mergeCell ref="V82:W82"/>
    <mergeCell ref="V66:W66"/>
    <mergeCell ref="V68:W68"/>
    <mergeCell ref="W38:X38"/>
    <mergeCell ref="W40:X40"/>
    <mergeCell ref="V103:W103"/>
    <mergeCell ref="V105:W105"/>
    <mergeCell ref="V107:W107"/>
    <mergeCell ref="V110:W110"/>
    <mergeCell ref="A3:Y3"/>
    <mergeCell ref="C7:D7"/>
    <mergeCell ref="A5:Y5"/>
    <mergeCell ref="A4:Y4"/>
    <mergeCell ref="V71:W71"/>
    <mergeCell ref="V73:W73"/>
    <mergeCell ref="V75:W75"/>
    <mergeCell ref="V78:W78"/>
    <mergeCell ref="V80:W80"/>
    <mergeCell ref="N37:O37"/>
    <mergeCell ref="N34:O34"/>
    <mergeCell ref="Q34:R34"/>
    <mergeCell ref="T34:U34"/>
    <mergeCell ref="K37:L37"/>
    <mergeCell ref="C10:H10"/>
    <mergeCell ref="C11:W12"/>
    <mergeCell ref="K13:L13"/>
    <mergeCell ref="Q13:R13"/>
    <mergeCell ref="W18:X18"/>
    <mergeCell ref="T13:U13"/>
    <mergeCell ref="N13:O13"/>
    <mergeCell ref="W13:X13"/>
    <mergeCell ref="K14:L15"/>
    <mergeCell ref="N14:O15"/>
  </mergeCells>
  <phoneticPr fontId="4" type="noConversion"/>
  <printOptions horizontalCentered="1"/>
  <pageMargins left="0.39370078740157483" right="0.39370078740157483" top="0.98425196850393704" bottom="0.59055118110236227" header="0.51181102362204722" footer="0.51181102362204722"/>
  <pageSetup paperSize="9" scale="4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335"/>
  <sheetViews>
    <sheetView workbookViewId="0">
      <pane xSplit="3" ySplit="7" topLeftCell="D8" activePane="bottomRight" state="frozen"/>
      <selection pane="topRight" activeCell="D1" sqref="D1"/>
      <selection pane="bottomLeft" activeCell="A8" sqref="A8"/>
      <selection pane="bottomRight" activeCell="E20" sqref="E20"/>
    </sheetView>
  </sheetViews>
  <sheetFormatPr defaultRowHeight="15" x14ac:dyDescent="0.2"/>
  <cols>
    <col min="1" max="1" width="8.42578125" style="26" customWidth="1"/>
    <col min="2" max="2" width="33.140625" style="26" customWidth="1"/>
    <col min="3" max="3" width="8.140625" style="26" bestFit="1" customWidth="1"/>
  </cols>
  <sheetData>
    <row r="1" spans="1:3" ht="12.75" x14ac:dyDescent="0.2">
      <c r="A1" s="31"/>
      <c r="B1" s="32"/>
      <c r="C1" s="87"/>
    </row>
    <row r="2" spans="1:3" ht="12.75" x14ac:dyDescent="0.2">
      <c r="A2" s="76"/>
      <c r="B2" s="33"/>
      <c r="C2" s="88"/>
    </row>
    <row r="3" spans="1:3" ht="12.75" x14ac:dyDescent="0.2">
      <c r="A3" s="34">
        <v>1</v>
      </c>
      <c r="B3" s="35">
        <v>2</v>
      </c>
      <c r="C3" s="86">
        <v>3</v>
      </c>
    </row>
    <row r="4" spans="1:3" ht="12.75" x14ac:dyDescent="0.2">
      <c r="A4" s="36"/>
      <c r="B4" s="37"/>
      <c r="C4" s="88"/>
    </row>
    <row r="5" spans="1:3" ht="12.75" x14ac:dyDescent="0.2">
      <c r="A5" s="99" t="s">
        <v>579</v>
      </c>
      <c r="B5" s="100" t="s">
        <v>580</v>
      </c>
      <c r="C5" s="101" t="s">
        <v>581</v>
      </c>
    </row>
    <row r="6" spans="1:3" ht="13.5" thickBot="1" x14ac:dyDescent="0.25">
      <c r="A6" s="89"/>
      <c r="B6" s="90"/>
      <c r="C6" s="91"/>
    </row>
    <row r="7" spans="1:3" ht="13.5" thickBot="1" x14ac:dyDescent="0.25">
      <c r="A7" s="77"/>
      <c r="B7" s="78"/>
      <c r="C7" s="85"/>
    </row>
    <row r="8" spans="1:3" ht="12.75" x14ac:dyDescent="0.2">
      <c r="A8" s="92">
        <v>1</v>
      </c>
      <c r="B8" s="94" t="s">
        <v>582</v>
      </c>
      <c r="C8" s="81" t="s">
        <v>583</v>
      </c>
    </row>
    <row r="9" spans="1:3" ht="12.75" x14ac:dyDescent="0.2">
      <c r="A9" s="92">
        <v>2</v>
      </c>
      <c r="B9" s="95" t="s">
        <v>584</v>
      </c>
      <c r="C9" s="82" t="s">
        <v>585</v>
      </c>
    </row>
    <row r="10" spans="1:3" ht="12.75" x14ac:dyDescent="0.2">
      <c r="A10" s="92">
        <v>3</v>
      </c>
      <c r="B10" s="95" t="s">
        <v>586</v>
      </c>
      <c r="C10" s="82" t="s">
        <v>587</v>
      </c>
    </row>
    <row r="11" spans="1:3" ht="12.75" x14ac:dyDescent="0.2">
      <c r="A11" s="92">
        <v>4</v>
      </c>
      <c r="B11" s="95" t="s">
        <v>588</v>
      </c>
      <c r="C11" s="82" t="s">
        <v>589</v>
      </c>
    </row>
    <row r="12" spans="1:3" ht="12.75" x14ac:dyDescent="0.2">
      <c r="A12" s="92">
        <v>5</v>
      </c>
      <c r="B12" s="95" t="s">
        <v>590</v>
      </c>
      <c r="C12" s="82" t="s">
        <v>591</v>
      </c>
    </row>
    <row r="13" spans="1:3" ht="12.75" x14ac:dyDescent="0.2">
      <c r="A13" s="92">
        <v>6</v>
      </c>
      <c r="B13" s="95" t="s">
        <v>592</v>
      </c>
      <c r="C13" s="82" t="s">
        <v>593</v>
      </c>
    </row>
    <row r="14" spans="1:3" ht="12.75" x14ac:dyDescent="0.2">
      <c r="A14" s="92">
        <v>7</v>
      </c>
      <c r="B14" s="95" t="s">
        <v>594</v>
      </c>
      <c r="C14" s="82" t="s">
        <v>595</v>
      </c>
    </row>
    <row r="15" spans="1:3" ht="12.75" x14ac:dyDescent="0.2">
      <c r="A15" s="92">
        <v>8</v>
      </c>
      <c r="B15" s="95" t="s">
        <v>596</v>
      </c>
      <c r="C15" s="82" t="s">
        <v>597</v>
      </c>
    </row>
    <row r="16" spans="1:3" ht="12.75" x14ac:dyDescent="0.2">
      <c r="A16" s="92">
        <v>9</v>
      </c>
      <c r="B16" s="95" t="s">
        <v>598</v>
      </c>
      <c r="C16" s="82" t="s">
        <v>599</v>
      </c>
    </row>
    <row r="17" spans="1:3" ht="12.75" x14ac:dyDescent="0.2">
      <c r="A17" s="92">
        <v>10</v>
      </c>
      <c r="B17" s="95" t="s">
        <v>600</v>
      </c>
      <c r="C17" s="82" t="s">
        <v>601</v>
      </c>
    </row>
    <row r="18" spans="1:3" ht="12.75" x14ac:dyDescent="0.2">
      <c r="A18" s="92">
        <v>11</v>
      </c>
      <c r="B18" s="95" t="s">
        <v>602</v>
      </c>
      <c r="C18" s="82" t="s">
        <v>603</v>
      </c>
    </row>
    <row r="19" spans="1:3" ht="12.75" x14ac:dyDescent="0.2">
      <c r="A19" s="92">
        <v>12</v>
      </c>
      <c r="B19" s="95" t="s">
        <v>604</v>
      </c>
      <c r="C19" s="82" t="s">
        <v>605</v>
      </c>
    </row>
    <row r="20" spans="1:3" ht="12.75" x14ac:dyDescent="0.2">
      <c r="A20" s="92">
        <v>13</v>
      </c>
      <c r="B20" s="95" t="s">
        <v>606</v>
      </c>
      <c r="C20" s="82" t="s">
        <v>607</v>
      </c>
    </row>
    <row r="21" spans="1:3" ht="12.75" x14ac:dyDescent="0.2">
      <c r="A21" s="92">
        <v>14</v>
      </c>
      <c r="B21" s="95" t="s">
        <v>608</v>
      </c>
      <c r="C21" s="82" t="s">
        <v>609</v>
      </c>
    </row>
    <row r="22" spans="1:3" ht="12.75" x14ac:dyDescent="0.2">
      <c r="A22" s="92">
        <v>15</v>
      </c>
      <c r="B22" s="95" t="s">
        <v>610</v>
      </c>
      <c r="C22" s="82" t="s">
        <v>611</v>
      </c>
    </row>
    <row r="23" spans="1:3" ht="12.75" x14ac:dyDescent="0.2">
      <c r="A23" s="92">
        <v>16</v>
      </c>
      <c r="B23" s="95" t="s">
        <v>612</v>
      </c>
      <c r="C23" s="82" t="s">
        <v>613</v>
      </c>
    </row>
    <row r="24" spans="1:3" ht="12.75" x14ac:dyDescent="0.2">
      <c r="A24" s="92">
        <v>17</v>
      </c>
      <c r="B24" s="95" t="s">
        <v>614</v>
      </c>
      <c r="C24" s="82" t="s">
        <v>615</v>
      </c>
    </row>
    <row r="25" spans="1:3" ht="12.75" x14ac:dyDescent="0.2">
      <c r="A25" s="92">
        <v>18</v>
      </c>
      <c r="B25" s="95" t="s">
        <v>616</v>
      </c>
      <c r="C25" s="82" t="s">
        <v>617</v>
      </c>
    </row>
    <row r="26" spans="1:3" ht="12.75" x14ac:dyDescent="0.2">
      <c r="A26" s="92">
        <v>19</v>
      </c>
      <c r="B26" s="95" t="s">
        <v>618</v>
      </c>
      <c r="C26" s="82" t="s">
        <v>619</v>
      </c>
    </row>
    <row r="27" spans="1:3" ht="12.75" x14ac:dyDescent="0.2">
      <c r="A27" s="92">
        <v>20</v>
      </c>
      <c r="B27" s="95" t="s">
        <v>620</v>
      </c>
      <c r="C27" s="82" t="s">
        <v>621</v>
      </c>
    </row>
    <row r="28" spans="1:3" ht="12.75" x14ac:dyDescent="0.2">
      <c r="A28" s="92">
        <v>21</v>
      </c>
      <c r="B28" s="95" t="s">
        <v>622</v>
      </c>
      <c r="C28" s="82" t="s">
        <v>623</v>
      </c>
    </row>
    <row r="29" spans="1:3" ht="12.75" x14ac:dyDescent="0.2">
      <c r="A29" s="92">
        <v>22</v>
      </c>
      <c r="B29" s="95" t="s">
        <v>624</v>
      </c>
      <c r="C29" s="82" t="s">
        <v>625</v>
      </c>
    </row>
    <row r="30" spans="1:3" ht="12.75" x14ac:dyDescent="0.2">
      <c r="A30" s="92">
        <v>23</v>
      </c>
      <c r="B30" s="95" t="s">
        <v>626</v>
      </c>
      <c r="C30" s="82" t="s">
        <v>627</v>
      </c>
    </row>
    <row r="31" spans="1:3" ht="12.75" x14ac:dyDescent="0.2">
      <c r="A31" s="92">
        <v>24</v>
      </c>
      <c r="B31" s="95" t="s">
        <v>628</v>
      </c>
      <c r="C31" s="82" t="s">
        <v>629</v>
      </c>
    </row>
    <row r="32" spans="1:3" ht="12.75" x14ac:dyDescent="0.2">
      <c r="A32" s="92">
        <v>25</v>
      </c>
      <c r="B32" s="95" t="s">
        <v>630</v>
      </c>
      <c r="C32" s="82" t="s">
        <v>631</v>
      </c>
    </row>
    <row r="33" spans="1:3" ht="12.75" x14ac:dyDescent="0.2">
      <c r="A33" s="92">
        <v>26</v>
      </c>
      <c r="B33" s="95" t="s">
        <v>632</v>
      </c>
      <c r="C33" s="82" t="s">
        <v>633</v>
      </c>
    </row>
    <row r="34" spans="1:3" ht="12.75" x14ac:dyDescent="0.2">
      <c r="A34" s="92">
        <v>27</v>
      </c>
      <c r="B34" s="95" t="s">
        <v>634</v>
      </c>
      <c r="C34" s="82" t="s">
        <v>635</v>
      </c>
    </row>
    <row r="35" spans="1:3" ht="12.75" x14ac:dyDescent="0.2">
      <c r="A35" s="92">
        <v>28</v>
      </c>
      <c r="B35" s="95" t="s">
        <v>636</v>
      </c>
      <c r="C35" s="82" t="s">
        <v>637</v>
      </c>
    </row>
    <row r="36" spans="1:3" ht="12.75" x14ac:dyDescent="0.2">
      <c r="A36" s="92">
        <v>29</v>
      </c>
      <c r="B36" s="95" t="s">
        <v>638</v>
      </c>
      <c r="C36" s="82" t="s">
        <v>639</v>
      </c>
    </row>
    <row r="37" spans="1:3" ht="12.75" x14ac:dyDescent="0.2">
      <c r="A37" s="92">
        <v>30</v>
      </c>
      <c r="B37" s="95" t="s">
        <v>640</v>
      </c>
      <c r="C37" s="82" t="s">
        <v>641</v>
      </c>
    </row>
    <row r="38" spans="1:3" ht="12.75" x14ac:dyDescent="0.2">
      <c r="A38" s="92">
        <v>31</v>
      </c>
      <c r="B38" s="95" t="s">
        <v>642</v>
      </c>
      <c r="C38" s="82" t="s">
        <v>643</v>
      </c>
    </row>
    <row r="39" spans="1:3" ht="12.75" x14ac:dyDescent="0.2">
      <c r="A39" s="92">
        <v>32</v>
      </c>
      <c r="B39" s="95" t="s">
        <v>644</v>
      </c>
      <c r="C39" s="82" t="s">
        <v>645</v>
      </c>
    </row>
    <row r="40" spans="1:3" ht="12.75" x14ac:dyDescent="0.2">
      <c r="A40" s="92">
        <v>33</v>
      </c>
      <c r="B40" s="95" t="s">
        <v>646</v>
      </c>
      <c r="C40" s="82" t="s">
        <v>647</v>
      </c>
    </row>
    <row r="41" spans="1:3" ht="12.75" x14ac:dyDescent="0.2">
      <c r="A41" s="92">
        <v>34</v>
      </c>
      <c r="B41" s="95" t="s">
        <v>648</v>
      </c>
      <c r="C41" s="82" t="s">
        <v>649</v>
      </c>
    </row>
    <row r="42" spans="1:3" ht="12.75" x14ac:dyDescent="0.2">
      <c r="A42" s="92">
        <v>35</v>
      </c>
      <c r="B42" s="95" t="s">
        <v>650</v>
      </c>
      <c r="C42" s="82" t="s">
        <v>651</v>
      </c>
    </row>
    <row r="43" spans="1:3" ht="12.75" x14ac:dyDescent="0.2">
      <c r="A43" s="92">
        <v>36</v>
      </c>
      <c r="B43" s="95" t="s">
        <v>652</v>
      </c>
      <c r="C43" s="82" t="s">
        <v>653</v>
      </c>
    </row>
    <row r="44" spans="1:3" ht="12.75" x14ac:dyDescent="0.2">
      <c r="A44" s="92">
        <v>37</v>
      </c>
      <c r="B44" s="95" t="s">
        <v>654</v>
      </c>
      <c r="C44" s="82" t="s">
        <v>655</v>
      </c>
    </row>
    <row r="45" spans="1:3" ht="12.75" x14ac:dyDescent="0.2">
      <c r="A45" s="92">
        <v>38</v>
      </c>
      <c r="B45" s="95" t="s">
        <v>656</v>
      </c>
      <c r="C45" s="82" t="s">
        <v>657</v>
      </c>
    </row>
    <row r="46" spans="1:3" ht="12.75" x14ac:dyDescent="0.2">
      <c r="A46" s="92">
        <v>39</v>
      </c>
      <c r="B46" s="95" t="s">
        <v>658</v>
      </c>
      <c r="C46" s="82" t="s">
        <v>659</v>
      </c>
    </row>
    <row r="47" spans="1:3" ht="12.75" x14ac:dyDescent="0.2">
      <c r="A47" s="92">
        <v>40</v>
      </c>
      <c r="B47" s="95" t="s">
        <v>660</v>
      </c>
      <c r="C47" s="82" t="s">
        <v>661</v>
      </c>
    </row>
    <row r="48" spans="1:3" ht="12.75" x14ac:dyDescent="0.2">
      <c r="A48" s="92">
        <v>41</v>
      </c>
      <c r="B48" s="95" t="s">
        <v>662</v>
      </c>
      <c r="C48" s="82" t="s">
        <v>663</v>
      </c>
    </row>
    <row r="49" spans="1:3" ht="12.75" x14ac:dyDescent="0.2">
      <c r="A49" s="92">
        <v>42</v>
      </c>
      <c r="B49" s="95" t="s">
        <v>664</v>
      </c>
      <c r="C49" s="82" t="s">
        <v>665</v>
      </c>
    </row>
    <row r="50" spans="1:3" ht="12.75" x14ac:dyDescent="0.2">
      <c r="A50" s="92">
        <v>43</v>
      </c>
      <c r="B50" s="95" t="s">
        <v>666</v>
      </c>
      <c r="C50" s="82" t="s">
        <v>667</v>
      </c>
    </row>
    <row r="51" spans="1:3" ht="12.75" x14ac:dyDescent="0.2">
      <c r="A51" s="92">
        <v>44</v>
      </c>
      <c r="B51" s="95" t="s">
        <v>668</v>
      </c>
      <c r="C51" s="82" t="s">
        <v>669</v>
      </c>
    </row>
    <row r="52" spans="1:3" ht="12.75" x14ac:dyDescent="0.2">
      <c r="A52" s="92">
        <v>45</v>
      </c>
      <c r="B52" s="95" t="s">
        <v>670</v>
      </c>
      <c r="C52" s="82" t="s">
        <v>671</v>
      </c>
    </row>
    <row r="53" spans="1:3" ht="12.75" x14ac:dyDescent="0.2">
      <c r="A53" s="92">
        <v>46</v>
      </c>
      <c r="B53" s="95" t="s">
        <v>672</v>
      </c>
      <c r="C53" s="82" t="s">
        <v>673</v>
      </c>
    </row>
    <row r="54" spans="1:3" ht="12.75" x14ac:dyDescent="0.2">
      <c r="A54" s="92">
        <v>47</v>
      </c>
      <c r="B54" s="95" t="s">
        <v>674</v>
      </c>
      <c r="C54" s="82" t="s">
        <v>675</v>
      </c>
    </row>
    <row r="55" spans="1:3" ht="12.75" x14ac:dyDescent="0.2">
      <c r="A55" s="92">
        <v>48</v>
      </c>
      <c r="B55" s="95" t="s">
        <v>676</v>
      </c>
      <c r="C55" s="82" t="s">
        <v>677</v>
      </c>
    </row>
    <row r="56" spans="1:3" ht="12.75" x14ac:dyDescent="0.2">
      <c r="A56" s="92">
        <v>49</v>
      </c>
      <c r="B56" s="96" t="s">
        <v>678</v>
      </c>
      <c r="C56" s="83" t="s">
        <v>679</v>
      </c>
    </row>
    <row r="57" spans="1:3" ht="12.75" x14ac:dyDescent="0.2">
      <c r="A57" s="92">
        <v>50</v>
      </c>
      <c r="B57" s="95" t="s">
        <v>680</v>
      </c>
      <c r="C57" s="82" t="s">
        <v>681</v>
      </c>
    </row>
    <row r="58" spans="1:3" ht="12.75" x14ac:dyDescent="0.2">
      <c r="A58" s="92">
        <v>51</v>
      </c>
      <c r="B58" s="95" t="s">
        <v>682</v>
      </c>
      <c r="C58" s="82" t="s">
        <v>683</v>
      </c>
    </row>
    <row r="59" spans="1:3" ht="12.75" x14ac:dyDescent="0.2">
      <c r="A59" s="92">
        <v>52</v>
      </c>
      <c r="B59" s="95" t="s">
        <v>684</v>
      </c>
      <c r="C59" s="82" t="s">
        <v>685</v>
      </c>
    </row>
    <row r="60" spans="1:3" ht="12.75" x14ac:dyDescent="0.2">
      <c r="A60" s="92">
        <v>53</v>
      </c>
      <c r="B60" s="95" t="s">
        <v>686</v>
      </c>
      <c r="C60" s="82" t="s">
        <v>687</v>
      </c>
    </row>
    <row r="61" spans="1:3" ht="12.75" x14ac:dyDescent="0.2">
      <c r="A61" s="92">
        <v>54</v>
      </c>
      <c r="B61" s="95" t="s">
        <v>688</v>
      </c>
      <c r="C61" s="82" t="s">
        <v>689</v>
      </c>
    </row>
    <row r="62" spans="1:3" ht="12.75" x14ac:dyDescent="0.2">
      <c r="A62" s="92">
        <v>55</v>
      </c>
      <c r="B62" s="95" t="s">
        <v>690</v>
      </c>
      <c r="C62" s="82" t="s">
        <v>691</v>
      </c>
    </row>
    <row r="63" spans="1:3" ht="12.75" x14ac:dyDescent="0.2">
      <c r="A63" s="92">
        <v>56</v>
      </c>
      <c r="B63" s="95" t="s">
        <v>692</v>
      </c>
      <c r="C63" s="82" t="s">
        <v>693</v>
      </c>
    </row>
    <row r="64" spans="1:3" ht="12.75" x14ac:dyDescent="0.2">
      <c r="A64" s="92">
        <v>57</v>
      </c>
      <c r="B64" s="95" t="s">
        <v>694</v>
      </c>
      <c r="C64" s="82" t="s">
        <v>695</v>
      </c>
    </row>
    <row r="65" spans="1:3" ht="12.75" x14ac:dyDescent="0.2">
      <c r="A65" s="92">
        <v>58</v>
      </c>
      <c r="B65" s="95" t="s">
        <v>696</v>
      </c>
      <c r="C65" s="82" t="s">
        <v>697</v>
      </c>
    </row>
    <row r="66" spans="1:3" ht="12.75" x14ac:dyDescent="0.2">
      <c r="A66" s="92">
        <v>59</v>
      </c>
      <c r="B66" s="95" t="s">
        <v>698</v>
      </c>
      <c r="C66" s="82" t="s">
        <v>699</v>
      </c>
    </row>
    <row r="67" spans="1:3" ht="12.75" x14ac:dyDescent="0.2">
      <c r="A67" s="92">
        <v>60</v>
      </c>
      <c r="B67" s="95" t="s">
        <v>700</v>
      </c>
      <c r="C67" s="82" t="s">
        <v>701</v>
      </c>
    </row>
    <row r="68" spans="1:3" ht="12.75" x14ac:dyDescent="0.2">
      <c r="A68" s="92">
        <v>61</v>
      </c>
      <c r="B68" s="95" t="s">
        <v>702</v>
      </c>
      <c r="C68" s="82" t="s">
        <v>0</v>
      </c>
    </row>
    <row r="69" spans="1:3" ht="12.75" x14ac:dyDescent="0.2">
      <c r="A69" s="92">
        <v>62</v>
      </c>
      <c r="B69" s="95" t="s">
        <v>1</v>
      </c>
      <c r="C69" s="82" t="s">
        <v>2</v>
      </c>
    </row>
    <row r="70" spans="1:3" ht="12.75" x14ac:dyDescent="0.2">
      <c r="A70" s="92">
        <v>63</v>
      </c>
      <c r="B70" s="95" t="s">
        <v>3</v>
      </c>
      <c r="C70" s="82" t="s">
        <v>4</v>
      </c>
    </row>
    <row r="71" spans="1:3" ht="12.75" x14ac:dyDescent="0.2">
      <c r="A71" s="92">
        <v>64</v>
      </c>
      <c r="B71" s="95" t="s">
        <v>5</v>
      </c>
      <c r="C71" s="82" t="s">
        <v>6</v>
      </c>
    </row>
    <row r="72" spans="1:3" ht="12.75" x14ac:dyDescent="0.2">
      <c r="A72" s="92">
        <v>65</v>
      </c>
      <c r="B72" s="95" t="s">
        <v>7</v>
      </c>
      <c r="C72" s="82" t="s">
        <v>8</v>
      </c>
    </row>
    <row r="73" spans="1:3" ht="12.75" x14ac:dyDescent="0.2">
      <c r="A73" s="92">
        <v>66</v>
      </c>
      <c r="B73" s="95" t="s">
        <v>9</v>
      </c>
      <c r="C73" s="82" t="s">
        <v>10</v>
      </c>
    </row>
    <row r="74" spans="1:3" ht="12.75" x14ac:dyDescent="0.2">
      <c r="A74" s="92">
        <v>67</v>
      </c>
      <c r="B74" s="95" t="s">
        <v>11</v>
      </c>
      <c r="C74" s="82" t="s">
        <v>12</v>
      </c>
    </row>
    <row r="75" spans="1:3" ht="12.75" x14ac:dyDescent="0.2">
      <c r="A75" s="92">
        <v>68</v>
      </c>
      <c r="B75" s="95" t="s">
        <v>13</v>
      </c>
      <c r="C75" s="82" t="s">
        <v>14</v>
      </c>
    </row>
    <row r="76" spans="1:3" ht="12.75" x14ac:dyDescent="0.2">
      <c r="A76" s="92">
        <v>69</v>
      </c>
      <c r="B76" s="95" t="s">
        <v>15</v>
      </c>
      <c r="C76" s="82" t="s">
        <v>16</v>
      </c>
    </row>
    <row r="77" spans="1:3" ht="12.75" x14ac:dyDescent="0.2">
      <c r="A77" s="92">
        <v>70</v>
      </c>
      <c r="B77" s="95" t="s">
        <v>17</v>
      </c>
      <c r="C77" s="82" t="s">
        <v>18</v>
      </c>
    </row>
    <row r="78" spans="1:3" ht="12.75" x14ac:dyDescent="0.2">
      <c r="A78" s="92">
        <v>71</v>
      </c>
      <c r="B78" s="95" t="s">
        <v>19</v>
      </c>
      <c r="C78" s="82" t="s">
        <v>20</v>
      </c>
    </row>
    <row r="79" spans="1:3" ht="12.75" x14ac:dyDescent="0.2">
      <c r="A79" s="92">
        <v>72</v>
      </c>
      <c r="B79" s="95" t="s">
        <v>21</v>
      </c>
      <c r="C79" s="82" t="s">
        <v>22</v>
      </c>
    </row>
    <row r="80" spans="1:3" ht="12.75" x14ac:dyDescent="0.2">
      <c r="A80" s="92">
        <v>73</v>
      </c>
      <c r="B80" s="95" t="s">
        <v>23</v>
      </c>
      <c r="C80" s="82" t="s">
        <v>24</v>
      </c>
    </row>
    <row r="81" spans="1:3" ht="12.75" x14ac:dyDescent="0.2">
      <c r="A81" s="92">
        <v>74</v>
      </c>
      <c r="B81" s="95" t="s">
        <v>25</v>
      </c>
      <c r="C81" s="82" t="s">
        <v>26</v>
      </c>
    </row>
    <row r="82" spans="1:3" ht="12.75" x14ac:dyDescent="0.2">
      <c r="A82" s="92">
        <v>75</v>
      </c>
      <c r="B82" s="95" t="s">
        <v>27</v>
      </c>
      <c r="C82" s="82" t="s">
        <v>28</v>
      </c>
    </row>
    <row r="83" spans="1:3" ht="12.75" x14ac:dyDescent="0.2">
      <c r="A83" s="92">
        <v>76</v>
      </c>
      <c r="B83" s="95" t="s">
        <v>29</v>
      </c>
      <c r="C83" s="82" t="s">
        <v>30</v>
      </c>
    </row>
    <row r="84" spans="1:3" ht="12.75" x14ac:dyDescent="0.2">
      <c r="A84" s="92">
        <v>77</v>
      </c>
      <c r="B84" s="95" t="s">
        <v>31</v>
      </c>
      <c r="C84" s="82" t="s">
        <v>32</v>
      </c>
    </row>
    <row r="85" spans="1:3" ht="12.75" x14ac:dyDescent="0.2">
      <c r="A85" s="92">
        <v>78</v>
      </c>
      <c r="B85" s="95" t="s">
        <v>38</v>
      </c>
      <c r="C85" s="82" t="s">
        <v>39</v>
      </c>
    </row>
    <row r="86" spans="1:3" ht="12.75" x14ac:dyDescent="0.2">
      <c r="A86" s="92">
        <v>79</v>
      </c>
      <c r="B86" s="95" t="s">
        <v>40</v>
      </c>
      <c r="C86" s="82" t="s">
        <v>41</v>
      </c>
    </row>
    <row r="87" spans="1:3" ht="12.75" x14ac:dyDescent="0.2">
      <c r="A87" s="92">
        <v>80</v>
      </c>
      <c r="B87" s="95" t="s">
        <v>42</v>
      </c>
      <c r="C87" s="82" t="s">
        <v>43</v>
      </c>
    </row>
    <row r="88" spans="1:3" ht="12.75" x14ac:dyDescent="0.2">
      <c r="A88" s="92">
        <v>81</v>
      </c>
      <c r="B88" s="95" t="s">
        <v>44</v>
      </c>
      <c r="C88" s="82" t="s">
        <v>45</v>
      </c>
    </row>
    <row r="89" spans="1:3" ht="12.75" x14ac:dyDescent="0.2">
      <c r="A89" s="92">
        <v>82</v>
      </c>
      <c r="B89" s="95" t="s">
        <v>46</v>
      </c>
      <c r="C89" s="82" t="s">
        <v>47</v>
      </c>
    </row>
    <row r="90" spans="1:3" ht="12.75" x14ac:dyDescent="0.2">
      <c r="A90" s="92">
        <v>83</v>
      </c>
      <c r="B90" s="95" t="s">
        <v>48</v>
      </c>
      <c r="C90" s="82" t="s">
        <v>49</v>
      </c>
    </row>
    <row r="91" spans="1:3" ht="12.75" x14ac:dyDescent="0.2">
      <c r="A91" s="92">
        <v>84</v>
      </c>
      <c r="B91" s="95" t="s">
        <v>50</v>
      </c>
      <c r="C91" s="82" t="s">
        <v>51</v>
      </c>
    </row>
    <row r="92" spans="1:3" ht="12.75" x14ac:dyDescent="0.2">
      <c r="A92" s="92">
        <v>85</v>
      </c>
      <c r="B92" s="95" t="s">
        <v>52</v>
      </c>
      <c r="C92" s="82" t="s">
        <v>53</v>
      </c>
    </row>
    <row r="93" spans="1:3" ht="12.75" x14ac:dyDescent="0.2">
      <c r="A93" s="92">
        <v>86</v>
      </c>
      <c r="B93" s="95" t="s">
        <v>54</v>
      </c>
      <c r="C93" s="82" t="s">
        <v>55</v>
      </c>
    </row>
    <row r="94" spans="1:3" ht="12.75" x14ac:dyDescent="0.2">
      <c r="A94" s="92">
        <v>87</v>
      </c>
      <c r="B94" s="95" t="s">
        <v>56</v>
      </c>
      <c r="C94" s="82" t="s">
        <v>57</v>
      </c>
    </row>
    <row r="95" spans="1:3" ht="12.75" x14ac:dyDescent="0.2">
      <c r="A95" s="92">
        <v>88</v>
      </c>
      <c r="B95" s="95" t="s">
        <v>58</v>
      </c>
      <c r="C95" s="82" t="s">
        <v>59</v>
      </c>
    </row>
    <row r="96" spans="1:3" ht="12.75" x14ac:dyDescent="0.2">
      <c r="A96" s="92">
        <v>89</v>
      </c>
      <c r="B96" s="95" t="s">
        <v>60</v>
      </c>
      <c r="C96" s="82" t="s">
        <v>61</v>
      </c>
    </row>
    <row r="97" spans="1:3" ht="12.75" x14ac:dyDescent="0.2">
      <c r="A97" s="92">
        <v>90</v>
      </c>
      <c r="B97" s="95" t="s">
        <v>62</v>
      </c>
      <c r="C97" s="82" t="s">
        <v>63</v>
      </c>
    </row>
    <row r="98" spans="1:3" ht="12.75" x14ac:dyDescent="0.2">
      <c r="A98" s="92">
        <v>91</v>
      </c>
      <c r="B98" s="95" t="s">
        <v>64</v>
      </c>
      <c r="C98" s="82" t="s">
        <v>65</v>
      </c>
    </row>
    <row r="99" spans="1:3" ht="12.75" x14ac:dyDescent="0.2">
      <c r="A99" s="92">
        <v>92</v>
      </c>
      <c r="B99" s="95" t="s">
        <v>66</v>
      </c>
      <c r="C99" s="82" t="s">
        <v>67</v>
      </c>
    </row>
    <row r="100" spans="1:3" ht="12.75" x14ac:dyDescent="0.2">
      <c r="A100" s="92">
        <v>93</v>
      </c>
      <c r="B100" s="95" t="s">
        <v>68</v>
      </c>
      <c r="C100" s="82" t="s">
        <v>69</v>
      </c>
    </row>
    <row r="101" spans="1:3" ht="12.75" x14ac:dyDescent="0.2">
      <c r="A101" s="92">
        <v>94</v>
      </c>
      <c r="B101" s="95" t="s">
        <v>70</v>
      </c>
      <c r="C101" s="82" t="s">
        <v>71</v>
      </c>
    </row>
    <row r="102" spans="1:3" ht="12.75" x14ac:dyDescent="0.2">
      <c r="A102" s="92">
        <v>95</v>
      </c>
      <c r="B102" s="95" t="s">
        <v>72</v>
      </c>
      <c r="C102" s="82" t="s">
        <v>73</v>
      </c>
    </row>
    <row r="103" spans="1:3" ht="12.75" x14ac:dyDescent="0.2">
      <c r="A103" s="92">
        <v>96</v>
      </c>
      <c r="B103" s="95" t="s">
        <v>74</v>
      </c>
      <c r="C103" s="82" t="s">
        <v>75</v>
      </c>
    </row>
    <row r="104" spans="1:3" ht="12.75" x14ac:dyDescent="0.2">
      <c r="A104" s="92">
        <v>97</v>
      </c>
      <c r="B104" s="95" t="s">
        <v>76</v>
      </c>
      <c r="C104" s="82" t="s">
        <v>77</v>
      </c>
    </row>
    <row r="105" spans="1:3" ht="12.75" x14ac:dyDescent="0.2">
      <c r="A105" s="92">
        <v>98</v>
      </c>
      <c r="B105" s="95" t="s">
        <v>78</v>
      </c>
      <c r="C105" s="82" t="s">
        <v>79</v>
      </c>
    </row>
    <row r="106" spans="1:3" ht="12.75" x14ac:dyDescent="0.2">
      <c r="A106" s="92">
        <v>99</v>
      </c>
      <c r="B106" s="95" t="s">
        <v>80</v>
      </c>
      <c r="C106" s="82" t="s">
        <v>81</v>
      </c>
    </row>
    <row r="107" spans="1:3" ht="12.75" x14ac:dyDescent="0.2">
      <c r="A107" s="92">
        <v>100</v>
      </c>
      <c r="B107" s="95" t="s">
        <v>82</v>
      </c>
      <c r="C107" s="82" t="s">
        <v>83</v>
      </c>
    </row>
    <row r="108" spans="1:3" ht="12.75" x14ac:dyDescent="0.2">
      <c r="A108" s="92">
        <v>101</v>
      </c>
      <c r="B108" s="95" t="s">
        <v>84</v>
      </c>
      <c r="C108" s="82" t="s">
        <v>85</v>
      </c>
    </row>
    <row r="109" spans="1:3" ht="12.75" x14ac:dyDescent="0.2">
      <c r="A109" s="92">
        <v>102</v>
      </c>
      <c r="B109" s="95" t="s">
        <v>86</v>
      </c>
      <c r="C109" s="82" t="s">
        <v>87</v>
      </c>
    </row>
    <row r="110" spans="1:3" ht="12.75" x14ac:dyDescent="0.2">
      <c r="A110" s="92">
        <v>103</v>
      </c>
      <c r="B110" s="95" t="s">
        <v>88</v>
      </c>
      <c r="C110" s="82" t="s">
        <v>89</v>
      </c>
    </row>
    <row r="111" spans="1:3" ht="12.75" x14ac:dyDescent="0.2">
      <c r="A111" s="92">
        <v>104</v>
      </c>
      <c r="B111" s="95" t="s">
        <v>90</v>
      </c>
      <c r="C111" s="82" t="s">
        <v>91</v>
      </c>
    </row>
    <row r="112" spans="1:3" ht="12.75" x14ac:dyDescent="0.2">
      <c r="A112" s="92">
        <v>105</v>
      </c>
      <c r="B112" s="95" t="s">
        <v>92</v>
      </c>
      <c r="C112" s="82" t="s">
        <v>93</v>
      </c>
    </row>
    <row r="113" spans="1:3" ht="12.75" x14ac:dyDescent="0.2">
      <c r="A113" s="92">
        <v>106</v>
      </c>
      <c r="B113" s="95" t="s">
        <v>94</v>
      </c>
      <c r="C113" s="82" t="s">
        <v>95</v>
      </c>
    </row>
    <row r="114" spans="1:3" ht="12.75" x14ac:dyDescent="0.2">
      <c r="A114" s="92">
        <v>107</v>
      </c>
      <c r="B114" s="95" t="s">
        <v>96</v>
      </c>
      <c r="C114" s="82" t="s">
        <v>97</v>
      </c>
    </row>
    <row r="115" spans="1:3" ht="12.75" x14ac:dyDescent="0.2">
      <c r="A115" s="92">
        <v>108</v>
      </c>
      <c r="B115" s="95" t="s">
        <v>98</v>
      </c>
      <c r="C115" s="82" t="s">
        <v>99</v>
      </c>
    </row>
    <row r="116" spans="1:3" ht="12.75" x14ac:dyDescent="0.2">
      <c r="A116" s="92">
        <v>109</v>
      </c>
      <c r="B116" s="95" t="s">
        <v>100</v>
      </c>
      <c r="C116" s="82" t="s">
        <v>101</v>
      </c>
    </row>
    <row r="117" spans="1:3" ht="12.75" x14ac:dyDescent="0.2">
      <c r="A117" s="92">
        <v>110</v>
      </c>
      <c r="B117" s="95" t="s">
        <v>102</v>
      </c>
      <c r="C117" s="82" t="s">
        <v>103</v>
      </c>
    </row>
    <row r="118" spans="1:3" ht="12.75" x14ac:dyDescent="0.2">
      <c r="A118" s="92">
        <v>111</v>
      </c>
      <c r="B118" s="95" t="s">
        <v>104</v>
      </c>
      <c r="C118" s="82" t="s">
        <v>105</v>
      </c>
    </row>
    <row r="119" spans="1:3" ht="12.75" x14ac:dyDescent="0.2">
      <c r="A119" s="92">
        <v>112</v>
      </c>
      <c r="B119" s="95" t="s">
        <v>106</v>
      </c>
      <c r="C119" s="82" t="s">
        <v>107</v>
      </c>
    </row>
    <row r="120" spans="1:3" ht="12.75" x14ac:dyDescent="0.2">
      <c r="A120" s="92">
        <v>113</v>
      </c>
      <c r="B120" s="95" t="s">
        <v>108</v>
      </c>
      <c r="C120" s="82" t="s">
        <v>109</v>
      </c>
    </row>
    <row r="121" spans="1:3" ht="12.75" x14ac:dyDescent="0.2">
      <c r="A121" s="92">
        <v>114</v>
      </c>
      <c r="B121" s="95" t="s">
        <v>110</v>
      </c>
      <c r="C121" s="82" t="s">
        <v>111</v>
      </c>
    </row>
    <row r="122" spans="1:3" ht="12.75" x14ac:dyDescent="0.2">
      <c r="A122" s="92">
        <v>115</v>
      </c>
      <c r="B122" s="95" t="s">
        <v>112</v>
      </c>
      <c r="C122" s="82" t="s">
        <v>113</v>
      </c>
    </row>
    <row r="123" spans="1:3" ht="12.75" x14ac:dyDescent="0.2">
      <c r="A123" s="92">
        <v>116</v>
      </c>
      <c r="B123" s="95" t="s">
        <v>114</v>
      </c>
      <c r="C123" s="82" t="s">
        <v>115</v>
      </c>
    </row>
    <row r="124" spans="1:3" ht="12.75" x14ac:dyDescent="0.2">
      <c r="A124" s="92">
        <v>117</v>
      </c>
      <c r="B124" s="95" t="s">
        <v>116</v>
      </c>
      <c r="C124" s="82" t="s">
        <v>117</v>
      </c>
    </row>
    <row r="125" spans="1:3" ht="12.75" x14ac:dyDescent="0.2">
      <c r="A125" s="92">
        <v>118</v>
      </c>
      <c r="B125" s="95" t="s">
        <v>118</v>
      </c>
      <c r="C125" s="82" t="s">
        <v>119</v>
      </c>
    </row>
    <row r="126" spans="1:3" ht="12.75" x14ac:dyDescent="0.2">
      <c r="A126" s="92">
        <v>119</v>
      </c>
      <c r="B126" s="95" t="s">
        <v>120</v>
      </c>
      <c r="C126" s="82" t="s">
        <v>121</v>
      </c>
    </row>
    <row r="127" spans="1:3" ht="12.75" x14ac:dyDescent="0.2">
      <c r="A127" s="92">
        <v>120</v>
      </c>
      <c r="B127" s="95" t="s">
        <v>122</v>
      </c>
      <c r="C127" s="82" t="s">
        <v>123</v>
      </c>
    </row>
    <row r="128" spans="1:3" ht="12.75" x14ac:dyDescent="0.2">
      <c r="A128" s="92">
        <v>121</v>
      </c>
      <c r="B128" s="95" t="s">
        <v>124</v>
      </c>
      <c r="C128" s="82" t="s">
        <v>125</v>
      </c>
    </row>
    <row r="129" spans="1:3" ht="12.75" x14ac:dyDescent="0.2">
      <c r="A129" s="92">
        <v>122</v>
      </c>
      <c r="B129" s="95" t="s">
        <v>126</v>
      </c>
      <c r="C129" s="82" t="s">
        <v>127</v>
      </c>
    </row>
    <row r="130" spans="1:3" ht="12.75" x14ac:dyDescent="0.2">
      <c r="A130" s="92">
        <v>123</v>
      </c>
      <c r="B130" s="95" t="s">
        <v>128</v>
      </c>
      <c r="C130" s="82" t="s">
        <v>129</v>
      </c>
    </row>
    <row r="131" spans="1:3" ht="12.75" x14ac:dyDescent="0.2">
      <c r="A131" s="92">
        <v>124</v>
      </c>
      <c r="B131" s="95" t="s">
        <v>130</v>
      </c>
      <c r="C131" s="82" t="s">
        <v>131</v>
      </c>
    </row>
    <row r="132" spans="1:3" ht="12.75" x14ac:dyDescent="0.2">
      <c r="A132" s="92">
        <v>125</v>
      </c>
      <c r="B132" s="95" t="s">
        <v>132</v>
      </c>
      <c r="C132" s="82" t="s">
        <v>133</v>
      </c>
    </row>
    <row r="133" spans="1:3" ht="12.75" x14ac:dyDescent="0.2">
      <c r="A133" s="92">
        <v>126</v>
      </c>
      <c r="B133" s="95" t="s">
        <v>134</v>
      </c>
      <c r="C133" s="82" t="s">
        <v>135</v>
      </c>
    </row>
    <row r="134" spans="1:3" ht="12.75" x14ac:dyDescent="0.2">
      <c r="A134" s="92">
        <v>127</v>
      </c>
      <c r="B134" s="95" t="s">
        <v>136</v>
      </c>
      <c r="C134" s="82" t="s">
        <v>137</v>
      </c>
    </row>
    <row r="135" spans="1:3" ht="12.75" x14ac:dyDescent="0.2">
      <c r="A135" s="92">
        <v>128</v>
      </c>
      <c r="B135" s="95" t="s">
        <v>138</v>
      </c>
      <c r="C135" s="82" t="s">
        <v>139</v>
      </c>
    </row>
    <row r="136" spans="1:3" ht="12.75" x14ac:dyDescent="0.2">
      <c r="A136" s="92">
        <v>129</v>
      </c>
      <c r="B136" s="95" t="s">
        <v>140</v>
      </c>
      <c r="C136" s="82" t="s">
        <v>141</v>
      </c>
    </row>
    <row r="137" spans="1:3" ht="12.75" x14ac:dyDescent="0.2">
      <c r="A137" s="92">
        <v>130</v>
      </c>
      <c r="B137" s="95" t="s">
        <v>142</v>
      </c>
      <c r="C137" s="82" t="s">
        <v>143</v>
      </c>
    </row>
    <row r="138" spans="1:3" ht="12.75" x14ac:dyDescent="0.2">
      <c r="A138" s="92">
        <v>131</v>
      </c>
      <c r="B138" s="95" t="s">
        <v>144</v>
      </c>
      <c r="C138" s="82" t="s">
        <v>145</v>
      </c>
    </row>
    <row r="139" spans="1:3" ht="12.75" x14ac:dyDescent="0.2">
      <c r="A139" s="92">
        <v>132</v>
      </c>
      <c r="B139" s="95" t="s">
        <v>146</v>
      </c>
      <c r="C139" s="82" t="s">
        <v>147</v>
      </c>
    </row>
    <row r="140" spans="1:3" ht="12.75" x14ac:dyDescent="0.2">
      <c r="A140" s="92">
        <v>133</v>
      </c>
      <c r="B140" s="95" t="s">
        <v>148</v>
      </c>
      <c r="C140" s="82" t="s">
        <v>149</v>
      </c>
    </row>
    <row r="141" spans="1:3" ht="12.75" x14ac:dyDescent="0.2">
      <c r="A141" s="92">
        <v>134</v>
      </c>
      <c r="B141" s="95" t="s">
        <v>150</v>
      </c>
      <c r="C141" s="82" t="s">
        <v>151</v>
      </c>
    </row>
    <row r="142" spans="1:3" ht="12.75" x14ac:dyDescent="0.2">
      <c r="A142" s="92">
        <v>135</v>
      </c>
      <c r="B142" s="95" t="s">
        <v>152</v>
      </c>
      <c r="C142" s="82" t="s">
        <v>153</v>
      </c>
    </row>
    <row r="143" spans="1:3" ht="12.75" x14ac:dyDescent="0.2">
      <c r="A143" s="92">
        <v>136</v>
      </c>
      <c r="B143" s="95" t="s">
        <v>154</v>
      </c>
      <c r="C143" s="82" t="s">
        <v>155</v>
      </c>
    </row>
    <row r="144" spans="1:3" ht="12.75" x14ac:dyDescent="0.2">
      <c r="A144" s="92">
        <v>137</v>
      </c>
      <c r="B144" s="95" t="s">
        <v>156</v>
      </c>
      <c r="C144" s="82" t="s">
        <v>157</v>
      </c>
    </row>
    <row r="145" spans="1:3" ht="12.75" x14ac:dyDescent="0.2">
      <c r="A145" s="92">
        <v>138</v>
      </c>
      <c r="B145" s="95" t="s">
        <v>158</v>
      </c>
      <c r="C145" s="82" t="s">
        <v>159</v>
      </c>
    </row>
    <row r="146" spans="1:3" ht="12.75" x14ac:dyDescent="0.2">
      <c r="A146" s="92">
        <v>139</v>
      </c>
      <c r="B146" s="95" t="s">
        <v>160</v>
      </c>
      <c r="C146" s="82" t="s">
        <v>161</v>
      </c>
    </row>
    <row r="147" spans="1:3" ht="12.75" x14ac:dyDescent="0.2">
      <c r="A147" s="92">
        <v>140</v>
      </c>
      <c r="B147" s="95" t="s">
        <v>162</v>
      </c>
      <c r="C147" s="82" t="s">
        <v>163</v>
      </c>
    </row>
    <row r="148" spans="1:3" ht="12.75" x14ac:dyDescent="0.2">
      <c r="A148" s="92">
        <v>141</v>
      </c>
      <c r="B148" s="95" t="s">
        <v>164</v>
      </c>
      <c r="C148" s="82" t="s">
        <v>165</v>
      </c>
    </row>
    <row r="149" spans="1:3" ht="12.75" x14ac:dyDescent="0.2">
      <c r="A149" s="92">
        <v>142</v>
      </c>
      <c r="B149" s="95" t="s">
        <v>166</v>
      </c>
      <c r="C149" s="82" t="s">
        <v>167</v>
      </c>
    </row>
    <row r="150" spans="1:3" ht="12.75" x14ac:dyDescent="0.2">
      <c r="A150" s="92">
        <v>143</v>
      </c>
      <c r="B150" s="95" t="s">
        <v>168</v>
      </c>
      <c r="C150" s="82" t="s">
        <v>169</v>
      </c>
    </row>
    <row r="151" spans="1:3" ht="12.75" x14ac:dyDescent="0.2">
      <c r="A151" s="92">
        <v>144</v>
      </c>
      <c r="B151" s="95" t="s">
        <v>170</v>
      </c>
      <c r="C151" s="82" t="s">
        <v>171</v>
      </c>
    </row>
    <row r="152" spans="1:3" ht="12.75" x14ac:dyDescent="0.2">
      <c r="A152" s="92">
        <v>145</v>
      </c>
      <c r="B152" s="95" t="s">
        <v>172</v>
      </c>
      <c r="C152" s="82" t="s">
        <v>173</v>
      </c>
    </row>
    <row r="153" spans="1:3" ht="12.75" x14ac:dyDescent="0.2">
      <c r="A153" s="92">
        <v>146</v>
      </c>
      <c r="B153" s="95" t="s">
        <v>174</v>
      </c>
      <c r="C153" s="82" t="s">
        <v>175</v>
      </c>
    </row>
    <row r="154" spans="1:3" ht="12.75" x14ac:dyDescent="0.2">
      <c r="A154" s="92">
        <v>147</v>
      </c>
      <c r="B154" s="95" t="s">
        <v>176</v>
      </c>
      <c r="C154" s="82" t="s">
        <v>177</v>
      </c>
    </row>
    <row r="155" spans="1:3" ht="12.75" x14ac:dyDescent="0.2">
      <c r="A155" s="92">
        <v>148</v>
      </c>
      <c r="B155" s="95" t="s">
        <v>178</v>
      </c>
      <c r="C155" s="82" t="s">
        <v>179</v>
      </c>
    </row>
    <row r="156" spans="1:3" ht="12.75" x14ac:dyDescent="0.2">
      <c r="A156" s="92">
        <v>149</v>
      </c>
      <c r="B156" s="95" t="s">
        <v>180</v>
      </c>
      <c r="C156" s="82" t="s">
        <v>181</v>
      </c>
    </row>
    <row r="157" spans="1:3" ht="12.75" x14ac:dyDescent="0.2">
      <c r="A157" s="92">
        <v>150</v>
      </c>
      <c r="B157" s="95" t="s">
        <v>182</v>
      </c>
      <c r="C157" s="82" t="s">
        <v>183</v>
      </c>
    </row>
    <row r="158" spans="1:3" ht="12.75" x14ac:dyDescent="0.2">
      <c r="A158" s="92">
        <v>151</v>
      </c>
      <c r="B158" s="95" t="s">
        <v>184</v>
      </c>
      <c r="C158" s="82" t="s">
        <v>185</v>
      </c>
    </row>
    <row r="159" spans="1:3" ht="12.75" x14ac:dyDescent="0.2">
      <c r="A159" s="92">
        <v>152</v>
      </c>
      <c r="B159" s="95" t="s">
        <v>186</v>
      </c>
      <c r="C159" s="82" t="s">
        <v>187</v>
      </c>
    </row>
    <row r="160" spans="1:3" ht="12.75" x14ac:dyDescent="0.2">
      <c r="A160" s="92">
        <v>153</v>
      </c>
      <c r="B160" s="95" t="s">
        <v>188</v>
      </c>
      <c r="C160" s="82" t="s">
        <v>189</v>
      </c>
    </row>
    <row r="161" spans="1:3" ht="12.75" x14ac:dyDescent="0.2">
      <c r="A161" s="92">
        <v>154</v>
      </c>
      <c r="B161" s="95" t="s">
        <v>190</v>
      </c>
      <c r="C161" s="82" t="s">
        <v>191</v>
      </c>
    </row>
    <row r="162" spans="1:3" ht="12.75" x14ac:dyDescent="0.2">
      <c r="A162" s="92">
        <v>155</v>
      </c>
      <c r="B162" s="95" t="s">
        <v>192</v>
      </c>
      <c r="C162" s="82" t="s">
        <v>193</v>
      </c>
    </row>
    <row r="163" spans="1:3" ht="12.75" x14ac:dyDescent="0.2">
      <c r="A163" s="92">
        <v>156</v>
      </c>
      <c r="B163" s="95" t="s">
        <v>194</v>
      </c>
      <c r="C163" s="82" t="s">
        <v>195</v>
      </c>
    </row>
    <row r="164" spans="1:3" ht="12.75" x14ac:dyDescent="0.2">
      <c r="A164" s="92">
        <v>157</v>
      </c>
      <c r="B164" s="95" t="s">
        <v>196</v>
      </c>
      <c r="C164" s="82" t="s">
        <v>197</v>
      </c>
    </row>
    <row r="165" spans="1:3" ht="12.75" x14ac:dyDescent="0.2">
      <c r="A165" s="92">
        <v>158</v>
      </c>
      <c r="B165" s="95" t="s">
        <v>198</v>
      </c>
      <c r="C165" s="82" t="s">
        <v>199</v>
      </c>
    </row>
    <row r="166" spans="1:3" ht="12.75" x14ac:dyDescent="0.2">
      <c r="A166" s="92">
        <v>159</v>
      </c>
      <c r="B166" s="95" t="s">
        <v>200</v>
      </c>
      <c r="C166" s="82" t="s">
        <v>201</v>
      </c>
    </row>
    <row r="167" spans="1:3" ht="12.75" x14ac:dyDescent="0.2">
      <c r="A167" s="92">
        <v>160</v>
      </c>
      <c r="B167" s="95" t="s">
        <v>202</v>
      </c>
      <c r="C167" s="82" t="s">
        <v>203</v>
      </c>
    </row>
    <row r="168" spans="1:3" ht="12.75" x14ac:dyDescent="0.2">
      <c r="A168" s="92">
        <v>161</v>
      </c>
      <c r="B168" s="95" t="s">
        <v>204</v>
      </c>
      <c r="C168" s="82" t="s">
        <v>205</v>
      </c>
    </row>
    <row r="169" spans="1:3" ht="12.75" x14ac:dyDescent="0.2">
      <c r="A169" s="92">
        <v>162</v>
      </c>
      <c r="B169" s="95" t="s">
        <v>206</v>
      </c>
      <c r="C169" s="82" t="s">
        <v>207</v>
      </c>
    </row>
    <row r="170" spans="1:3" ht="12.75" x14ac:dyDescent="0.2">
      <c r="A170" s="92">
        <v>163</v>
      </c>
      <c r="B170" s="95" t="s">
        <v>208</v>
      </c>
      <c r="C170" s="82" t="s">
        <v>209</v>
      </c>
    </row>
    <row r="171" spans="1:3" ht="12.75" x14ac:dyDescent="0.2">
      <c r="A171" s="92">
        <v>164</v>
      </c>
      <c r="B171" s="95" t="s">
        <v>210</v>
      </c>
      <c r="C171" s="82" t="s">
        <v>211</v>
      </c>
    </row>
    <row r="172" spans="1:3" ht="12.75" x14ac:dyDescent="0.2">
      <c r="A172" s="92">
        <v>165</v>
      </c>
      <c r="B172" s="95" t="s">
        <v>212</v>
      </c>
      <c r="C172" s="82" t="s">
        <v>213</v>
      </c>
    </row>
    <row r="173" spans="1:3" ht="12.75" x14ac:dyDescent="0.2">
      <c r="A173" s="92">
        <v>166</v>
      </c>
      <c r="B173" s="95" t="s">
        <v>214</v>
      </c>
      <c r="C173" s="82" t="s">
        <v>215</v>
      </c>
    </row>
    <row r="174" spans="1:3" ht="12.75" x14ac:dyDescent="0.2">
      <c r="A174" s="92">
        <v>167</v>
      </c>
      <c r="B174" s="95" t="s">
        <v>216</v>
      </c>
      <c r="C174" s="82" t="s">
        <v>217</v>
      </c>
    </row>
    <row r="175" spans="1:3" ht="12.75" x14ac:dyDescent="0.2">
      <c r="A175" s="92">
        <v>168</v>
      </c>
      <c r="B175" s="95" t="s">
        <v>218</v>
      </c>
      <c r="C175" s="82" t="s">
        <v>219</v>
      </c>
    </row>
    <row r="176" spans="1:3" ht="12.75" x14ac:dyDescent="0.2">
      <c r="A176" s="92">
        <v>169</v>
      </c>
      <c r="B176" s="95" t="s">
        <v>220</v>
      </c>
      <c r="C176" s="82" t="s">
        <v>221</v>
      </c>
    </row>
    <row r="177" spans="1:3" ht="12.75" x14ac:dyDescent="0.2">
      <c r="A177" s="92">
        <v>170</v>
      </c>
      <c r="B177" s="95" t="s">
        <v>222</v>
      </c>
      <c r="C177" s="82" t="s">
        <v>223</v>
      </c>
    </row>
    <row r="178" spans="1:3" ht="12.75" x14ac:dyDescent="0.2">
      <c r="A178" s="92">
        <v>171</v>
      </c>
      <c r="B178" s="95" t="s">
        <v>224</v>
      </c>
      <c r="C178" s="82" t="s">
        <v>225</v>
      </c>
    </row>
    <row r="179" spans="1:3" ht="12.75" x14ac:dyDescent="0.2">
      <c r="A179" s="92">
        <v>172</v>
      </c>
      <c r="B179" s="95" t="s">
        <v>226</v>
      </c>
      <c r="C179" s="82" t="s">
        <v>227</v>
      </c>
    </row>
    <row r="180" spans="1:3" ht="12.75" x14ac:dyDescent="0.2">
      <c r="A180" s="92">
        <v>173</v>
      </c>
      <c r="B180" s="95" t="s">
        <v>228</v>
      </c>
      <c r="C180" s="82" t="s">
        <v>229</v>
      </c>
    </row>
    <row r="181" spans="1:3" ht="12.75" x14ac:dyDescent="0.2">
      <c r="A181" s="92">
        <v>174</v>
      </c>
      <c r="B181" s="95" t="s">
        <v>230</v>
      </c>
      <c r="C181" s="82" t="s">
        <v>231</v>
      </c>
    </row>
    <row r="182" spans="1:3" ht="12.75" x14ac:dyDescent="0.2">
      <c r="A182" s="92">
        <v>175</v>
      </c>
      <c r="B182" s="95" t="s">
        <v>232</v>
      </c>
      <c r="C182" s="82" t="s">
        <v>233</v>
      </c>
    </row>
    <row r="183" spans="1:3" ht="12.75" x14ac:dyDescent="0.2">
      <c r="A183" s="92">
        <v>176</v>
      </c>
      <c r="B183" s="95" t="s">
        <v>234</v>
      </c>
      <c r="C183" s="82" t="s">
        <v>235</v>
      </c>
    </row>
    <row r="184" spans="1:3" ht="12.75" x14ac:dyDescent="0.2">
      <c r="A184" s="92">
        <v>177</v>
      </c>
      <c r="B184" s="95" t="s">
        <v>236</v>
      </c>
      <c r="C184" s="82" t="s">
        <v>237</v>
      </c>
    </row>
    <row r="185" spans="1:3" ht="12.75" x14ac:dyDescent="0.2">
      <c r="A185" s="92">
        <v>178</v>
      </c>
      <c r="B185" s="95" t="s">
        <v>238</v>
      </c>
      <c r="C185" s="82" t="s">
        <v>239</v>
      </c>
    </row>
    <row r="186" spans="1:3" ht="12.75" x14ac:dyDescent="0.2">
      <c r="A186" s="92">
        <v>179</v>
      </c>
      <c r="B186" s="95" t="s">
        <v>240</v>
      </c>
      <c r="C186" s="82" t="s">
        <v>241</v>
      </c>
    </row>
    <row r="187" spans="1:3" ht="12.75" x14ac:dyDescent="0.2">
      <c r="A187" s="92">
        <v>180</v>
      </c>
      <c r="B187" s="95" t="s">
        <v>242</v>
      </c>
      <c r="C187" s="82" t="s">
        <v>243</v>
      </c>
    </row>
    <row r="188" spans="1:3" ht="12.75" x14ac:dyDescent="0.2">
      <c r="A188" s="92">
        <v>181</v>
      </c>
      <c r="B188" s="95" t="s">
        <v>244</v>
      </c>
      <c r="C188" s="82" t="s">
        <v>245</v>
      </c>
    </row>
    <row r="189" spans="1:3" ht="12.75" x14ac:dyDescent="0.2">
      <c r="A189" s="92">
        <v>182</v>
      </c>
      <c r="B189" s="95" t="s">
        <v>246</v>
      </c>
      <c r="C189" s="82" t="s">
        <v>247</v>
      </c>
    </row>
    <row r="190" spans="1:3" ht="12.75" x14ac:dyDescent="0.2">
      <c r="A190" s="92">
        <v>183</v>
      </c>
      <c r="B190" s="95" t="s">
        <v>248</v>
      </c>
      <c r="C190" s="82" t="s">
        <v>249</v>
      </c>
    </row>
    <row r="191" spans="1:3" ht="12.75" x14ac:dyDescent="0.2">
      <c r="A191" s="92">
        <v>184</v>
      </c>
      <c r="B191" s="95" t="s">
        <v>250</v>
      </c>
      <c r="C191" s="82" t="s">
        <v>251</v>
      </c>
    </row>
    <row r="192" spans="1:3" ht="12.75" x14ac:dyDescent="0.2">
      <c r="A192" s="92">
        <v>185</v>
      </c>
      <c r="B192" s="95" t="s">
        <v>252</v>
      </c>
      <c r="C192" s="82" t="s">
        <v>253</v>
      </c>
    </row>
    <row r="193" spans="1:3" ht="12.75" x14ac:dyDescent="0.2">
      <c r="A193" s="92">
        <v>186</v>
      </c>
      <c r="B193" s="95" t="s">
        <v>254</v>
      </c>
      <c r="C193" s="82" t="s">
        <v>255</v>
      </c>
    </row>
    <row r="194" spans="1:3" ht="12.75" x14ac:dyDescent="0.2">
      <c r="A194" s="92">
        <v>187</v>
      </c>
      <c r="B194" s="95" t="s">
        <v>256</v>
      </c>
      <c r="C194" s="82" t="s">
        <v>257</v>
      </c>
    </row>
    <row r="195" spans="1:3" ht="12.75" x14ac:dyDescent="0.2">
      <c r="A195" s="92">
        <v>188</v>
      </c>
      <c r="B195" s="95" t="s">
        <v>258</v>
      </c>
      <c r="C195" s="82" t="s">
        <v>259</v>
      </c>
    </row>
    <row r="196" spans="1:3" ht="12.75" x14ac:dyDescent="0.2">
      <c r="A196" s="92">
        <v>189</v>
      </c>
      <c r="B196" s="95" t="s">
        <v>260</v>
      </c>
      <c r="C196" s="82" t="s">
        <v>261</v>
      </c>
    </row>
    <row r="197" spans="1:3" ht="12.75" x14ac:dyDescent="0.2">
      <c r="A197" s="92">
        <v>190</v>
      </c>
      <c r="B197" s="95" t="s">
        <v>262</v>
      </c>
      <c r="C197" s="82" t="s">
        <v>263</v>
      </c>
    </row>
    <row r="198" spans="1:3" ht="12.75" x14ac:dyDescent="0.2">
      <c r="A198" s="92">
        <v>191</v>
      </c>
      <c r="B198" s="95" t="s">
        <v>264</v>
      </c>
      <c r="C198" s="82" t="s">
        <v>265</v>
      </c>
    </row>
    <row r="199" spans="1:3" ht="12.75" x14ac:dyDescent="0.2">
      <c r="A199" s="92">
        <v>192</v>
      </c>
      <c r="B199" s="95" t="s">
        <v>266</v>
      </c>
      <c r="C199" s="82" t="s">
        <v>267</v>
      </c>
    </row>
    <row r="200" spans="1:3" ht="12.75" x14ac:dyDescent="0.2">
      <c r="A200" s="92">
        <v>193</v>
      </c>
      <c r="B200" s="95" t="s">
        <v>268</v>
      </c>
      <c r="C200" s="82" t="s">
        <v>269</v>
      </c>
    </row>
    <row r="201" spans="1:3" ht="12.75" x14ac:dyDescent="0.2">
      <c r="A201" s="92">
        <v>194</v>
      </c>
      <c r="B201" s="95" t="s">
        <v>270</v>
      </c>
      <c r="C201" s="82" t="s">
        <v>271</v>
      </c>
    </row>
    <row r="202" spans="1:3" ht="12.75" x14ac:dyDescent="0.2">
      <c r="A202" s="92">
        <v>195</v>
      </c>
      <c r="B202" s="95" t="s">
        <v>272</v>
      </c>
      <c r="C202" s="82" t="s">
        <v>273</v>
      </c>
    </row>
    <row r="203" spans="1:3" ht="12.75" x14ac:dyDescent="0.2">
      <c r="A203" s="92">
        <v>196</v>
      </c>
      <c r="B203" s="95" t="s">
        <v>274</v>
      </c>
      <c r="C203" s="82" t="s">
        <v>275</v>
      </c>
    </row>
    <row r="204" spans="1:3" ht="12.75" x14ac:dyDescent="0.2">
      <c r="A204" s="92">
        <v>197</v>
      </c>
      <c r="B204" s="95" t="s">
        <v>276</v>
      </c>
      <c r="C204" s="82" t="s">
        <v>277</v>
      </c>
    </row>
    <row r="205" spans="1:3" ht="12.75" x14ac:dyDescent="0.2">
      <c r="A205" s="92">
        <v>198</v>
      </c>
      <c r="B205" s="95" t="s">
        <v>278</v>
      </c>
      <c r="C205" s="82" t="s">
        <v>279</v>
      </c>
    </row>
    <row r="206" spans="1:3" ht="12.75" x14ac:dyDescent="0.2">
      <c r="A206" s="92">
        <v>199</v>
      </c>
      <c r="B206" s="95" t="s">
        <v>280</v>
      </c>
      <c r="C206" s="82" t="s">
        <v>281</v>
      </c>
    </row>
    <row r="207" spans="1:3" ht="12.75" x14ac:dyDescent="0.2">
      <c r="A207" s="92">
        <v>200</v>
      </c>
      <c r="B207" s="95" t="s">
        <v>282</v>
      </c>
      <c r="C207" s="82" t="s">
        <v>283</v>
      </c>
    </row>
    <row r="208" spans="1:3" ht="12.75" x14ac:dyDescent="0.2">
      <c r="A208" s="92">
        <v>201</v>
      </c>
      <c r="B208" s="95" t="s">
        <v>284</v>
      </c>
      <c r="C208" s="82" t="s">
        <v>285</v>
      </c>
    </row>
    <row r="209" spans="1:3" ht="12.75" x14ac:dyDescent="0.2">
      <c r="A209" s="92">
        <v>202</v>
      </c>
      <c r="B209" s="95" t="s">
        <v>286</v>
      </c>
      <c r="C209" s="82" t="s">
        <v>287</v>
      </c>
    </row>
    <row r="210" spans="1:3" ht="12.75" x14ac:dyDescent="0.2">
      <c r="A210" s="92">
        <v>203</v>
      </c>
      <c r="B210" s="95" t="s">
        <v>288</v>
      </c>
      <c r="C210" s="82" t="s">
        <v>289</v>
      </c>
    </row>
    <row r="211" spans="1:3" ht="12.75" x14ac:dyDescent="0.2">
      <c r="A211" s="92">
        <v>204</v>
      </c>
      <c r="B211" s="95" t="s">
        <v>290</v>
      </c>
      <c r="C211" s="82" t="s">
        <v>291</v>
      </c>
    </row>
    <row r="212" spans="1:3" ht="12.75" x14ac:dyDescent="0.2">
      <c r="A212" s="92">
        <v>205</v>
      </c>
      <c r="B212" s="95" t="s">
        <v>292</v>
      </c>
      <c r="C212" s="82" t="s">
        <v>293</v>
      </c>
    </row>
    <row r="213" spans="1:3" ht="12.75" x14ac:dyDescent="0.2">
      <c r="A213" s="92">
        <v>206</v>
      </c>
      <c r="B213" s="95" t="s">
        <v>294</v>
      </c>
      <c r="C213" s="82" t="s">
        <v>295</v>
      </c>
    </row>
    <row r="214" spans="1:3" ht="12.75" x14ac:dyDescent="0.2">
      <c r="A214" s="92">
        <v>207</v>
      </c>
      <c r="B214" s="95" t="s">
        <v>296</v>
      </c>
      <c r="C214" s="82" t="s">
        <v>297</v>
      </c>
    </row>
    <row r="215" spans="1:3" ht="12.75" x14ac:dyDescent="0.2">
      <c r="A215" s="92">
        <v>208</v>
      </c>
      <c r="B215" s="95" t="s">
        <v>298</v>
      </c>
      <c r="C215" s="82" t="s">
        <v>299</v>
      </c>
    </row>
    <row r="216" spans="1:3" ht="12.75" x14ac:dyDescent="0.2">
      <c r="A216" s="92">
        <v>209</v>
      </c>
      <c r="B216" s="95" t="s">
        <v>300</v>
      </c>
      <c r="C216" s="82" t="s">
        <v>301</v>
      </c>
    </row>
    <row r="217" spans="1:3" ht="12.75" x14ac:dyDescent="0.2">
      <c r="A217" s="92">
        <v>210</v>
      </c>
      <c r="B217" s="95" t="s">
        <v>302</v>
      </c>
      <c r="C217" s="82" t="s">
        <v>303</v>
      </c>
    </row>
    <row r="218" spans="1:3" ht="12.75" x14ac:dyDescent="0.2">
      <c r="A218" s="92">
        <v>211</v>
      </c>
      <c r="B218" s="95" t="s">
        <v>304</v>
      </c>
      <c r="C218" s="82" t="s">
        <v>305</v>
      </c>
    </row>
    <row r="219" spans="1:3" ht="12.75" x14ac:dyDescent="0.2">
      <c r="A219" s="92">
        <v>212</v>
      </c>
      <c r="B219" s="95" t="s">
        <v>306</v>
      </c>
      <c r="C219" s="82" t="s">
        <v>307</v>
      </c>
    </row>
    <row r="220" spans="1:3" ht="12.75" x14ac:dyDescent="0.2">
      <c r="A220" s="92">
        <v>213</v>
      </c>
      <c r="B220" s="95" t="s">
        <v>308</v>
      </c>
      <c r="C220" s="82" t="s">
        <v>309</v>
      </c>
    </row>
    <row r="221" spans="1:3" ht="12.75" x14ac:dyDescent="0.2">
      <c r="A221" s="92">
        <v>214</v>
      </c>
      <c r="B221" s="95" t="s">
        <v>310</v>
      </c>
      <c r="C221" s="82" t="s">
        <v>311</v>
      </c>
    </row>
    <row r="222" spans="1:3" ht="12.75" x14ac:dyDescent="0.2">
      <c r="A222" s="92">
        <v>215</v>
      </c>
      <c r="B222" s="95" t="s">
        <v>312</v>
      </c>
      <c r="C222" s="82" t="s">
        <v>313</v>
      </c>
    </row>
    <row r="223" spans="1:3" ht="12.75" x14ac:dyDescent="0.2">
      <c r="A223" s="92">
        <v>216</v>
      </c>
      <c r="B223" s="95" t="s">
        <v>314</v>
      </c>
      <c r="C223" s="82" t="s">
        <v>315</v>
      </c>
    </row>
    <row r="224" spans="1:3" ht="12.75" x14ac:dyDescent="0.2">
      <c r="A224" s="92">
        <v>217</v>
      </c>
      <c r="B224" s="95" t="s">
        <v>316</v>
      </c>
      <c r="C224" s="82" t="s">
        <v>317</v>
      </c>
    </row>
    <row r="225" spans="1:3" ht="12.75" x14ac:dyDescent="0.2">
      <c r="A225" s="92">
        <v>218</v>
      </c>
      <c r="B225" s="95" t="s">
        <v>318</v>
      </c>
      <c r="C225" s="82" t="s">
        <v>319</v>
      </c>
    </row>
    <row r="226" spans="1:3" ht="12.75" x14ac:dyDescent="0.2">
      <c r="A226" s="92">
        <v>219</v>
      </c>
      <c r="B226" s="95" t="s">
        <v>320</v>
      </c>
      <c r="C226" s="82" t="s">
        <v>321</v>
      </c>
    </row>
    <row r="227" spans="1:3" ht="12.75" x14ac:dyDescent="0.2">
      <c r="A227" s="92">
        <v>220</v>
      </c>
      <c r="B227" s="95" t="s">
        <v>322</v>
      </c>
      <c r="C227" s="82" t="s">
        <v>323</v>
      </c>
    </row>
    <row r="228" spans="1:3" ht="12.75" x14ac:dyDescent="0.2">
      <c r="A228" s="92">
        <v>221</v>
      </c>
      <c r="B228" s="95" t="s">
        <v>324</v>
      </c>
      <c r="C228" s="82" t="s">
        <v>325</v>
      </c>
    </row>
    <row r="229" spans="1:3" ht="12.75" x14ac:dyDescent="0.2">
      <c r="A229" s="92">
        <v>222</v>
      </c>
      <c r="B229" s="95" t="s">
        <v>326</v>
      </c>
      <c r="C229" s="82" t="s">
        <v>327</v>
      </c>
    </row>
    <row r="230" spans="1:3" ht="12.75" x14ac:dyDescent="0.2">
      <c r="A230" s="92">
        <v>223</v>
      </c>
      <c r="B230" s="95" t="s">
        <v>328</v>
      </c>
      <c r="C230" s="82" t="s">
        <v>329</v>
      </c>
    </row>
    <row r="231" spans="1:3" ht="12.75" x14ac:dyDescent="0.2">
      <c r="A231" s="92">
        <v>224</v>
      </c>
      <c r="B231" s="95" t="s">
        <v>330</v>
      </c>
      <c r="C231" s="82" t="s">
        <v>331</v>
      </c>
    </row>
    <row r="232" spans="1:3" ht="12.75" x14ac:dyDescent="0.2">
      <c r="A232" s="92">
        <v>225</v>
      </c>
      <c r="B232" s="95" t="s">
        <v>332</v>
      </c>
      <c r="C232" s="82" t="s">
        <v>333</v>
      </c>
    </row>
    <row r="233" spans="1:3" ht="12.75" x14ac:dyDescent="0.2">
      <c r="A233" s="92">
        <v>226</v>
      </c>
      <c r="B233" s="95" t="s">
        <v>334</v>
      </c>
      <c r="C233" s="82" t="s">
        <v>335</v>
      </c>
    </row>
    <row r="234" spans="1:3" ht="12.75" x14ac:dyDescent="0.2">
      <c r="A234" s="92">
        <v>227</v>
      </c>
      <c r="B234" s="95" t="s">
        <v>336</v>
      </c>
      <c r="C234" s="82" t="s">
        <v>337</v>
      </c>
    </row>
    <row r="235" spans="1:3" ht="12.75" x14ac:dyDescent="0.2">
      <c r="A235" s="92">
        <v>228</v>
      </c>
      <c r="B235" s="95" t="s">
        <v>338</v>
      </c>
      <c r="C235" s="82" t="s">
        <v>339</v>
      </c>
    </row>
    <row r="236" spans="1:3" ht="12.75" x14ac:dyDescent="0.2">
      <c r="A236" s="92">
        <v>229</v>
      </c>
      <c r="B236" s="95" t="s">
        <v>340</v>
      </c>
      <c r="C236" s="82" t="s">
        <v>341</v>
      </c>
    </row>
    <row r="237" spans="1:3" ht="12.75" x14ac:dyDescent="0.2">
      <c r="A237" s="92">
        <v>230</v>
      </c>
      <c r="B237" s="95" t="s">
        <v>342</v>
      </c>
      <c r="C237" s="82" t="s">
        <v>343</v>
      </c>
    </row>
    <row r="238" spans="1:3" ht="12.75" x14ac:dyDescent="0.2">
      <c r="A238" s="92">
        <v>231</v>
      </c>
      <c r="B238" s="95" t="s">
        <v>344</v>
      </c>
      <c r="C238" s="82" t="s">
        <v>345</v>
      </c>
    </row>
    <row r="239" spans="1:3" ht="12.75" x14ac:dyDescent="0.2">
      <c r="A239" s="92">
        <v>232</v>
      </c>
      <c r="B239" s="95" t="s">
        <v>346</v>
      </c>
      <c r="C239" s="82" t="s">
        <v>347</v>
      </c>
    </row>
    <row r="240" spans="1:3" ht="12.75" x14ac:dyDescent="0.2">
      <c r="A240" s="92">
        <v>233</v>
      </c>
      <c r="B240" s="95" t="s">
        <v>348</v>
      </c>
      <c r="C240" s="82" t="s">
        <v>349</v>
      </c>
    </row>
    <row r="241" spans="1:3" ht="12.75" x14ac:dyDescent="0.2">
      <c r="A241" s="92">
        <v>234</v>
      </c>
      <c r="B241" s="95" t="s">
        <v>350</v>
      </c>
      <c r="C241" s="82" t="s">
        <v>351</v>
      </c>
    </row>
    <row r="242" spans="1:3" ht="12.75" x14ac:dyDescent="0.2">
      <c r="A242" s="92">
        <v>235</v>
      </c>
      <c r="B242" s="95" t="s">
        <v>352</v>
      </c>
      <c r="C242" s="82" t="s">
        <v>353</v>
      </c>
    </row>
    <row r="243" spans="1:3" ht="12.75" x14ac:dyDescent="0.2">
      <c r="A243" s="92">
        <v>236</v>
      </c>
      <c r="B243" s="95" t="s">
        <v>354</v>
      </c>
      <c r="C243" s="82" t="s">
        <v>355</v>
      </c>
    </row>
    <row r="244" spans="1:3" ht="12.75" x14ac:dyDescent="0.2">
      <c r="A244" s="92">
        <v>237</v>
      </c>
      <c r="B244" s="95" t="s">
        <v>356</v>
      </c>
      <c r="C244" s="82" t="s">
        <v>357</v>
      </c>
    </row>
    <row r="245" spans="1:3" ht="12.75" x14ac:dyDescent="0.2">
      <c r="A245" s="92">
        <v>238</v>
      </c>
      <c r="B245" s="95" t="s">
        <v>358</v>
      </c>
      <c r="C245" s="82" t="s">
        <v>359</v>
      </c>
    </row>
    <row r="246" spans="1:3" ht="12.75" x14ac:dyDescent="0.2">
      <c r="A246" s="92">
        <v>239</v>
      </c>
      <c r="B246" s="95" t="s">
        <v>360</v>
      </c>
      <c r="C246" s="82" t="s">
        <v>361</v>
      </c>
    </row>
    <row r="247" spans="1:3" ht="12.75" x14ac:dyDescent="0.2">
      <c r="A247" s="92">
        <v>240</v>
      </c>
      <c r="B247" s="95" t="s">
        <v>362</v>
      </c>
      <c r="C247" s="82" t="s">
        <v>363</v>
      </c>
    </row>
    <row r="248" spans="1:3" ht="12.75" x14ac:dyDescent="0.2">
      <c r="A248" s="92">
        <v>241</v>
      </c>
      <c r="B248" s="95" t="s">
        <v>364</v>
      </c>
      <c r="C248" s="82" t="s">
        <v>365</v>
      </c>
    </row>
    <row r="249" spans="1:3" ht="12.75" x14ac:dyDescent="0.2">
      <c r="A249" s="92">
        <v>242</v>
      </c>
      <c r="B249" s="95" t="s">
        <v>366</v>
      </c>
      <c r="C249" s="82" t="s">
        <v>367</v>
      </c>
    </row>
    <row r="250" spans="1:3" ht="12.75" x14ac:dyDescent="0.2">
      <c r="A250" s="92">
        <v>243</v>
      </c>
      <c r="B250" s="95" t="s">
        <v>368</v>
      </c>
      <c r="C250" s="82" t="s">
        <v>369</v>
      </c>
    </row>
    <row r="251" spans="1:3" ht="12.75" x14ac:dyDescent="0.2">
      <c r="A251" s="92">
        <v>244</v>
      </c>
      <c r="B251" s="95" t="s">
        <v>370</v>
      </c>
      <c r="C251" s="82" t="s">
        <v>371</v>
      </c>
    </row>
    <row r="252" spans="1:3" ht="12.75" x14ac:dyDescent="0.2">
      <c r="A252" s="92">
        <v>245</v>
      </c>
      <c r="B252" s="95" t="s">
        <v>372</v>
      </c>
      <c r="C252" s="82" t="s">
        <v>373</v>
      </c>
    </row>
    <row r="253" spans="1:3" ht="12.75" x14ac:dyDescent="0.2">
      <c r="A253" s="92">
        <v>246</v>
      </c>
      <c r="B253" s="95" t="s">
        <v>374</v>
      </c>
      <c r="C253" s="82" t="s">
        <v>375</v>
      </c>
    </row>
    <row r="254" spans="1:3" ht="12.75" x14ac:dyDescent="0.2">
      <c r="A254" s="92">
        <v>247</v>
      </c>
      <c r="B254" s="95" t="s">
        <v>376</v>
      </c>
      <c r="C254" s="82" t="s">
        <v>377</v>
      </c>
    </row>
    <row r="255" spans="1:3" ht="12.75" x14ac:dyDescent="0.2">
      <c r="A255" s="92">
        <v>248</v>
      </c>
      <c r="B255" s="95" t="s">
        <v>378</v>
      </c>
      <c r="C255" s="82" t="s">
        <v>379</v>
      </c>
    </row>
    <row r="256" spans="1:3" ht="12.75" x14ac:dyDescent="0.2">
      <c r="A256" s="92">
        <v>249</v>
      </c>
      <c r="B256" s="95" t="s">
        <v>380</v>
      </c>
      <c r="C256" s="82" t="s">
        <v>381</v>
      </c>
    </row>
    <row r="257" spans="1:3" ht="12.75" x14ac:dyDescent="0.2">
      <c r="A257" s="92">
        <v>250</v>
      </c>
      <c r="B257" s="95" t="s">
        <v>382</v>
      </c>
      <c r="C257" s="82" t="s">
        <v>383</v>
      </c>
    </row>
    <row r="258" spans="1:3" ht="12.75" x14ac:dyDescent="0.2">
      <c r="A258" s="92">
        <v>251</v>
      </c>
      <c r="B258" s="95" t="s">
        <v>384</v>
      </c>
      <c r="C258" s="82" t="s">
        <v>385</v>
      </c>
    </row>
    <row r="259" spans="1:3" ht="12.75" x14ac:dyDescent="0.2">
      <c r="A259" s="92">
        <v>252</v>
      </c>
      <c r="B259" s="95" t="s">
        <v>386</v>
      </c>
      <c r="C259" s="82" t="s">
        <v>387</v>
      </c>
    </row>
    <row r="260" spans="1:3" ht="12.75" x14ac:dyDescent="0.2">
      <c r="A260" s="92">
        <v>253</v>
      </c>
      <c r="B260" s="95" t="s">
        <v>388</v>
      </c>
      <c r="C260" s="82" t="s">
        <v>389</v>
      </c>
    </row>
    <row r="261" spans="1:3" ht="12.75" x14ac:dyDescent="0.2">
      <c r="A261" s="92">
        <v>254</v>
      </c>
      <c r="B261" s="95" t="s">
        <v>390</v>
      </c>
      <c r="C261" s="82" t="s">
        <v>391</v>
      </c>
    </row>
    <row r="262" spans="1:3" ht="12.75" x14ac:dyDescent="0.2">
      <c r="A262" s="92">
        <v>255</v>
      </c>
      <c r="B262" s="95" t="s">
        <v>392</v>
      </c>
      <c r="C262" s="82" t="s">
        <v>393</v>
      </c>
    </row>
    <row r="263" spans="1:3" ht="12.75" x14ac:dyDescent="0.2">
      <c r="A263" s="92">
        <v>256</v>
      </c>
      <c r="B263" s="95" t="s">
        <v>394</v>
      </c>
      <c r="C263" s="82" t="s">
        <v>395</v>
      </c>
    </row>
    <row r="264" spans="1:3" ht="12.75" x14ac:dyDescent="0.2">
      <c r="A264" s="92">
        <v>257</v>
      </c>
      <c r="B264" s="95" t="s">
        <v>396</v>
      </c>
      <c r="C264" s="82" t="s">
        <v>397</v>
      </c>
    </row>
    <row r="265" spans="1:3" ht="12.75" x14ac:dyDescent="0.2">
      <c r="A265" s="92">
        <v>258</v>
      </c>
      <c r="B265" s="95" t="s">
        <v>398</v>
      </c>
      <c r="C265" s="82" t="s">
        <v>399</v>
      </c>
    </row>
    <row r="266" spans="1:3" ht="12.75" x14ac:dyDescent="0.2">
      <c r="A266" s="92">
        <v>259</v>
      </c>
      <c r="B266" s="95" t="s">
        <v>400</v>
      </c>
      <c r="C266" s="82" t="s">
        <v>401</v>
      </c>
    </row>
    <row r="267" spans="1:3" ht="12.75" x14ac:dyDescent="0.2">
      <c r="A267" s="92">
        <v>260</v>
      </c>
      <c r="B267" s="95" t="s">
        <v>402</v>
      </c>
      <c r="C267" s="82" t="s">
        <v>403</v>
      </c>
    </row>
    <row r="268" spans="1:3" ht="12.75" x14ac:dyDescent="0.2">
      <c r="A268" s="92">
        <v>261</v>
      </c>
      <c r="B268" s="95" t="s">
        <v>404</v>
      </c>
      <c r="C268" s="82" t="s">
        <v>405</v>
      </c>
    </row>
    <row r="269" spans="1:3" ht="12.75" x14ac:dyDescent="0.2">
      <c r="A269" s="92">
        <v>262</v>
      </c>
      <c r="B269" s="95" t="s">
        <v>406</v>
      </c>
      <c r="C269" s="82" t="s">
        <v>407</v>
      </c>
    </row>
    <row r="270" spans="1:3" ht="12.75" x14ac:dyDescent="0.2">
      <c r="A270" s="92">
        <v>263</v>
      </c>
      <c r="B270" s="95" t="s">
        <v>408</v>
      </c>
      <c r="C270" s="82" t="s">
        <v>409</v>
      </c>
    </row>
    <row r="271" spans="1:3" ht="12.75" x14ac:dyDescent="0.2">
      <c r="A271" s="92">
        <v>264</v>
      </c>
      <c r="B271" s="95" t="s">
        <v>410</v>
      </c>
      <c r="C271" s="82" t="s">
        <v>411</v>
      </c>
    </row>
    <row r="272" spans="1:3" ht="12.75" x14ac:dyDescent="0.2">
      <c r="A272" s="92">
        <v>265</v>
      </c>
      <c r="B272" s="95" t="s">
        <v>412</v>
      </c>
      <c r="C272" s="82" t="s">
        <v>413</v>
      </c>
    </row>
    <row r="273" spans="1:3" ht="12.75" x14ac:dyDescent="0.2">
      <c r="A273" s="92">
        <v>266</v>
      </c>
      <c r="B273" s="95" t="s">
        <v>414</v>
      </c>
      <c r="C273" s="82" t="s">
        <v>415</v>
      </c>
    </row>
    <row r="274" spans="1:3" ht="12.75" x14ac:dyDescent="0.2">
      <c r="A274" s="92">
        <v>267</v>
      </c>
      <c r="B274" s="95" t="s">
        <v>416</v>
      </c>
      <c r="C274" s="82" t="s">
        <v>417</v>
      </c>
    </row>
    <row r="275" spans="1:3" ht="12.75" x14ac:dyDescent="0.2">
      <c r="A275" s="92">
        <v>268</v>
      </c>
      <c r="B275" s="95" t="s">
        <v>418</v>
      </c>
      <c r="C275" s="82" t="s">
        <v>419</v>
      </c>
    </row>
    <row r="276" spans="1:3" ht="12.75" x14ac:dyDescent="0.2">
      <c r="A276" s="92">
        <v>269</v>
      </c>
      <c r="B276" s="95" t="s">
        <v>420</v>
      </c>
      <c r="C276" s="82" t="s">
        <v>421</v>
      </c>
    </row>
    <row r="277" spans="1:3" ht="12.75" x14ac:dyDescent="0.2">
      <c r="A277" s="92">
        <v>270</v>
      </c>
      <c r="B277" s="95" t="s">
        <v>422</v>
      </c>
      <c r="C277" s="82" t="s">
        <v>423</v>
      </c>
    </row>
    <row r="278" spans="1:3" ht="12.75" x14ac:dyDescent="0.2">
      <c r="A278" s="92">
        <v>271</v>
      </c>
      <c r="B278" s="95" t="s">
        <v>424</v>
      </c>
      <c r="C278" s="82" t="s">
        <v>425</v>
      </c>
    </row>
    <row r="279" spans="1:3" ht="12.75" x14ac:dyDescent="0.2">
      <c r="A279" s="92">
        <v>272</v>
      </c>
      <c r="B279" s="95" t="s">
        <v>426</v>
      </c>
      <c r="C279" s="82" t="s">
        <v>427</v>
      </c>
    </row>
    <row r="280" spans="1:3" ht="12.75" x14ac:dyDescent="0.2">
      <c r="A280" s="92">
        <v>273</v>
      </c>
      <c r="B280" s="95" t="s">
        <v>428</v>
      </c>
      <c r="C280" s="82" t="s">
        <v>429</v>
      </c>
    </row>
    <row r="281" spans="1:3" ht="12.75" x14ac:dyDescent="0.2">
      <c r="A281" s="92">
        <v>274</v>
      </c>
      <c r="B281" s="95" t="s">
        <v>430</v>
      </c>
      <c r="C281" s="82" t="s">
        <v>431</v>
      </c>
    </row>
    <row r="282" spans="1:3" ht="12.75" x14ac:dyDescent="0.2">
      <c r="A282" s="92">
        <v>275</v>
      </c>
      <c r="B282" s="95" t="s">
        <v>432</v>
      </c>
      <c r="C282" s="82" t="s">
        <v>433</v>
      </c>
    </row>
    <row r="283" spans="1:3" ht="12.75" x14ac:dyDescent="0.2">
      <c r="A283" s="92">
        <v>276</v>
      </c>
      <c r="B283" s="95" t="s">
        <v>434</v>
      </c>
      <c r="C283" s="82" t="s">
        <v>435</v>
      </c>
    </row>
    <row r="284" spans="1:3" ht="12.75" x14ac:dyDescent="0.2">
      <c r="A284" s="92">
        <v>277</v>
      </c>
      <c r="B284" s="95" t="s">
        <v>436</v>
      </c>
      <c r="C284" s="82" t="s">
        <v>437</v>
      </c>
    </row>
    <row r="285" spans="1:3" ht="12.75" x14ac:dyDescent="0.2">
      <c r="A285" s="92">
        <v>278</v>
      </c>
      <c r="B285" s="95" t="s">
        <v>438</v>
      </c>
      <c r="C285" s="82" t="s">
        <v>439</v>
      </c>
    </row>
    <row r="286" spans="1:3" ht="12.75" x14ac:dyDescent="0.2">
      <c r="A286" s="92">
        <v>279</v>
      </c>
      <c r="B286" s="95" t="s">
        <v>440</v>
      </c>
      <c r="C286" s="82" t="s">
        <v>441</v>
      </c>
    </row>
    <row r="287" spans="1:3" ht="12.75" x14ac:dyDescent="0.2">
      <c r="A287" s="92">
        <v>280</v>
      </c>
      <c r="B287" s="95" t="s">
        <v>442</v>
      </c>
      <c r="C287" s="82" t="s">
        <v>443</v>
      </c>
    </row>
    <row r="288" spans="1:3" ht="12.75" x14ac:dyDescent="0.2">
      <c r="A288" s="92">
        <v>281</v>
      </c>
      <c r="B288" s="95" t="s">
        <v>444</v>
      </c>
      <c r="C288" s="82" t="s">
        <v>445</v>
      </c>
    </row>
    <row r="289" spans="1:3" ht="12.75" x14ac:dyDescent="0.2">
      <c r="A289" s="92">
        <v>282</v>
      </c>
      <c r="B289" s="95" t="s">
        <v>446</v>
      </c>
      <c r="C289" s="82" t="s">
        <v>447</v>
      </c>
    </row>
    <row r="290" spans="1:3" ht="12.75" x14ac:dyDescent="0.2">
      <c r="A290" s="92">
        <v>283</v>
      </c>
      <c r="B290" s="95" t="s">
        <v>448</v>
      </c>
      <c r="C290" s="82" t="s">
        <v>449</v>
      </c>
    </row>
    <row r="291" spans="1:3" ht="12.75" x14ac:dyDescent="0.2">
      <c r="A291" s="92">
        <v>284</v>
      </c>
      <c r="B291" s="95" t="s">
        <v>450</v>
      </c>
      <c r="C291" s="82" t="s">
        <v>451</v>
      </c>
    </row>
    <row r="292" spans="1:3" ht="12.75" x14ac:dyDescent="0.2">
      <c r="A292" s="92">
        <v>285</v>
      </c>
      <c r="B292" s="95" t="s">
        <v>452</v>
      </c>
      <c r="C292" s="82" t="s">
        <v>453</v>
      </c>
    </row>
    <row r="293" spans="1:3" ht="12.75" x14ac:dyDescent="0.2">
      <c r="A293" s="92">
        <v>286</v>
      </c>
      <c r="B293" s="95" t="s">
        <v>454</v>
      </c>
      <c r="C293" s="82" t="s">
        <v>455</v>
      </c>
    </row>
    <row r="294" spans="1:3" ht="12.75" x14ac:dyDescent="0.2">
      <c r="A294" s="92">
        <v>287</v>
      </c>
      <c r="B294" s="95" t="s">
        <v>456</v>
      </c>
      <c r="C294" s="82" t="s">
        <v>457</v>
      </c>
    </row>
    <row r="295" spans="1:3" ht="12.75" x14ac:dyDescent="0.2">
      <c r="A295" s="92">
        <v>288</v>
      </c>
      <c r="B295" s="95" t="s">
        <v>458</v>
      </c>
      <c r="C295" s="82" t="s">
        <v>459</v>
      </c>
    </row>
    <row r="296" spans="1:3" ht="12.75" x14ac:dyDescent="0.2">
      <c r="A296" s="92">
        <v>289</v>
      </c>
      <c r="B296" s="95" t="s">
        <v>460</v>
      </c>
      <c r="C296" s="82" t="s">
        <v>461</v>
      </c>
    </row>
    <row r="297" spans="1:3" ht="12.75" x14ac:dyDescent="0.2">
      <c r="A297" s="92">
        <v>290</v>
      </c>
      <c r="B297" s="95" t="s">
        <v>462</v>
      </c>
      <c r="C297" s="82" t="s">
        <v>463</v>
      </c>
    </row>
    <row r="298" spans="1:3" ht="12.75" x14ac:dyDescent="0.2">
      <c r="A298" s="92">
        <v>291</v>
      </c>
      <c r="B298" s="95" t="s">
        <v>464</v>
      </c>
      <c r="C298" s="82" t="s">
        <v>465</v>
      </c>
    </row>
    <row r="299" spans="1:3" ht="12.75" x14ac:dyDescent="0.2">
      <c r="A299" s="92">
        <v>292</v>
      </c>
      <c r="B299" s="95" t="s">
        <v>466</v>
      </c>
      <c r="C299" s="82" t="s">
        <v>467</v>
      </c>
    </row>
    <row r="300" spans="1:3" ht="12.75" x14ac:dyDescent="0.2">
      <c r="A300" s="92">
        <v>293</v>
      </c>
      <c r="B300" s="95" t="s">
        <v>468</v>
      </c>
      <c r="C300" s="82" t="s">
        <v>469</v>
      </c>
    </row>
    <row r="301" spans="1:3" ht="12.75" x14ac:dyDescent="0.2">
      <c r="A301" s="92">
        <v>294</v>
      </c>
      <c r="B301" s="95" t="s">
        <v>470</v>
      </c>
      <c r="C301" s="82" t="s">
        <v>471</v>
      </c>
    </row>
    <row r="302" spans="1:3" ht="12.75" x14ac:dyDescent="0.2">
      <c r="A302" s="92">
        <v>295</v>
      </c>
      <c r="B302" s="95" t="s">
        <v>472</v>
      </c>
      <c r="C302" s="82" t="s">
        <v>473</v>
      </c>
    </row>
    <row r="303" spans="1:3" ht="12.75" x14ac:dyDescent="0.2">
      <c r="A303" s="92">
        <v>296</v>
      </c>
      <c r="B303" s="95" t="s">
        <v>474</v>
      </c>
      <c r="C303" s="82" t="s">
        <v>475</v>
      </c>
    </row>
    <row r="304" spans="1:3" ht="12.75" x14ac:dyDescent="0.2">
      <c r="A304" s="92">
        <v>297</v>
      </c>
      <c r="B304" s="95" t="s">
        <v>476</v>
      </c>
      <c r="C304" s="82" t="s">
        <v>477</v>
      </c>
    </row>
    <row r="305" spans="1:3" ht="12.75" x14ac:dyDescent="0.2">
      <c r="A305" s="92">
        <v>298</v>
      </c>
      <c r="B305" s="95" t="s">
        <v>478</v>
      </c>
      <c r="C305" s="82" t="s">
        <v>479</v>
      </c>
    </row>
    <row r="306" spans="1:3" ht="12.75" x14ac:dyDescent="0.2">
      <c r="A306" s="92">
        <v>299</v>
      </c>
      <c r="B306" s="95" t="s">
        <v>480</v>
      </c>
      <c r="C306" s="82" t="s">
        <v>481</v>
      </c>
    </row>
    <row r="307" spans="1:3" ht="12.75" x14ac:dyDescent="0.2">
      <c r="A307" s="92">
        <v>300</v>
      </c>
      <c r="B307" s="95" t="s">
        <v>482</v>
      </c>
      <c r="C307" s="82" t="s">
        <v>483</v>
      </c>
    </row>
    <row r="308" spans="1:3" ht="12.75" x14ac:dyDescent="0.2">
      <c r="A308" s="92">
        <v>301</v>
      </c>
      <c r="B308" s="95" t="s">
        <v>484</v>
      </c>
      <c r="C308" s="82" t="s">
        <v>485</v>
      </c>
    </row>
    <row r="309" spans="1:3" ht="12.75" x14ac:dyDescent="0.2">
      <c r="A309" s="92">
        <v>302</v>
      </c>
      <c r="B309" s="95" t="s">
        <v>486</v>
      </c>
      <c r="C309" s="82" t="s">
        <v>487</v>
      </c>
    </row>
    <row r="310" spans="1:3" ht="12.75" x14ac:dyDescent="0.2">
      <c r="A310" s="92">
        <v>303</v>
      </c>
      <c r="B310" s="95" t="s">
        <v>488</v>
      </c>
      <c r="C310" s="82" t="s">
        <v>489</v>
      </c>
    </row>
    <row r="311" spans="1:3" ht="12.75" x14ac:dyDescent="0.2">
      <c r="A311" s="92">
        <v>304</v>
      </c>
      <c r="B311" s="95" t="s">
        <v>490</v>
      </c>
      <c r="C311" s="82" t="s">
        <v>491</v>
      </c>
    </row>
    <row r="312" spans="1:3" ht="12.75" x14ac:dyDescent="0.2">
      <c r="A312" s="92">
        <v>305</v>
      </c>
      <c r="B312" s="95" t="s">
        <v>492</v>
      </c>
      <c r="C312" s="82" t="s">
        <v>493</v>
      </c>
    </row>
    <row r="313" spans="1:3" ht="12.75" x14ac:dyDescent="0.2">
      <c r="A313" s="92">
        <v>306</v>
      </c>
      <c r="B313" s="95" t="s">
        <v>494</v>
      </c>
      <c r="C313" s="82" t="s">
        <v>495</v>
      </c>
    </row>
    <row r="314" spans="1:3" ht="12.75" x14ac:dyDescent="0.2">
      <c r="A314" s="92">
        <v>307</v>
      </c>
      <c r="B314" s="95" t="s">
        <v>496</v>
      </c>
      <c r="C314" s="82" t="s">
        <v>497</v>
      </c>
    </row>
    <row r="315" spans="1:3" ht="12.75" x14ac:dyDescent="0.2">
      <c r="A315" s="92">
        <v>308</v>
      </c>
      <c r="B315" s="95" t="s">
        <v>498</v>
      </c>
      <c r="C315" s="82" t="s">
        <v>499</v>
      </c>
    </row>
    <row r="316" spans="1:3" ht="12.75" x14ac:dyDescent="0.2">
      <c r="A316" s="92">
        <v>309</v>
      </c>
      <c r="B316" s="95" t="s">
        <v>500</v>
      </c>
      <c r="C316" s="82" t="s">
        <v>501</v>
      </c>
    </row>
    <row r="317" spans="1:3" ht="12.75" x14ac:dyDescent="0.2">
      <c r="A317" s="92">
        <v>310</v>
      </c>
      <c r="B317" s="95" t="s">
        <v>502</v>
      </c>
      <c r="C317" s="82" t="s">
        <v>503</v>
      </c>
    </row>
    <row r="318" spans="1:3" ht="12.75" x14ac:dyDescent="0.2">
      <c r="A318" s="92">
        <v>311</v>
      </c>
      <c r="B318" s="95" t="s">
        <v>504</v>
      </c>
      <c r="C318" s="82" t="s">
        <v>505</v>
      </c>
    </row>
    <row r="319" spans="1:3" ht="12.75" x14ac:dyDescent="0.2">
      <c r="A319" s="92">
        <v>312</v>
      </c>
      <c r="B319" s="95" t="s">
        <v>506</v>
      </c>
      <c r="C319" s="82" t="s">
        <v>507</v>
      </c>
    </row>
    <row r="320" spans="1:3" ht="12.75" x14ac:dyDescent="0.2">
      <c r="A320" s="92">
        <v>313</v>
      </c>
      <c r="B320" s="95" t="s">
        <v>508</v>
      </c>
      <c r="C320" s="82" t="s">
        <v>509</v>
      </c>
    </row>
    <row r="321" spans="1:3" ht="12.75" x14ac:dyDescent="0.2">
      <c r="A321" s="92">
        <v>314</v>
      </c>
      <c r="B321" s="95" t="s">
        <v>510</v>
      </c>
      <c r="C321" s="82" t="s">
        <v>511</v>
      </c>
    </row>
    <row r="322" spans="1:3" ht="12.75" x14ac:dyDescent="0.2">
      <c r="A322" s="92">
        <v>315</v>
      </c>
      <c r="B322" s="95" t="s">
        <v>512</v>
      </c>
      <c r="C322" s="82" t="s">
        <v>513</v>
      </c>
    </row>
    <row r="323" spans="1:3" ht="12.75" x14ac:dyDescent="0.2">
      <c r="A323" s="92">
        <v>316</v>
      </c>
      <c r="B323" s="95" t="s">
        <v>514</v>
      </c>
      <c r="C323" s="82" t="s">
        <v>515</v>
      </c>
    </row>
    <row r="324" spans="1:3" ht="12.75" x14ac:dyDescent="0.2">
      <c r="A324" s="92">
        <v>317</v>
      </c>
      <c r="B324" s="95" t="s">
        <v>516</v>
      </c>
      <c r="C324" s="82" t="s">
        <v>517</v>
      </c>
    </row>
    <row r="325" spans="1:3" ht="12.75" x14ac:dyDescent="0.2">
      <c r="A325" s="92">
        <v>318</v>
      </c>
      <c r="B325" s="95" t="s">
        <v>518</v>
      </c>
      <c r="C325" s="82" t="s">
        <v>519</v>
      </c>
    </row>
    <row r="326" spans="1:3" ht="12.75" x14ac:dyDescent="0.2">
      <c r="A326" s="92">
        <v>319</v>
      </c>
      <c r="B326" s="95" t="s">
        <v>520</v>
      </c>
      <c r="C326" s="82" t="s">
        <v>521</v>
      </c>
    </row>
    <row r="327" spans="1:3" ht="12.75" x14ac:dyDescent="0.2">
      <c r="A327" s="92">
        <v>320</v>
      </c>
      <c r="B327" s="95" t="s">
        <v>522</v>
      </c>
      <c r="C327" s="82" t="s">
        <v>523</v>
      </c>
    </row>
    <row r="328" spans="1:3" ht="12.75" x14ac:dyDescent="0.2">
      <c r="A328" s="92">
        <v>321</v>
      </c>
      <c r="B328" s="95" t="s">
        <v>524</v>
      </c>
      <c r="C328" s="82" t="s">
        <v>525</v>
      </c>
    </row>
    <row r="329" spans="1:3" ht="12.75" x14ac:dyDescent="0.2">
      <c r="A329" s="92">
        <v>322</v>
      </c>
      <c r="B329" s="95" t="s">
        <v>526</v>
      </c>
      <c r="C329" s="82" t="s">
        <v>527</v>
      </c>
    </row>
    <row r="330" spans="1:3" ht="12.75" x14ac:dyDescent="0.2">
      <c r="A330" s="92">
        <v>323</v>
      </c>
      <c r="B330" s="95" t="s">
        <v>528</v>
      </c>
      <c r="C330" s="82" t="s">
        <v>529</v>
      </c>
    </row>
    <row r="331" spans="1:3" ht="12.75" x14ac:dyDescent="0.2">
      <c r="A331" s="92">
        <v>324</v>
      </c>
      <c r="B331" s="95" t="s">
        <v>530</v>
      </c>
      <c r="C331" s="82" t="s">
        <v>531</v>
      </c>
    </row>
    <row r="332" spans="1:3" ht="12.75" x14ac:dyDescent="0.2">
      <c r="A332" s="92">
        <v>325</v>
      </c>
      <c r="B332" s="95" t="s">
        <v>532</v>
      </c>
      <c r="C332" s="82" t="s">
        <v>533</v>
      </c>
    </row>
    <row r="333" spans="1:3" ht="13.5" thickBot="1" x14ac:dyDescent="0.25">
      <c r="A333" s="93">
        <v>326</v>
      </c>
      <c r="B333" s="97" t="s">
        <v>534</v>
      </c>
      <c r="C333" s="84" t="s">
        <v>535</v>
      </c>
    </row>
    <row r="334" spans="1:3" ht="13.5" thickBot="1" x14ac:dyDescent="0.25">
      <c r="A334" s="98">
        <v>327</v>
      </c>
      <c r="B334" s="126" t="s">
        <v>706</v>
      </c>
      <c r="C334" s="80" t="s">
        <v>536</v>
      </c>
    </row>
    <row r="335" spans="1:3" ht="12.75" x14ac:dyDescent="0.2">
      <c r="A335" s="79"/>
      <c r="B335" s="79"/>
      <c r="C335" s="79"/>
    </row>
  </sheetData>
  <phoneticPr fontId="4" type="noConversion"/>
  <pageMargins left="0.39370078740157483" right="0.39370078740157483" top="0.39370078740157483" bottom="0.39370078740157483" header="0.51181102362204722" footer="0.51181102362204722"/>
  <pageSetup paperSize="9" scale="2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2"/>
  <sheetViews>
    <sheetView zoomScaleNormal="100" workbookViewId="0">
      <pane xSplit="4" ySplit="7" topLeftCell="E8" activePane="bottomRight" state="frozen"/>
      <selection pane="topRight" activeCell="D1" sqref="D1"/>
      <selection pane="bottomLeft" activeCell="A8" sqref="A8"/>
      <selection pane="bottomRight"/>
    </sheetView>
  </sheetViews>
  <sheetFormatPr defaultRowHeight="15" x14ac:dyDescent="0.2"/>
  <cols>
    <col min="2" max="2" width="8.42578125" style="26" customWidth="1"/>
    <col min="3" max="3" width="5.5703125" style="26" customWidth="1"/>
    <col min="4" max="4" width="8.140625" style="26" bestFit="1" customWidth="1"/>
    <col min="5" max="5" width="27" style="26" bestFit="1" customWidth="1"/>
    <col min="6" max="6" width="30.42578125" style="111" customWidth="1"/>
    <col min="7" max="8" width="12.7109375" style="26" customWidth="1"/>
    <col min="9" max="15" width="12.7109375" customWidth="1"/>
    <col min="16" max="16" width="10.28515625" bestFit="1" customWidth="1"/>
    <col min="17" max="17" width="14" bestFit="1" customWidth="1"/>
    <col min="18" max="18" width="14.28515625" bestFit="1" customWidth="1"/>
    <col min="19" max="19" width="28.42578125" bestFit="1" customWidth="1"/>
    <col min="20" max="20" width="23.28515625" bestFit="1" customWidth="1"/>
    <col min="21" max="21" width="33" bestFit="1" customWidth="1"/>
  </cols>
  <sheetData>
    <row r="1" spans="1:23" ht="13.5" thickBot="1" x14ac:dyDescent="0.25">
      <c r="A1" s="336"/>
      <c r="B1" s="333"/>
      <c r="C1" s="32"/>
      <c r="D1" s="340"/>
      <c r="E1" s="124"/>
      <c r="F1" s="110"/>
      <c r="G1" s="75"/>
      <c r="H1" s="75"/>
    </row>
    <row r="2" spans="1:23" s="138" customFormat="1" ht="93.6" customHeight="1" thickTop="1" thickBot="1" x14ac:dyDescent="0.25">
      <c r="A2" s="337"/>
      <c r="B2" s="137"/>
      <c r="C2" s="33"/>
      <c r="D2" s="88"/>
      <c r="E2" s="124"/>
      <c r="F2" s="139" t="s">
        <v>760</v>
      </c>
      <c r="G2" s="139" t="s">
        <v>761</v>
      </c>
      <c r="H2" s="139" t="s">
        <v>762</v>
      </c>
      <c r="I2" s="139" t="s">
        <v>763</v>
      </c>
      <c r="J2" s="139" t="s">
        <v>764</v>
      </c>
      <c r="K2" s="139" t="s">
        <v>765</v>
      </c>
      <c r="L2" s="139" t="s">
        <v>766</v>
      </c>
      <c r="M2" s="139" t="s">
        <v>767</v>
      </c>
      <c r="N2" s="139" t="s">
        <v>768</v>
      </c>
      <c r="O2" s="139" t="s">
        <v>769</v>
      </c>
      <c r="P2" s="139" t="s">
        <v>770</v>
      </c>
      <c r="Q2" s="139" t="s">
        <v>771</v>
      </c>
      <c r="R2" s="140" t="s">
        <v>772</v>
      </c>
      <c r="S2" s="142" t="s">
        <v>844</v>
      </c>
      <c r="T2" s="143" t="s">
        <v>845</v>
      </c>
      <c r="U2" s="144" t="s">
        <v>846</v>
      </c>
    </row>
    <row r="3" spans="1:23" ht="13.5" thickTop="1" x14ac:dyDescent="0.2">
      <c r="A3" s="338">
        <v>1</v>
      </c>
      <c r="B3" s="35">
        <v>2</v>
      </c>
      <c r="C3" s="35">
        <v>3</v>
      </c>
      <c r="D3" s="342">
        <v>4</v>
      </c>
      <c r="E3" s="35">
        <v>5</v>
      </c>
      <c r="F3" s="35">
        <v>6</v>
      </c>
      <c r="G3" s="338">
        <v>7</v>
      </c>
      <c r="H3" s="35">
        <v>8</v>
      </c>
      <c r="I3" s="35">
        <v>9</v>
      </c>
      <c r="J3" s="338">
        <v>10</v>
      </c>
      <c r="K3" s="35">
        <v>11</v>
      </c>
      <c r="L3" s="35">
        <v>12</v>
      </c>
      <c r="M3" s="338">
        <v>13</v>
      </c>
      <c r="N3" s="35">
        <v>14</v>
      </c>
      <c r="O3" s="35">
        <v>15</v>
      </c>
      <c r="P3" s="338">
        <v>16</v>
      </c>
      <c r="Q3" s="35">
        <v>17</v>
      </c>
      <c r="R3" s="35">
        <v>18</v>
      </c>
      <c r="S3" s="338">
        <v>19</v>
      </c>
      <c r="T3" s="35">
        <v>20</v>
      </c>
      <c r="U3" s="35">
        <v>21</v>
      </c>
    </row>
    <row r="4" spans="1:23" ht="13.5" thickBot="1" x14ac:dyDescent="0.25">
      <c r="A4" s="338"/>
      <c r="B4" s="334"/>
      <c r="C4" s="37"/>
      <c r="D4" s="88"/>
      <c r="E4" s="88"/>
      <c r="F4" s="114"/>
      <c r="G4" s="115"/>
      <c r="H4" s="115"/>
      <c r="I4" s="116"/>
      <c r="J4" s="116"/>
      <c r="K4" s="116"/>
      <c r="L4" s="116"/>
      <c r="M4" s="116"/>
      <c r="N4" s="116"/>
      <c r="O4" s="116"/>
      <c r="P4" s="116"/>
      <c r="Q4" s="116"/>
      <c r="R4" s="116"/>
      <c r="S4" s="118"/>
      <c r="T4" s="118"/>
      <c r="U4" s="118"/>
    </row>
    <row r="5" spans="1:23" s="125" customFormat="1" ht="13.5" thickBot="1" x14ac:dyDescent="0.25">
      <c r="A5" s="338"/>
      <c r="B5" s="112" t="s">
        <v>581</v>
      </c>
      <c r="C5" s="323" t="s">
        <v>1091</v>
      </c>
      <c r="D5" s="341" t="s">
        <v>1092</v>
      </c>
      <c r="E5" s="112" t="s">
        <v>580</v>
      </c>
      <c r="F5" s="129">
        <v>1</v>
      </c>
      <c r="G5" s="130">
        <v>2</v>
      </c>
      <c r="H5" s="130">
        <v>3</v>
      </c>
      <c r="I5" s="130">
        <v>4</v>
      </c>
      <c r="J5" s="130">
        <v>5</v>
      </c>
      <c r="K5" s="130">
        <v>6</v>
      </c>
      <c r="L5" s="130">
        <v>7</v>
      </c>
      <c r="M5" s="130">
        <v>8</v>
      </c>
      <c r="N5" s="130">
        <v>9</v>
      </c>
      <c r="O5" s="130">
        <v>10</v>
      </c>
      <c r="P5" s="130">
        <v>11</v>
      </c>
      <c r="Q5" s="130">
        <v>12</v>
      </c>
      <c r="R5" s="130">
        <v>13</v>
      </c>
      <c r="S5" s="118"/>
      <c r="T5" s="118"/>
      <c r="U5" s="118"/>
    </row>
    <row r="6" spans="1:23" s="125" customFormat="1" ht="13.5" thickBot="1" x14ac:dyDescent="0.25">
      <c r="A6" s="339"/>
      <c r="B6" s="335"/>
      <c r="C6" s="113"/>
      <c r="D6" s="91"/>
      <c r="E6" s="113"/>
      <c r="F6" s="132">
        <v>1</v>
      </c>
      <c r="G6" s="133">
        <v>1</v>
      </c>
      <c r="H6" s="133">
        <v>1</v>
      </c>
      <c r="I6" s="133">
        <v>1</v>
      </c>
      <c r="J6" s="133">
        <v>1</v>
      </c>
      <c r="K6" s="133">
        <v>1</v>
      </c>
      <c r="L6" s="133">
        <v>1</v>
      </c>
      <c r="M6" s="133">
        <v>1</v>
      </c>
      <c r="N6" s="133">
        <v>1</v>
      </c>
      <c r="O6" s="133">
        <v>1</v>
      </c>
      <c r="P6" s="133">
        <v>1</v>
      </c>
      <c r="Q6" s="133">
        <v>1</v>
      </c>
      <c r="R6" s="133">
        <v>1</v>
      </c>
      <c r="S6" s="118"/>
      <c r="T6" s="118"/>
      <c r="U6" s="118"/>
    </row>
    <row r="7" spans="1:23" ht="13.5" thickBot="1" x14ac:dyDescent="0.25">
      <c r="A7" s="77"/>
      <c r="B7" s="77"/>
      <c r="C7" s="78"/>
      <c r="D7" s="85"/>
      <c r="E7" s="329"/>
      <c r="F7" s="119"/>
      <c r="G7" s="120"/>
      <c r="H7" s="120"/>
      <c r="I7" s="121"/>
      <c r="J7" s="122"/>
      <c r="K7" s="121"/>
      <c r="L7" s="121"/>
      <c r="M7" s="121"/>
      <c r="N7" s="121"/>
      <c r="O7" s="121"/>
      <c r="P7" s="121"/>
      <c r="Q7" s="121"/>
      <c r="R7" s="121"/>
      <c r="S7" s="123"/>
      <c r="T7" s="123"/>
      <c r="U7" s="123"/>
      <c r="V7" s="323"/>
      <c r="W7" s="323"/>
    </row>
    <row r="8" spans="1:23" s="197" customFormat="1" ht="12.75" x14ac:dyDescent="0.2">
      <c r="A8" s="446">
        <v>1</v>
      </c>
      <c r="B8" s="447" t="s">
        <v>583</v>
      </c>
      <c r="C8" s="448" t="s">
        <v>1093</v>
      </c>
      <c r="D8" s="449" t="s">
        <v>1094</v>
      </c>
      <c r="E8" s="450" t="s">
        <v>582</v>
      </c>
      <c r="F8" s="451">
        <v>15316575</v>
      </c>
      <c r="G8" s="451">
        <v>582195</v>
      </c>
      <c r="H8" s="451">
        <v>0</v>
      </c>
      <c r="I8" s="451">
        <v>84623</v>
      </c>
      <c r="J8" s="451">
        <v>0</v>
      </c>
      <c r="K8" s="451">
        <v>84623</v>
      </c>
      <c r="L8" s="451">
        <v>0</v>
      </c>
      <c r="M8" s="451">
        <v>0</v>
      </c>
      <c r="N8" s="451">
        <v>0</v>
      </c>
      <c r="O8" s="451">
        <v>0</v>
      </c>
      <c r="P8" s="451">
        <v>0</v>
      </c>
      <c r="Q8" s="451">
        <v>0</v>
      </c>
      <c r="R8" s="451">
        <v>15814147</v>
      </c>
      <c r="S8" s="452" t="s">
        <v>582</v>
      </c>
      <c r="T8" s="453" t="s">
        <v>773</v>
      </c>
      <c r="U8" s="454" t="s">
        <v>775</v>
      </c>
      <c r="V8" s="324"/>
      <c r="W8" s="325"/>
    </row>
    <row r="9" spans="1:23" s="197" customFormat="1" ht="12.75" x14ac:dyDescent="0.2">
      <c r="A9" s="446">
        <v>2</v>
      </c>
      <c r="B9" s="447" t="s">
        <v>585</v>
      </c>
      <c r="C9" s="448" t="s">
        <v>1093</v>
      </c>
      <c r="D9" s="449" t="s">
        <v>1095</v>
      </c>
      <c r="E9" s="450" t="s">
        <v>584</v>
      </c>
      <c r="F9" s="451">
        <v>24470860</v>
      </c>
      <c r="G9" s="451">
        <v>0</v>
      </c>
      <c r="H9" s="451">
        <v>79288</v>
      </c>
      <c r="I9" s="451">
        <v>182676</v>
      </c>
      <c r="J9" s="451">
        <v>0</v>
      </c>
      <c r="K9" s="451">
        <v>182676</v>
      </c>
      <c r="L9" s="451">
        <v>0</v>
      </c>
      <c r="M9" s="451">
        <v>0</v>
      </c>
      <c r="N9" s="451">
        <v>0</v>
      </c>
      <c r="O9" s="451">
        <v>151152</v>
      </c>
      <c r="P9" s="451">
        <v>151152</v>
      </c>
      <c r="Q9" s="451">
        <v>0</v>
      </c>
      <c r="R9" s="451">
        <v>24057744</v>
      </c>
      <c r="S9" s="452" t="s">
        <v>584</v>
      </c>
      <c r="T9" s="453" t="s">
        <v>776</v>
      </c>
      <c r="U9" s="454" t="s">
        <v>775</v>
      </c>
      <c r="V9" s="324"/>
      <c r="W9" s="325"/>
    </row>
    <row r="10" spans="1:23" s="197" customFormat="1" ht="12.75" x14ac:dyDescent="0.2">
      <c r="A10" s="446">
        <v>3</v>
      </c>
      <c r="B10" s="447" t="s">
        <v>587</v>
      </c>
      <c r="C10" s="448" t="s">
        <v>1093</v>
      </c>
      <c r="D10" s="449" t="s">
        <v>1096</v>
      </c>
      <c r="E10" s="450" t="s">
        <v>586</v>
      </c>
      <c r="F10" s="451">
        <v>29358623</v>
      </c>
      <c r="G10" s="451">
        <v>0</v>
      </c>
      <c r="H10" s="451">
        <v>40549</v>
      </c>
      <c r="I10" s="451">
        <v>154747</v>
      </c>
      <c r="J10" s="451">
        <v>0</v>
      </c>
      <c r="K10" s="451">
        <v>154747</v>
      </c>
      <c r="L10" s="451">
        <v>0</v>
      </c>
      <c r="M10" s="451">
        <v>0</v>
      </c>
      <c r="N10" s="451">
        <v>0</v>
      </c>
      <c r="O10" s="451">
        <v>0</v>
      </c>
      <c r="P10" s="451">
        <v>0</v>
      </c>
      <c r="Q10" s="451">
        <v>0</v>
      </c>
      <c r="R10" s="451">
        <v>29163327</v>
      </c>
      <c r="S10" s="452" t="s">
        <v>586</v>
      </c>
      <c r="T10" s="453" t="s">
        <v>777</v>
      </c>
      <c r="U10" s="454" t="s">
        <v>778</v>
      </c>
      <c r="V10" s="324"/>
      <c r="W10" s="325"/>
    </row>
    <row r="11" spans="1:23" s="197" customFormat="1" ht="12.75" x14ac:dyDescent="0.2">
      <c r="A11" s="446">
        <v>4</v>
      </c>
      <c r="B11" s="447" t="s">
        <v>589</v>
      </c>
      <c r="C11" s="448" t="s">
        <v>1093</v>
      </c>
      <c r="D11" s="449" t="s">
        <v>1094</v>
      </c>
      <c r="E11" s="450" t="s">
        <v>588</v>
      </c>
      <c r="F11" s="451">
        <v>30802771</v>
      </c>
      <c r="G11" s="451">
        <v>0</v>
      </c>
      <c r="H11" s="451">
        <v>193851</v>
      </c>
      <c r="I11" s="451">
        <v>173257</v>
      </c>
      <c r="J11" s="451">
        <v>0</v>
      </c>
      <c r="K11" s="451">
        <v>173257</v>
      </c>
      <c r="L11" s="451">
        <v>0</v>
      </c>
      <c r="M11" s="451">
        <v>0</v>
      </c>
      <c r="N11" s="451">
        <v>0</v>
      </c>
      <c r="O11" s="451">
        <v>0</v>
      </c>
      <c r="P11" s="451">
        <v>0</v>
      </c>
      <c r="Q11" s="451">
        <v>0</v>
      </c>
      <c r="R11" s="451">
        <v>30435663</v>
      </c>
      <c r="S11" s="452" t="s">
        <v>588</v>
      </c>
      <c r="T11" s="453" t="s">
        <v>773</v>
      </c>
      <c r="U11" s="454" t="s">
        <v>775</v>
      </c>
      <c r="V11" s="324"/>
      <c r="W11" s="325"/>
    </row>
    <row r="12" spans="1:23" s="197" customFormat="1" ht="12.75" x14ac:dyDescent="0.2">
      <c r="A12" s="446">
        <v>5</v>
      </c>
      <c r="B12" s="447" t="s">
        <v>591</v>
      </c>
      <c r="C12" s="448" t="s">
        <v>1093</v>
      </c>
      <c r="D12" s="449" t="s">
        <v>1096</v>
      </c>
      <c r="E12" s="450" t="s">
        <v>590</v>
      </c>
      <c r="F12" s="451">
        <v>31222880</v>
      </c>
      <c r="G12" s="451">
        <v>0</v>
      </c>
      <c r="H12" s="451">
        <v>150387</v>
      </c>
      <c r="I12" s="451">
        <v>127890</v>
      </c>
      <c r="J12" s="451">
        <v>0</v>
      </c>
      <c r="K12" s="451">
        <v>127890</v>
      </c>
      <c r="L12" s="451">
        <v>0</v>
      </c>
      <c r="M12" s="451">
        <v>0</v>
      </c>
      <c r="N12" s="451">
        <v>0</v>
      </c>
      <c r="O12" s="451">
        <v>0</v>
      </c>
      <c r="P12" s="451">
        <v>0</v>
      </c>
      <c r="Q12" s="451">
        <v>0</v>
      </c>
      <c r="R12" s="451">
        <v>30944603</v>
      </c>
      <c r="S12" s="452" t="s">
        <v>590</v>
      </c>
      <c r="T12" s="453" t="s">
        <v>779</v>
      </c>
      <c r="U12" s="454" t="s">
        <v>780</v>
      </c>
      <c r="V12" s="324"/>
      <c r="W12" s="325"/>
    </row>
    <row r="13" spans="1:23" s="197" customFormat="1" ht="12.75" x14ac:dyDescent="0.2">
      <c r="A13" s="446">
        <v>6</v>
      </c>
      <c r="B13" s="447" t="s">
        <v>593</v>
      </c>
      <c r="C13" s="448" t="s">
        <v>1093</v>
      </c>
      <c r="D13" s="449" t="s">
        <v>1094</v>
      </c>
      <c r="E13" s="450" t="s">
        <v>592</v>
      </c>
      <c r="F13" s="451">
        <v>41723504</v>
      </c>
      <c r="G13" s="451">
        <v>197559</v>
      </c>
      <c r="H13" s="451">
        <v>0</v>
      </c>
      <c r="I13" s="451">
        <v>179047</v>
      </c>
      <c r="J13" s="451">
        <v>0</v>
      </c>
      <c r="K13" s="451">
        <v>179047</v>
      </c>
      <c r="L13" s="451">
        <v>0</v>
      </c>
      <c r="M13" s="451">
        <v>0</v>
      </c>
      <c r="N13" s="451">
        <v>0</v>
      </c>
      <c r="O13" s="451">
        <v>0</v>
      </c>
      <c r="P13" s="451">
        <v>0</v>
      </c>
      <c r="Q13" s="451">
        <v>0</v>
      </c>
      <c r="R13" s="451">
        <v>41742016</v>
      </c>
      <c r="S13" s="455" t="s">
        <v>592</v>
      </c>
      <c r="T13" s="453" t="s">
        <v>781</v>
      </c>
      <c r="U13" s="454" t="s">
        <v>782</v>
      </c>
      <c r="V13" s="324"/>
      <c r="W13" s="325"/>
    </row>
    <row r="14" spans="1:23" s="197" customFormat="1" ht="12.75" x14ac:dyDescent="0.2">
      <c r="A14" s="446">
        <v>7</v>
      </c>
      <c r="B14" s="447" t="s">
        <v>595</v>
      </c>
      <c r="C14" s="448" t="s">
        <v>1093</v>
      </c>
      <c r="D14" s="449" t="s">
        <v>1094</v>
      </c>
      <c r="E14" s="450" t="s">
        <v>594</v>
      </c>
      <c r="F14" s="451">
        <v>43943522</v>
      </c>
      <c r="G14" s="451">
        <v>240854</v>
      </c>
      <c r="H14" s="451">
        <v>0</v>
      </c>
      <c r="I14" s="451">
        <v>223664</v>
      </c>
      <c r="J14" s="451">
        <v>0</v>
      </c>
      <c r="K14" s="451">
        <v>223664</v>
      </c>
      <c r="L14" s="451">
        <v>0</v>
      </c>
      <c r="M14" s="451">
        <v>0</v>
      </c>
      <c r="N14" s="451">
        <v>0</v>
      </c>
      <c r="O14" s="451">
        <v>0</v>
      </c>
      <c r="P14" s="451">
        <v>0</v>
      </c>
      <c r="Q14" s="451">
        <v>0</v>
      </c>
      <c r="R14" s="451">
        <v>43960712</v>
      </c>
      <c r="S14" s="452" t="s">
        <v>594</v>
      </c>
      <c r="T14" s="453" t="s">
        <v>783</v>
      </c>
      <c r="U14" s="454" t="s">
        <v>784</v>
      </c>
      <c r="V14" s="324"/>
      <c r="W14" s="325"/>
    </row>
    <row r="15" spans="1:23" s="197" customFormat="1" ht="12.75" x14ac:dyDescent="0.2">
      <c r="A15" s="446">
        <v>8</v>
      </c>
      <c r="B15" s="447" t="s">
        <v>597</v>
      </c>
      <c r="C15" s="448" t="s">
        <v>1093</v>
      </c>
      <c r="D15" s="449" t="s">
        <v>1097</v>
      </c>
      <c r="E15" s="450" t="s">
        <v>596</v>
      </c>
      <c r="F15" s="451">
        <v>22206080</v>
      </c>
      <c r="G15" s="451">
        <v>0</v>
      </c>
      <c r="H15" s="451">
        <v>54783</v>
      </c>
      <c r="I15" s="451">
        <v>126602</v>
      </c>
      <c r="J15" s="451">
        <v>0</v>
      </c>
      <c r="K15" s="451">
        <v>126602</v>
      </c>
      <c r="L15" s="451">
        <v>0</v>
      </c>
      <c r="M15" s="451">
        <v>0</v>
      </c>
      <c r="N15" s="451">
        <v>0</v>
      </c>
      <c r="O15" s="451">
        <v>0</v>
      </c>
      <c r="P15" s="451">
        <v>0</v>
      </c>
      <c r="Q15" s="451">
        <v>0</v>
      </c>
      <c r="R15" s="451">
        <v>22024695</v>
      </c>
      <c r="S15" s="452" t="s">
        <v>596</v>
      </c>
      <c r="T15" s="453" t="s">
        <v>785</v>
      </c>
      <c r="U15" s="454" t="s">
        <v>775</v>
      </c>
      <c r="V15" s="324"/>
      <c r="W15" s="325"/>
    </row>
    <row r="16" spans="1:23" s="197" customFormat="1" ht="12.75" x14ac:dyDescent="0.2">
      <c r="A16" s="446">
        <v>9</v>
      </c>
      <c r="B16" s="447" t="s">
        <v>599</v>
      </c>
      <c r="C16" s="448" t="s">
        <v>1098</v>
      </c>
      <c r="D16" s="449" t="s">
        <v>1099</v>
      </c>
      <c r="E16" s="450" t="s">
        <v>708</v>
      </c>
      <c r="F16" s="451">
        <v>46983988</v>
      </c>
      <c r="G16" s="451">
        <v>852015</v>
      </c>
      <c r="H16" s="451">
        <v>0</v>
      </c>
      <c r="I16" s="451">
        <v>205809</v>
      </c>
      <c r="J16" s="451">
        <v>0</v>
      </c>
      <c r="K16" s="451">
        <v>205809</v>
      </c>
      <c r="L16" s="451">
        <v>0</v>
      </c>
      <c r="M16" s="451">
        <v>0</v>
      </c>
      <c r="N16" s="451">
        <v>0</v>
      </c>
      <c r="O16" s="451">
        <v>0</v>
      </c>
      <c r="P16" s="451">
        <v>0</v>
      </c>
      <c r="Q16" s="451">
        <v>0</v>
      </c>
      <c r="R16" s="451">
        <v>47630194</v>
      </c>
      <c r="S16" s="452" t="s">
        <v>708</v>
      </c>
      <c r="T16" s="453" t="s">
        <v>786</v>
      </c>
      <c r="U16" s="453" t="s">
        <v>774</v>
      </c>
      <c r="V16" s="324"/>
      <c r="W16" s="325"/>
    </row>
    <row r="17" spans="1:23" s="197" customFormat="1" ht="12.75" x14ac:dyDescent="0.2">
      <c r="A17" s="446">
        <v>10</v>
      </c>
      <c r="B17" s="447" t="s">
        <v>601</v>
      </c>
      <c r="C17" s="448" t="s">
        <v>1098</v>
      </c>
      <c r="D17" s="449" t="s">
        <v>1099</v>
      </c>
      <c r="E17" s="450" t="s">
        <v>600</v>
      </c>
      <c r="F17" s="451">
        <v>105499228</v>
      </c>
      <c r="G17" s="451">
        <v>0</v>
      </c>
      <c r="H17" s="451">
        <v>1217017</v>
      </c>
      <c r="I17" s="451">
        <v>419218</v>
      </c>
      <c r="J17" s="451">
        <v>0</v>
      </c>
      <c r="K17" s="451">
        <v>419218</v>
      </c>
      <c r="L17" s="451">
        <v>0</v>
      </c>
      <c r="M17" s="451">
        <v>0</v>
      </c>
      <c r="N17" s="451">
        <v>0</v>
      </c>
      <c r="O17" s="451">
        <v>0</v>
      </c>
      <c r="P17" s="451">
        <v>0</v>
      </c>
      <c r="Q17" s="451">
        <v>0</v>
      </c>
      <c r="R17" s="451">
        <v>103862993</v>
      </c>
      <c r="S17" s="452" t="s">
        <v>600</v>
      </c>
      <c r="T17" s="453" t="s">
        <v>786</v>
      </c>
      <c r="U17" s="453" t="s">
        <v>774</v>
      </c>
      <c r="V17" s="324"/>
      <c r="W17" s="325"/>
    </row>
    <row r="18" spans="1:23" s="197" customFormat="1" ht="12.75" x14ac:dyDescent="0.2">
      <c r="A18" s="446">
        <v>11</v>
      </c>
      <c r="B18" s="447" t="s">
        <v>603</v>
      </c>
      <c r="C18" s="448" t="s">
        <v>1100</v>
      </c>
      <c r="D18" s="449" t="s">
        <v>1101</v>
      </c>
      <c r="E18" s="450" t="s">
        <v>602</v>
      </c>
      <c r="F18" s="451">
        <v>49993307</v>
      </c>
      <c r="G18" s="451">
        <v>256410</v>
      </c>
      <c r="H18" s="451">
        <v>0</v>
      </c>
      <c r="I18" s="451">
        <v>271283</v>
      </c>
      <c r="J18" s="451">
        <v>0</v>
      </c>
      <c r="K18" s="451">
        <v>271283</v>
      </c>
      <c r="L18" s="451">
        <v>0</v>
      </c>
      <c r="M18" s="451">
        <v>222673</v>
      </c>
      <c r="N18" s="451">
        <v>0</v>
      </c>
      <c r="O18" s="451">
        <v>0</v>
      </c>
      <c r="P18" s="451">
        <v>0</v>
      </c>
      <c r="Q18" s="451">
        <v>0</v>
      </c>
      <c r="R18" s="451">
        <v>49755761</v>
      </c>
      <c r="S18" s="452" t="s">
        <v>602</v>
      </c>
      <c r="T18" s="453" t="s">
        <v>787</v>
      </c>
      <c r="U18" s="454" t="s">
        <v>788</v>
      </c>
      <c r="V18" s="324"/>
      <c r="W18" s="325"/>
    </row>
    <row r="19" spans="1:23" s="197" customFormat="1" ht="12.75" x14ac:dyDescent="0.2">
      <c r="A19" s="446">
        <v>12</v>
      </c>
      <c r="B19" s="447" t="s">
        <v>605</v>
      </c>
      <c r="C19" s="448" t="s">
        <v>1093</v>
      </c>
      <c r="D19" s="449" t="s">
        <v>1095</v>
      </c>
      <c r="E19" s="450" t="s">
        <v>604</v>
      </c>
      <c r="F19" s="451">
        <v>22361233</v>
      </c>
      <c r="G19" s="451">
        <v>107526</v>
      </c>
      <c r="H19" s="451">
        <v>0</v>
      </c>
      <c r="I19" s="451">
        <v>99249</v>
      </c>
      <c r="J19" s="451">
        <v>0</v>
      </c>
      <c r="K19" s="451">
        <v>99249</v>
      </c>
      <c r="L19" s="451">
        <v>0</v>
      </c>
      <c r="M19" s="451">
        <v>0</v>
      </c>
      <c r="N19" s="451">
        <v>0</v>
      </c>
      <c r="O19" s="451">
        <v>0</v>
      </c>
      <c r="P19" s="451">
        <v>0</v>
      </c>
      <c r="Q19" s="451">
        <v>0</v>
      </c>
      <c r="R19" s="451">
        <v>22369510</v>
      </c>
      <c r="S19" s="452" t="s">
        <v>604</v>
      </c>
      <c r="T19" s="453" t="s">
        <v>776</v>
      </c>
      <c r="U19" s="454" t="s">
        <v>775</v>
      </c>
      <c r="V19" s="324"/>
      <c r="W19" s="325"/>
    </row>
    <row r="20" spans="1:23" s="197" customFormat="1" ht="12.75" x14ac:dyDescent="0.2">
      <c r="A20" s="446">
        <v>13</v>
      </c>
      <c r="B20" s="447" t="s">
        <v>607</v>
      </c>
      <c r="C20" s="448" t="s">
        <v>1093</v>
      </c>
      <c r="D20" s="449" t="s">
        <v>1097</v>
      </c>
      <c r="E20" s="450" t="s">
        <v>606</v>
      </c>
      <c r="F20" s="451">
        <v>70142606</v>
      </c>
      <c r="G20" s="451">
        <v>0</v>
      </c>
      <c r="H20" s="451">
        <v>484666</v>
      </c>
      <c r="I20" s="451">
        <v>236652</v>
      </c>
      <c r="J20" s="451">
        <v>0</v>
      </c>
      <c r="K20" s="451">
        <v>236652</v>
      </c>
      <c r="L20" s="451">
        <v>0</v>
      </c>
      <c r="M20" s="451">
        <v>0</v>
      </c>
      <c r="N20" s="451">
        <v>0</v>
      </c>
      <c r="O20" s="451">
        <v>0</v>
      </c>
      <c r="P20" s="451">
        <v>0</v>
      </c>
      <c r="Q20" s="451">
        <v>0</v>
      </c>
      <c r="R20" s="451">
        <v>69421288</v>
      </c>
      <c r="S20" s="452" t="s">
        <v>606</v>
      </c>
      <c r="T20" s="453" t="s">
        <v>789</v>
      </c>
      <c r="U20" s="454" t="s">
        <v>790</v>
      </c>
      <c r="V20" s="324"/>
      <c r="W20" s="325"/>
    </row>
    <row r="21" spans="1:23" s="197" customFormat="1" ht="12.75" x14ac:dyDescent="0.2">
      <c r="A21" s="446">
        <v>14</v>
      </c>
      <c r="B21" s="447" t="s">
        <v>609</v>
      </c>
      <c r="C21" s="448" t="s">
        <v>1093</v>
      </c>
      <c r="D21" s="449" t="s">
        <v>1094</v>
      </c>
      <c r="E21" s="450" t="s">
        <v>608</v>
      </c>
      <c r="F21" s="451">
        <v>67059845</v>
      </c>
      <c r="G21" s="451">
        <v>232326</v>
      </c>
      <c r="H21" s="451">
        <v>0</v>
      </c>
      <c r="I21" s="451">
        <v>206499</v>
      </c>
      <c r="J21" s="451">
        <v>0</v>
      </c>
      <c r="K21" s="451">
        <v>206499</v>
      </c>
      <c r="L21" s="451">
        <v>0</v>
      </c>
      <c r="M21" s="451">
        <v>0</v>
      </c>
      <c r="N21" s="451">
        <v>0</v>
      </c>
      <c r="O21" s="451">
        <v>46806</v>
      </c>
      <c r="P21" s="451">
        <v>46806</v>
      </c>
      <c r="Q21" s="451">
        <v>0</v>
      </c>
      <c r="R21" s="451">
        <v>67038866</v>
      </c>
      <c r="S21" s="452" t="s">
        <v>608</v>
      </c>
      <c r="T21" s="453" t="s">
        <v>791</v>
      </c>
      <c r="U21" s="454" t="s">
        <v>792</v>
      </c>
      <c r="V21" s="324"/>
      <c r="W21" s="325"/>
    </row>
    <row r="22" spans="1:23" s="197" customFormat="1" ht="12.75" x14ac:dyDescent="0.2">
      <c r="A22" s="446">
        <v>15</v>
      </c>
      <c r="B22" s="447" t="s">
        <v>611</v>
      </c>
      <c r="C22" s="448" t="s">
        <v>1093</v>
      </c>
      <c r="D22" s="449" t="s">
        <v>1096</v>
      </c>
      <c r="E22" s="450" t="s">
        <v>610</v>
      </c>
      <c r="F22" s="451">
        <v>37914897</v>
      </c>
      <c r="G22" s="451">
        <v>1608236</v>
      </c>
      <c r="H22" s="451">
        <v>0</v>
      </c>
      <c r="I22" s="451">
        <v>167257</v>
      </c>
      <c r="J22" s="451">
        <v>0</v>
      </c>
      <c r="K22" s="451">
        <v>167257</v>
      </c>
      <c r="L22" s="451">
        <v>0</v>
      </c>
      <c r="M22" s="451">
        <v>0</v>
      </c>
      <c r="N22" s="451">
        <v>0</v>
      </c>
      <c r="O22" s="451">
        <v>0</v>
      </c>
      <c r="P22" s="451">
        <v>0</v>
      </c>
      <c r="Q22" s="451">
        <v>0</v>
      </c>
      <c r="R22" s="451">
        <v>39355876</v>
      </c>
      <c r="S22" s="452" t="s">
        <v>610</v>
      </c>
      <c r="T22" s="453" t="s">
        <v>779</v>
      </c>
      <c r="U22" s="454" t="s">
        <v>780</v>
      </c>
      <c r="V22" s="324"/>
      <c r="W22" s="325"/>
    </row>
    <row r="23" spans="1:23" s="197" customFormat="1" ht="12.75" x14ac:dyDescent="0.2">
      <c r="A23" s="446">
        <v>16</v>
      </c>
      <c r="B23" s="447" t="s">
        <v>613</v>
      </c>
      <c r="C23" s="448" t="s">
        <v>794</v>
      </c>
      <c r="D23" s="449" t="s">
        <v>1102</v>
      </c>
      <c r="E23" s="450" t="s">
        <v>612</v>
      </c>
      <c r="F23" s="451">
        <v>59763173</v>
      </c>
      <c r="G23" s="451">
        <v>57285</v>
      </c>
      <c r="H23" s="451">
        <v>0</v>
      </c>
      <c r="I23" s="451">
        <v>260612</v>
      </c>
      <c r="J23" s="451">
        <v>0</v>
      </c>
      <c r="K23" s="451">
        <v>260612</v>
      </c>
      <c r="L23" s="451">
        <v>0</v>
      </c>
      <c r="M23" s="451">
        <v>0</v>
      </c>
      <c r="N23" s="451">
        <v>0</v>
      </c>
      <c r="O23" s="451">
        <v>0</v>
      </c>
      <c r="P23" s="451">
        <v>0</v>
      </c>
      <c r="Q23" s="451">
        <v>0</v>
      </c>
      <c r="R23" s="451">
        <v>59559846</v>
      </c>
      <c r="S23" s="452" t="s">
        <v>793</v>
      </c>
      <c r="T23" s="453" t="s">
        <v>794</v>
      </c>
      <c r="U23" s="454" t="s">
        <v>795</v>
      </c>
      <c r="V23" s="324"/>
      <c r="W23" s="325"/>
    </row>
    <row r="24" spans="1:23" s="197" customFormat="1" ht="12.75" x14ac:dyDescent="0.2">
      <c r="A24" s="446">
        <v>17</v>
      </c>
      <c r="B24" s="447" t="s">
        <v>615</v>
      </c>
      <c r="C24" s="448" t="s">
        <v>794</v>
      </c>
      <c r="D24" s="449" t="s">
        <v>1097</v>
      </c>
      <c r="E24" s="450" t="s">
        <v>614</v>
      </c>
      <c r="F24" s="451">
        <v>60879789</v>
      </c>
      <c r="G24" s="451">
        <v>501020</v>
      </c>
      <c r="H24" s="451">
        <v>0</v>
      </c>
      <c r="I24" s="451">
        <v>233924</v>
      </c>
      <c r="J24" s="451">
        <v>0</v>
      </c>
      <c r="K24" s="451">
        <v>233924</v>
      </c>
      <c r="L24" s="451">
        <v>0</v>
      </c>
      <c r="M24" s="451">
        <v>0</v>
      </c>
      <c r="N24" s="451">
        <v>0</v>
      </c>
      <c r="O24" s="451">
        <v>0</v>
      </c>
      <c r="P24" s="451">
        <v>0</v>
      </c>
      <c r="Q24" s="451">
        <v>0</v>
      </c>
      <c r="R24" s="451">
        <v>61146885</v>
      </c>
      <c r="S24" s="453" t="s">
        <v>614</v>
      </c>
      <c r="T24" s="453" t="s">
        <v>794</v>
      </c>
      <c r="U24" s="454" t="s">
        <v>796</v>
      </c>
      <c r="V24" s="324"/>
      <c r="W24" s="325"/>
    </row>
    <row r="25" spans="1:23" s="197" customFormat="1" ht="12.75" x14ac:dyDescent="0.2">
      <c r="A25" s="446">
        <v>18</v>
      </c>
      <c r="B25" s="447" t="s">
        <v>617</v>
      </c>
      <c r="C25" s="448" t="s">
        <v>1098</v>
      </c>
      <c r="D25" s="449" t="s">
        <v>1099</v>
      </c>
      <c r="E25" s="450" t="s">
        <v>616</v>
      </c>
      <c r="F25" s="451">
        <v>62168680</v>
      </c>
      <c r="G25" s="451">
        <v>0</v>
      </c>
      <c r="H25" s="451">
        <v>391567</v>
      </c>
      <c r="I25" s="451">
        <v>263898</v>
      </c>
      <c r="J25" s="451">
        <v>0</v>
      </c>
      <c r="K25" s="451">
        <v>263898</v>
      </c>
      <c r="L25" s="451">
        <v>0</v>
      </c>
      <c r="M25" s="451">
        <v>0</v>
      </c>
      <c r="N25" s="451">
        <v>0</v>
      </c>
      <c r="O25" s="451">
        <v>0</v>
      </c>
      <c r="P25" s="451">
        <v>0</v>
      </c>
      <c r="Q25" s="451">
        <v>0</v>
      </c>
      <c r="R25" s="451">
        <v>61513215</v>
      </c>
      <c r="S25" s="452" t="s">
        <v>616</v>
      </c>
      <c r="T25" s="453" t="s">
        <v>786</v>
      </c>
      <c r="U25" s="453" t="s">
        <v>774</v>
      </c>
      <c r="V25" s="324"/>
      <c r="W25" s="325"/>
    </row>
    <row r="26" spans="1:23" s="197" customFormat="1" ht="12.75" x14ac:dyDescent="0.2">
      <c r="A26" s="446">
        <v>19</v>
      </c>
      <c r="B26" s="447" t="s">
        <v>619</v>
      </c>
      <c r="C26" s="448" t="s">
        <v>1100</v>
      </c>
      <c r="D26" s="449" t="s">
        <v>1103</v>
      </c>
      <c r="E26" s="450" t="s">
        <v>618</v>
      </c>
      <c r="F26" s="451">
        <v>362105023</v>
      </c>
      <c r="G26" s="451">
        <v>0</v>
      </c>
      <c r="H26" s="451">
        <v>454744</v>
      </c>
      <c r="I26" s="451">
        <v>1925174</v>
      </c>
      <c r="J26" s="451">
        <v>0</v>
      </c>
      <c r="K26" s="451">
        <v>1925174</v>
      </c>
      <c r="L26" s="451">
        <v>0</v>
      </c>
      <c r="M26" s="451">
        <v>270833</v>
      </c>
      <c r="N26" s="451">
        <v>0</v>
      </c>
      <c r="O26" s="451">
        <v>0</v>
      </c>
      <c r="P26" s="451">
        <v>0</v>
      </c>
      <c r="Q26" s="451">
        <v>0</v>
      </c>
      <c r="R26" s="451">
        <v>359454272</v>
      </c>
      <c r="S26" s="452" t="s">
        <v>618</v>
      </c>
      <c r="T26" s="453" t="s">
        <v>787</v>
      </c>
      <c r="U26" s="454" t="s">
        <v>797</v>
      </c>
      <c r="V26" s="324"/>
      <c r="W26" s="325"/>
    </row>
    <row r="27" spans="1:23" s="197" customFormat="1" ht="12.75" x14ac:dyDescent="0.2">
      <c r="A27" s="446">
        <v>20</v>
      </c>
      <c r="B27" s="447" t="s">
        <v>621</v>
      </c>
      <c r="C27" s="448" t="s">
        <v>1093</v>
      </c>
      <c r="D27" s="449" t="s">
        <v>1096</v>
      </c>
      <c r="E27" s="450" t="s">
        <v>620</v>
      </c>
      <c r="F27" s="451">
        <v>36902495</v>
      </c>
      <c r="G27" s="451">
        <v>127587</v>
      </c>
      <c r="H27" s="451">
        <v>0</v>
      </c>
      <c r="I27" s="451">
        <v>101281</v>
      </c>
      <c r="J27" s="451">
        <v>0</v>
      </c>
      <c r="K27" s="451">
        <v>101281</v>
      </c>
      <c r="L27" s="451">
        <v>0</v>
      </c>
      <c r="M27" s="451">
        <v>0</v>
      </c>
      <c r="N27" s="451">
        <v>0</v>
      </c>
      <c r="O27" s="451">
        <v>0</v>
      </c>
      <c r="P27" s="451">
        <v>0</v>
      </c>
      <c r="Q27" s="451">
        <v>0</v>
      </c>
      <c r="R27" s="451">
        <v>36928801</v>
      </c>
      <c r="S27" s="452" t="s">
        <v>620</v>
      </c>
      <c r="T27" s="453" t="s">
        <v>798</v>
      </c>
      <c r="U27" s="454" t="s">
        <v>799</v>
      </c>
      <c r="V27" s="324"/>
      <c r="W27" s="325"/>
    </row>
    <row r="28" spans="1:23" s="197" customFormat="1" ht="12.75" x14ac:dyDescent="0.2">
      <c r="A28" s="446">
        <v>21</v>
      </c>
      <c r="B28" s="447" t="s">
        <v>623</v>
      </c>
      <c r="C28" s="448" t="s">
        <v>794</v>
      </c>
      <c r="D28" s="449" t="s">
        <v>1095</v>
      </c>
      <c r="E28" s="450" t="s">
        <v>709</v>
      </c>
      <c r="F28" s="451">
        <v>42385387</v>
      </c>
      <c r="G28" s="451">
        <v>0</v>
      </c>
      <c r="H28" s="451">
        <v>121638</v>
      </c>
      <c r="I28" s="451">
        <v>252639</v>
      </c>
      <c r="J28" s="451">
        <v>0</v>
      </c>
      <c r="K28" s="451">
        <v>252639</v>
      </c>
      <c r="L28" s="451">
        <v>0</v>
      </c>
      <c r="M28" s="451">
        <v>0</v>
      </c>
      <c r="N28" s="451">
        <v>0</v>
      </c>
      <c r="O28" s="451">
        <v>0</v>
      </c>
      <c r="P28" s="451">
        <v>0</v>
      </c>
      <c r="Q28" s="451">
        <v>0</v>
      </c>
      <c r="R28" s="451">
        <v>42011110</v>
      </c>
      <c r="S28" s="452" t="s">
        <v>709</v>
      </c>
      <c r="T28" s="453" t="s">
        <v>794</v>
      </c>
      <c r="U28" s="454" t="s">
        <v>800</v>
      </c>
      <c r="V28" s="324"/>
      <c r="W28" s="325"/>
    </row>
    <row r="29" spans="1:23" s="197" customFormat="1" ht="12.75" x14ac:dyDescent="0.2">
      <c r="A29" s="446">
        <v>22</v>
      </c>
      <c r="B29" s="447" t="s">
        <v>625</v>
      </c>
      <c r="C29" s="448" t="s">
        <v>794</v>
      </c>
      <c r="D29" s="449" t="s">
        <v>1095</v>
      </c>
      <c r="E29" s="450" t="s">
        <v>710</v>
      </c>
      <c r="F29" s="451">
        <v>43242389</v>
      </c>
      <c r="G29" s="451">
        <v>97075</v>
      </c>
      <c r="H29" s="451">
        <v>0</v>
      </c>
      <c r="I29" s="451">
        <v>279753</v>
      </c>
      <c r="J29" s="451">
        <v>0</v>
      </c>
      <c r="K29" s="451">
        <v>279753</v>
      </c>
      <c r="L29" s="451">
        <v>0</v>
      </c>
      <c r="M29" s="451">
        <v>0</v>
      </c>
      <c r="N29" s="451">
        <v>0</v>
      </c>
      <c r="O29" s="451">
        <v>0</v>
      </c>
      <c r="P29" s="451">
        <v>0</v>
      </c>
      <c r="Q29" s="451">
        <v>0</v>
      </c>
      <c r="R29" s="451">
        <v>43059711</v>
      </c>
      <c r="S29" s="452" t="s">
        <v>710</v>
      </c>
      <c r="T29" s="453" t="s">
        <v>794</v>
      </c>
      <c r="U29" s="454" t="s">
        <v>800</v>
      </c>
      <c r="V29" s="324"/>
      <c r="W29" s="325"/>
    </row>
    <row r="30" spans="1:23" s="197" customFormat="1" ht="12.75" x14ac:dyDescent="0.2">
      <c r="A30" s="446">
        <v>23</v>
      </c>
      <c r="B30" s="447" t="s">
        <v>627</v>
      </c>
      <c r="C30" s="448" t="s">
        <v>1093</v>
      </c>
      <c r="D30" s="449" t="s">
        <v>1096</v>
      </c>
      <c r="E30" s="450" t="s">
        <v>626</v>
      </c>
      <c r="F30" s="451">
        <v>20555015</v>
      </c>
      <c r="G30" s="451">
        <v>0</v>
      </c>
      <c r="H30" s="451">
        <v>85340</v>
      </c>
      <c r="I30" s="451">
        <v>93264</v>
      </c>
      <c r="J30" s="451">
        <v>0</v>
      </c>
      <c r="K30" s="451">
        <v>93264</v>
      </c>
      <c r="L30" s="451">
        <v>0</v>
      </c>
      <c r="M30" s="451">
        <v>0</v>
      </c>
      <c r="N30" s="451">
        <v>0</v>
      </c>
      <c r="O30" s="451">
        <v>0</v>
      </c>
      <c r="P30" s="451">
        <v>0</v>
      </c>
      <c r="Q30" s="451">
        <v>0</v>
      </c>
      <c r="R30" s="451">
        <v>20376411</v>
      </c>
      <c r="S30" s="452" t="s">
        <v>626</v>
      </c>
      <c r="T30" s="453" t="s">
        <v>777</v>
      </c>
      <c r="U30" s="454" t="s">
        <v>778</v>
      </c>
      <c r="V30" s="324"/>
      <c r="W30" s="325"/>
    </row>
    <row r="31" spans="1:23" s="197" customFormat="1" ht="12.75" x14ac:dyDescent="0.2">
      <c r="A31" s="446">
        <v>24</v>
      </c>
      <c r="B31" s="447" t="s">
        <v>629</v>
      </c>
      <c r="C31" s="448" t="s">
        <v>1100</v>
      </c>
      <c r="D31" s="449" t="s">
        <v>1095</v>
      </c>
      <c r="E31" s="450" t="s">
        <v>628</v>
      </c>
      <c r="F31" s="451">
        <v>72354279</v>
      </c>
      <c r="G31" s="451">
        <v>0</v>
      </c>
      <c r="H31" s="451">
        <v>502008</v>
      </c>
      <c r="I31" s="451">
        <v>407353</v>
      </c>
      <c r="J31" s="451">
        <v>0</v>
      </c>
      <c r="K31" s="451">
        <v>407353</v>
      </c>
      <c r="L31" s="451">
        <v>0</v>
      </c>
      <c r="M31" s="451">
        <v>0</v>
      </c>
      <c r="N31" s="451">
        <v>0</v>
      </c>
      <c r="O31" s="451">
        <v>0</v>
      </c>
      <c r="P31" s="451">
        <v>0</v>
      </c>
      <c r="Q31" s="451">
        <v>0</v>
      </c>
      <c r="R31" s="451">
        <v>71444918</v>
      </c>
      <c r="S31" s="452" t="s">
        <v>628</v>
      </c>
      <c r="T31" s="453" t="s">
        <v>787</v>
      </c>
      <c r="U31" s="454" t="s">
        <v>801</v>
      </c>
      <c r="V31" s="324"/>
      <c r="W31" s="325"/>
    </row>
    <row r="32" spans="1:23" s="197" customFormat="1" ht="12.75" x14ac:dyDescent="0.2">
      <c r="A32" s="446">
        <v>25</v>
      </c>
      <c r="B32" s="447" t="s">
        <v>631</v>
      </c>
      <c r="C32" s="448" t="s">
        <v>1093</v>
      </c>
      <c r="D32" s="449" t="s">
        <v>1096</v>
      </c>
      <c r="E32" s="450" t="s">
        <v>630</v>
      </c>
      <c r="F32" s="451">
        <v>16770915</v>
      </c>
      <c r="G32" s="451">
        <v>0</v>
      </c>
      <c r="H32" s="451">
        <v>32033</v>
      </c>
      <c r="I32" s="451">
        <v>87470</v>
      </c>
      <c r="J32" s="451">
        <v>0</v>
      </c>
      <c r="K32" s="451">
        <v>87470</v>
      </c>
      <c r="L32" s="451">
        <v>0</v>
      </c>
      <c r="M32" s="451">
        <v>0</v>
      </c>
      <c r="N32" s="451">
        <v>0</v>
      </c>
      <c r="O32" s="451">
        <v>0</v>
      </c>
      <c r="P32" s="451">
        <v>0</v>
      </c>
      <c r="Q32" s="451">
        <v>0</v>
      </c>
      <c r="R32" s="451">
        <v>16651412</v>
      </c>
      <c r="S32" s="452" t="s">
        <v>630</v>
      </c>
      <c r="T32" s="453" t="s">
        <v>802</v>
      </c>
      <c r="U32" s="454" t="s">
        <v>775</v>
      </c>
      <c r="V32" s="324"/>
      <c r="W32" s="325"/>
    </row>
    <row r="33" spans="1:23" s="197" customFormat="1" ht="12.75" x14ac:dyDescent="0.2">
      <c r="A33" s="446">
        <v>26</v>
      </c>
      <c r="B33" s="447" t="s">
        <v>633</v>
      </c>
      <c r="C33" s="448" t="s">
        <v>794</v>
      </c>
      <c r="D33" s="449" t="s">
        <v>1102</v>
      </c>
      <c r="E33" s="450" t="s">
        <v>711</v>
      </c>
      <c r="F33" s="451">
        <v>60802533</v>
      </c>
      <c r="G33" s="451">
        <v>0</v>
      </c>
      <c r="H33" s="451">
        <v>1145320</v>
      </c>
      <c r="I33" s="451">
        <v>305765</v>
      </c>
      <c r="J33" s="451">
        <v>0</v>
      </c>
      <c r="K33" s="451">
        <v>305765</v>
      </c>
      <c r="L33" s="451">
        <v>0</v>
      </c>
      <c r="M33" s="451">
        <v>0</v>
      </c>
      <c r="N33" s="451">
        <v>0</v>
      </c>
      <c r="O33" s="451">
        <v>360</v>
      </c>
      <c r="P33" s="451">
        <v>360</v>
      </c>
      <c r="Q33" s="451">
        <v>0</v>
      </c>
      <c r="R33" s="451">
        <v>59351088</v>
      </c>
      <c r="S33" s="452" t="s">
        <v>711</v>
      </c>
      <c r="T33" s="453" t="s">
        <v>794</v>
      </c>
      <c r="U33" s="454" t="s">
        <v>803</v>
      </c>
      <c r="V33" s="324"/>
      <c r="W33" s="325"/>
    </row>
    <row r="34" spans="1:23" s="197" customFormat="1" ht="12.75" x14ac:dyDescent="0.2">
      <c r="A34" s="446">
        <v>27</v>
      </c>
      <c r="B34" s="447" t="s">
        <v>635</v>
      </c>
      <c r="C34" s="448" t="s">
        <v>794</v>
      </c>
      <c r="D34" s="449" t="s">
        <v>1094</v>
      </c>
      <c r="E34" s="450" t="s">
        <v>712</v>
      </c>
      <c r="F34" s="451">
        <v>66398242</v>
      </c>
      <c r="G34" s="451">
        <v>0</v>
      </c>
      <c r="H34" s="451">
        <v>871766</v>
      </c>
      <c r="I34" s="451">
        <v>143520</v>
      </c>
      <c r="J34" s="451">
        <v>0</v>
      </c>
      <c r="K34" s="451">
        <v>143520</v>
      </c>
      <c r="L34" s="451">
        <v>0</v>
      </c>
      <c r="M34" s="451">
        <v>0</v>
      </c>
      <c r="N34" s="451">
        <v>0</v>
      </c>
      <c r="O34" s="451">
        <v>730</v>
      </c>
      <c r="P34" s="451">
        <v>730</v>
      </c>
      <c r="Q34" s="451">
        <v>0</v>
      </c>
      <c r="R34" s="451">
        <v>65382226</v>
      </c>
      <c r="S34" s="452" t="s">
        <v>712</v>
      </c>
      <c r="T34" s="453" t="s">
        <v>794</v>
      </c>
      <c r="U34" s="454" t="s">
        <v>804</v>
      </c>
      <c r="V34" s="324"/>
      <c r="W34" s="325"/>
    </row>
    <row r="35" spans="1:23" s="197" customFormat="1" ht="12.75" x14ac:dyDescent="0.2">
      <c r="A35" s="446">
        <v>28</v>
      </c>
      <c r="B35" s="447" t="s">
        <v>637</v>
      </c>
      <c r="C35" s="448" t="s">
        <v>1100</v>
      </c>
      <c r="D35" s="449" t="s">
        <v>1101</v>
      </c>
      <c r="E35" s="450" t="s">
        <v>636</v>
      </c>
      <c r="F35" s="451">
        <v>124277601</v>
      </c>
      <c r="G35" s="451">
        <v>0</v>
      </c>
      <c r="H35" s="451">
        <v>1009179</v>
      </c>
      <c r="I35" s="451">
        <v>734055</v>
      </c>
      <c r="J35" s="451">
        <v>0</v>
      </c>
      <c r="K35" s="451">
        <v>734055</v>
      </c>
      <c r="L35" s="451">
        <v>0</v>
      </c>
      <c r="M35" s="451">
        <v>0</v>
      </c>
      <c r="N35" s="451">
        <v>0</v>
      </c>
      <c r="O35" s="451">
        <v>0</v>
      </c>
      <c r="P35" s="451">
        <v>0</v>
      </c>
      <c r="Q35" s="451">
        <v>0</v>
      </c>
      <c r="R35" s="451">
        <v>122534367</v>
      </c>
      <c r="S35" s="452" t="s">
        <v>636</v>
      </c>
      <c r="T35" s="453" t="s">
        <v>787</v>
      </c>
      <c r="U35" s="454" t="s">
        <v>805</v>
      </c>
      <c r="V35" s="324"/>
      <c r="W35" s="325"/>
    </row>
    <row r="36" spans="1:23" s="197" customFormat="1" ht="12.75" x14ac:dyDescent="0.2">
      <c r="A36" s="446">
        <v>29</v>
      </c>
      <c r="B36" s="447" t="s">
        <v>639</v>
      </c>
      <c r="C36" s="448" t="s">
        <v>1093</v>
      </c>
      <c r="D36" s="449" t="s">
        <v>1097</v>
      </c>
      <c r="E36" s="450" t="s">
        <v>638</v>
      </c>
      <c r="F36" s="451">
        <v>38649110</v>
      </c>
      <c r="G36" s="451">
        <v>2639</v>
      </c>
      <c r="H36" s="451">
        <v>0</v>
      </c>
      <c r="I36" s="451">
        <v>186394</v>
      </c>
      <c r="J36" s="451">
        <v>0</v>
      </c>
      <c r="K36" s="451">
        <v>186394</v>
      </c>
      <c r="L36" s="451">
        <v>0</v>
      </c>
      <c r="M36" s="451">
        <v>0</v>
      </c>
      <c r="N36" s="451">
        <v>0</v>
      </c>
      <c r="O36" s="451">
        <v>0</v>
      </c>
      <c r="P36" s="451">
        <v>0</v>
      </c>
      <c r="Q36" s="451">
        <v>0</v>
      </c>
      <c r="R36" s="451">
        <v>38465355</v>
      </c>
      <c r="S36" s="452" t="s">
        <v>638</v>
      </c>
      <c r="T36" s="453" t="s">
        <v>789</v>
      </c>
      <c r="U36" s="454" t="s">
        <v>790</v>
      </c>
      <c r="V36" s="324"/>
      <c r="W36" s="325"/>
    </row>
    <row r="37" spans="1:23" s="197" customFormat="1" ht="12.75" x14ac:dyDescent="0.2">
      <c r="A37" s="446">
        <v>30</v>
      </c>
      <c r="B37" s="447" t="s">
        <v>641</v>
      </c>
      <c r="C37" s="448" t="s">
        <v>1093</v>
      </c>
      <c r="D37" s="449" t="s">
        <v>1097</v>
      </c>
      <c r="E37" s="450" t="s">
        <v>640</v>
      </c>
      <c r="F37" s="451">
        <v>27305624</v>
      </c>
      <c r="G37" s="451">
        <v>322365</v>
      </c>
      <c r="H37" s="451">
        <v>0</v>
      </c>
      <c r="I37" s="451">
        <v>167038</v>
      </c>
      <c r="J37" s="451">
        <v>0</v>
      </c>
      <c r="K37" s="451">
        <v>167038</v>
      </c>
      <c r="L37" s="451">
        <v>0</v>
      </c>
      <c r="M37" s="451">
        <v>0</v>
      </c>
      <c r="N37" s="451">
        <v>0</v>
      </c>
      <c r="O37" s="451">
        <v>29673</v>
      </c>
      <c r="P37" s="451">
        <v>29673</v>
      </c>
      <c r="Q37" s="451">
        <v>0</v>
      </c>
      <c r="R37" s="451">
        <v>27431278</v>
      </c>
      <c r="S37" s="452" t="s">
        <v>640</v>
      </c>
      <c r="T37" s="453" t="s">
        <v>806</v>
      </c>
      <c r="U37" s="454" t="s">
        <v>775</v>
      </c>
      <c r="V37" s="324"/>
      <c r="W37" s="325"/>
    </row>
    <row r="38" spans="1:23" s="197" customFormat="1" ht="12.75" x14ac:dyDescent="0.2">
      <c r="A38" s="446">
        <v>31</v>
      </c>
      <c r="B38" s="447" t="s">
        <v>643</v>
      </c>
      <c r="C38" s="448" t="s">
        <v>1098</v>
      </c>
      <c r="D38" s="449" t="s">
        <v>1099</v>
      </c>
      <c r="E38" s="450" t="s">
        <v>642</v>
      </c>
      <c r="F38" s="451">
        <v>101517639</v>
      </c>
      <c r="G38" s="451">
        <v>72046</v>
      </c>
      <c r="H38" s="451">
        <v>0</v>
      </c>
      <c r="I38" s="451">
        <v>416951</v>
      </c>
      <c r="J38" s="451">
        <v>0</v>
      </c>
      <c r="K38" s="451">
        <v>416951</v>
      </c>
      <c r="L38" s="451">
        <v>0</v>
      </c>
      <c r="M38" s="451">
        <v>0</v>
      </c>
      <c r="N38" s="451">
        <v>0</v>
      </c>
      <c r="O38" s="451">
        <v>0</v>
      </c>
      <c r="P38" s="451">
        <v>0</v>
      </c>
      <c r="Q38" s="451">
        <v>0</v>
      </c>
      <c r="R38" s="451">
        <v>101172734</v>
      </c>
      <c r="S38" s="452" t="s">
        <v>642</v>
      </c>
      <c r="T38" s="453" t="s">
        <v>786</v>
      </c>
      <c r="U38" s="453" t="s">
        <v>774</v>
      </c>
      <c r="V38" s="324"/>
      <c r="W38" s="325"/>
    </row>
    <row r="39" spans="1:23" s="197" customFormat="1" ht="12.75" x14ac:dyDescent="0.2">
      <c r="A39" s="446">
        <v>32</v>
      </c>
      <c r="B39" s="447" t="s">
        <v>645</v>
      </c>
      <c r="C39" s="448" t="s">
        <v>1093</v>
      </c>
      <c r="D39" s="449" t="s">
        <v>1097</v>
      </c>
      <c r="E39" s="450" t="s">
        <v>644</v>
      </c>
      <c r="F39" s="451">
        <v>26918621</v>
      </c>
      <c r="G39" s="451">
        <v>0</v>
      </c>
      <c r="H39" s="451">
        <v>108564</v>
      </c>
      <c r="I39" s="451">
        <v>104553</v>
      </c>
      <c r="J39" s="451">
        <v>0</v>
      </c>
      <c r="K39" s="451">
        <v>104553</v>
      </c>
      <c r="L39" s="451">
        <v>0</v>
      </c>
      <c r="M39" s="451">
        <v>0</v>
      </c>
      <c r="N39" s="451">
        <v>0</v>
      </c>
      <c r="O39" s="451">
        <v>0</v>
      </c>
      <c r="P39" s="451">
        <v>0</v>
      </c>
      <c r="Q39" s="451">
        <v>0</v>
      </c>
      <c r="R39" s="451">
        <v>26705504</v>
      </c>
      <c r="S39" s="452" t="s">
        <v>644</v>
      </c>
      <c r="T39" s="453" t="s">
        <v>789</v>
      </c>
      <c r="U39" s="454" t="s">
        <v>790</v>
      </c>
      <c r="V39" s="324"/>
      <c r="W39" s="325"/>
    </row>
    <row r="40" spans="1:23" s="197" customFormat="1" ht="12.75" x14ac:dyDescent="0.2">
      <c r="A40" s="446">
        <v>33</v>
      </c>
      <c r="B40" s="447" t="s">
        <v>647</v>
      </c>
      <c r="C40" s="448" t="s">
        <v>794</v>
      </c>
      <c r="D40" s="449" t="s">
        <v>1094</v>
      </c>
      <c r="E40" s="450" t="s">
        <v>1111</v>
      </c>
      <c r="F40" s="451">
        <v>98258731</v>
      </c>
      <c r="G40" s="451">
        <v>0</v>
      </c>
      <c r="H40" s="451">
        <v>301034</v>
      </c>
      <c r="I40" s="451">
        <v>417809</v>
      </c>
      <c r="J40" s="451">
        <v>0</v>
      </c>
      <c r="K40" s="451">
        <v>417809</v>
      </c>
      <c r="L40" s="451">
        <v>0</v>
      </c>
      <c r="M40" s="451">
        <v>0</v>
      </c>
      <c r="N40" s="451">
        <v>0</v>
      </c>
      <c r="O40" s="451">
        <v>0</v>
      </c>
      <c r="P40" s="451">
        <v>0</v>
      </c>
      <c r="Q40" s="451">
        <v>0</v>
      </c>
      <c r="R40" s="451">
        <v>97539888</v>
      </c>
      <c r="S40" s="452" t="s">
        <v>807</v>
      </c>
      <c r="T40" s="453" t="s">
        <v>794</v>
      </c>
      <c r="U40" s="454" t="s">
        <v>808</v>
      </c>
      <c r="V40" s="324"/>
      <c r="W40" s="325"/>
    </row>
    <row r="41" spans="1:23" s="197" customFormat="1" ht="12.75" x14ac:dyDescent="0.2">
      <c r="A41" s="446">
        <v>34</v>
      </c>
      <c r="B41" s="447" t="s">
        <v>649</v>
      </c>
      <c r="C41" s="448" t="s">
        <v>794</v>
      </c>
      <c r="D41" s="449" t="s">
        <v>1102</v>
      </c>
      <c r="E41" s="450" t="s">
        <v>648</v>
      </c>
      <c r="F41" s="451">
        <v>190125436</v>
      </c>
      <c r="G41" s="451">
        <v>2172744</v>
      </c>
      <c r="H41" s="451">
        <v>0</v>
      </c>
      <c r="I41" s="451">
        <v>720617</v>
      </c>
      <c r="J41" s="451">
        <v>0</v>
      </c>
      <c r="K41" s="451">
        <v>720617</v>
      </c>
      <c r="L41" s="451">
        <v>0</v>
      </c>
      <c r="M41" s="451">
        <v>0</v>
      </c>
      <c r="N41" s="451">
        <v>0</v>
      </c>
      <c r="O41" s="451">
        <v>221</v>
      </c>
      <c r="P41" s="451">
        <v>221</v>
      </c>
      <c r="Q41" s="451">
        <v>0</v>
      </c>
      <c r="R41" s="451">
        <v>191577342</v>
      </c>
      <c r="S41" s="452" t="s">
        <v>809</v>
      </c>
      <c r="T41" s="453" t="s">
        <v>794</v>
      </c>
      <c r="U41" s="454" t="s">
        <v>795</v>
      </c>
      <c r="V41" s="324"/>
      <c r="W41" s="325"/>
    </row>
    <row r="42" spans="1:23" s="197" customFormat="1" ht="12.75" x14ac:dyDescent="0.2">
      <c r="A42" s="446">
        <v>35</v>
      </c>
      <c r="B42" s="447" t="s">
        <v>651</v>
      </c>
      <c r="C42" s="448" t="s">
        <v>1093</v>
      </c>
      <c r="D42" s="449" t="s">
        <v>1097</v>
      </c>
      <c r="E42" s="450" t="s">
        <v>650</v>
      </c>
      <c r="F42" s="451">
        <v>28928828</v>
      </c>
      <c r="G42" s="451">
        <v>0</v>
      </c>
      <c r="H42" s="451">
        <v>277283</v>
      </c>
      <c r="I42" s="451">
        <v>136365</v>
      </c>
      <c r="J42" s="451">
        <v>0</v>
      </c>
      <c r="K42" s="451">
        <v>136365</v>
      </c>
      <c r="L42" s="451">
        <v>0</v>
      </c>
      <c r="M42" s="451">
        <v>0</v>
      </c>
      <c r="N42" s="451">
        <v>0</v>
      </c>
      <c r="O42" s="451">
        <v>0</v>
      </c>
      <c r="P42" s="451">
        <v>0</v>
      </c>
      <c r="Q42" s="451">
        <v>0</v>
      </c>
      <c r="R42" s="451">
        <v>28515180</v>
      </c>
      <c r="S42" s="452" t="s">
        <v>650</v>
      </c>
      <c r="T42" s="453" t="s">
        <v>806</v>
      </c>
      <c r="U42" s="454" t="s">
        <v>775</v>
      </c>
      <c r="V42" s="324"/>
      <c r="W42" s="325"/>
    </row>
    <row r="43" spans="1:23" s="197" customFormat="1" ht="12.75" x14ac:dyDescent="0.2">
      <c r="A43" s="446">
        <v>36</v>
      </c>
      <c r="B43" s="447" t="s">
        <v>653</v>
      </c>
      <c r="C43" s="448" t="s">
        <v>1098</v>
      </c>
      <c r="D43" s="449" t="s">
        <v>1099</v>
      </c>
      <c r="E43" s="450" t="s">
        <v>652</v>
      </c>
      <c r="F43" s="451">
        <v>82968502</v>
      </c>
      <c r="G43" s="451">
        <v>0</v>
      </c>
      <c r="H43" s="451">
        <v>376044</v>
      </c>
      <c r="I43" s="451">
        <v>347530</v>
      </c>
      <c r="J43" s="451">
        <v>0</v>
      </c>
      <c r="K43" s="451">
        <v>347530</v>
      </c>
      <c r="L43" s="451">
        <v>0</v>
      </c>
      <c r="M43" s="451">
        <v>0</v>
      </c>
      <c r="N43" s="451">
        <v>0</v>
      </c>
      <c r="O43" s="451">
        <v>0</v>
      </c>
      <c r="P43" s="451">
        <v>0</v>
      </c>
      <c r="Q43" s="451">
        <v>0</v>
      </c>
      <c r="R43" s="451">
        <v>82244928</v>
      </c>
      <c r="S43" s="452" t="s">
        <v>652</v>
      </c>
      <c r="T43" s="453" t="s">
        <v>786</v>
      </c>
      <c r="U43" s="453" t="s">
        <v>774</v>
      </c>
      <c r="V43" s="324"/>
      <c r="W43" s="325"/>
    </row>
    <row r="44" spans="1:23" s="197" customFormat="1" ht="12.75" x14ac:dyDescent="0.2">
      <c r="A44" s="446">
        <v>37</v>
      </c>
      <c r="B44" s="447" t="s">
        <v>655</v>
      </c>
      <c r="C44" s="448" t="s">
        <v>1093</v>
      </c>
      <c r="D44" s="449" t="s">
        <v>1103</v>
      </c>
      <c r="E44" s="450" t="s">
        <v>654</v>
      </c>
      <c r="F44" s="451">
        <v>25301394</v>
      </c>
      <c r="G44" s="451">
        <v>0</v>
      </c>
      <c r="H44" s="451">
        <v>218888</v>
      </c>
      <c r="I44" s="451">
        <v>124548</v>
      </c>
      <c r="J44" s="451">
        <v>0</v>
      </c>
      <c r="K44" s="451">
        <v>124548</v>
      </c>
      <c r="L44" s="451">
        <v>0</v>
      </c>
      <c r="M44" s="451">
        <v>0</v>
      </c>
      <c r="N44" s="451">
        <v>0</v>
      </c>
      <c r="O44" s="451">
        <v>0</v>
      </c>
      <c r="P44" s="451">
        <v>0</v>
      </c>
      <c r="Q44" s="451">
        <v>0</v>
      </c>
      <c r="R44" s="451">
        <v>24957958</v>
      </c>
      <c r="S44" s="452" t="s">
        <v>654</v>
      </c>
      <c r="T44" s="453" t="s">
        <v>810</v>
      </c>
      <c r="U44" s="454" t="s">
        <v>811</v>
      </c>
      <c r="V44" s="324"/>
      <c r="W44" s="325"/>
    </row>
    <row r="45" spans="1:23" s="197" customFormat="1" ht="12.75" x14ac:dyDescent="0.2">
      <c r="A45" s="446">
        <v>38</v>
      </c>
      <c r="B45" s="447" t="s">
        <v>657</v>
      </c>
      <c r="C45" s="448" t="s">
        <v>1093</v>
      </c>
      <c r="D45" s="449" t="s">
        <v>1097</v>
      </c>
      <c r="E45" s="450" t="s">
        <v>656</v>
      </c>
      <c r="F45" s="451">
        <v>37746624</v>
      </c>
      <c r="G45" s="451">
        <v>955474</v>
      </c>
      <c r="H45" s="451">
        <v>0</v>
      </c>
      <c r="I45" s="451">
        <v>116696</v>
      </c>
      <c r="J45" s="451">
        <v>0</v>
      </c>
      <c r="K45" s="451">
        <v>116696</v>
      </c>
      <c r="L45" s="451">
        <v>0</v>
      </c>
      <c r="M45" s="451">
        <v>0</v>
      </c>
      <c r="N45" s="451">
        <v>0</v>
      </c>
      <c r="O45" s="451">
        <v>0</v>
      </c>
      <c r="P45" s="451">
        <v>0</v>
      </c>
      <c r="Q45" s="451">
        <v>0</v>
      </c>
      <c r="R45" s="451">
        <v>38585402</v>
      </c>
      <c r="S45" s="452" t="s">
        <v>656</v>
      </c>
      <c r="T45" s="453" t="s">
        <v>812</v>
      </c>
      <c r="U45" s="454" t="s">
        <v>775</v>
      </c>
      <c r="V45" s="324"/>
      <c r="W45" s="325"/>
    </row>
    <row r="46" spans="1:23" s="197" customFormat="1" ht="12.75" x14ac:dyDescent="0.2">
      <c r="A46" s="446">
        <v>39</v>
      </c>
      <c r="B46" s="447" t="s">
        <v>659</v>
      </c>
      <c r="C46" s="448" t="s">
        <v>1093</v>
      </c>
      <c r="D46" s="449" t="s">
        <v>1096</v>
      </c>
      <c r="E46" s="450" t="s">
        <v>658</v>
      </c>
      <c r="F46" s="451">
        <v>22756880</v>
      </c>
      <c r="G46" s="451">
        <v>0</v>
      </c>
      <c r="H46" s="451">
        <v>111699</v>
      </c>
      <c r="I46" s="451">
        <v>108209</v>
      </c>
      <c r="J46" s="451">
        <v>0</v>
      </c>
      <c r="K46" s="451">
        <v>108209</v>
      </c>
      <c r="L46" s="451">
        <v>0</v>
      </c>
      <c r="M46" s="451">
        <v>0</v>
      </c>
      <c r="N46" s="451">
        <v>0</v>
      </c>
      <c r="O46" s="451">
        <v>0</v>
      </c>
      <c r="P46" s="451">
        <v>0</v>
      </c>
      <c r="Q46" s="451">
        <v>0</v>
      </c>
      <c r="R46" s="451">
        <v>22536972</v>
      </c>
      <c r="S46" s="452" t="s">
        <v>658</v>
      </c>
      <c r="T46" s="453" t="s">
        <v>779</v>
      </c>
      <c r="U46" s="454" t="s">
        <v>780</v>
      </c>
      <c r="V46" s="324"/>
      <c r="W46" s="325"/>
    </row>
    <row r="47" spans="1:23" s="197" customFormat="1" ht="12.75" x14ac:dyDescent="0.2">
      <c r="A47" s="446">
        <v>40</v>
      </c>
      <c r="B47" s="447" t="s">
        <v>661</v>
      </c>
      <c r="C47" s="448" t="s">
        <v>1093</v>
      </c>
      <c r="D47" s="449" t="s">
        <v>1095</v>
      </c>
      <c r="E47" s="450" t="s">
        <v>660</v>
      </c>
      <c r="F47" s="451">
        <v>25693691</v>
      </c>
      <c r="G47" s="451">
        <v>40086</v>
      </c>
      <c r="H47" s="451">
        <v>0</v>
      </c>
      <c r="I47" s="451">
        <v>147506</v>
      </c>
      <c r="J47" s="451">
        <v>0</v>
      </c>
      <c r="K47" s="451">
        <v>147506</v>
      </c>
      <c r="L47" s="451">
        <v>0</v>
      </c>
      <c r="M47" s="451">
        <v>0</v>
      </c>
      <c r="N47" s="451">
        <v>0</v>
      </c>
      <c r="O47" s="451">
        <v>0</v>
      </c>
      <c r="P47" s="451">
        <v>0</v>
      </c>
      <c r="Q47" s="451">
        <v>0</v>
      </c>
      <c r="R47" s="451">
        <v>25586271</v>
      </c>
      <c r="S47" s="452" t="s">
        <v>660</v>
      </c>
      <c r="T47" s="453" t="s">
        <v>813</v>
      </c>
      <c r="U47" s="454" t="s">
        <v>800</v>
      </c>
      <c r="V47" s="324"/>
      <c r="W47" s="325"/>
    </row>
    <row r="48" spans="1:23" s="197" customFormat="1" ht="12.75" x14ac:dyDescent="0.2">
      <c r="A48" s="446">
        <v>41</v>
      </c>
      <c r="B48" s="447" t="s">
        <v>663</v>
      </c>
      <c r="C48" s="448" t="s">
        <v>1100</v>
      </c>
      <c r="D48" s="449" t="s">
        <v>1095</v>
      </c>
      <c r="E48" s="450" t="s">
        <v>662</v>
      </c>
      <c r="F48" s="451">
        <v>47252304</v>
      </c>
      <c r="G48" s="451">
        <v>6825</v>
      </c>
      <c r="H48" s="451">
        <v>0</v>
      </c>
      <c r="I48" s="451">
        <v>240185</v>
      </c>
      <c r="J48" s="451">
        <v>0</v>
      </c>
      <c r="K48" s="451">
        <v>240185</v>
      </c>
      <c r="L48" s="451">
        <v>0</v>
      </c>
      <c r="M48" s="451">
        <v>0</v>
      </c>
      <c r="N48" s="451">
        <v>0</v>
      </c>
      <c r="O48" s="451">
        <v>0</v>
      </c>
      <c r="P48" s="451">
        <v>0</v>
      </c>
      <c r="Q48" s="451">
        <v>0</v>
      </c>
      <c r="R48" s="451">
        <v>47018944</v>
      </c>
      <c r="S48" s="452" t="s">
        <v>662</v>
      </c>
      <c r="T48" s="453" t="s">
        <v>787</v>
      </c>
      <c r="U48" s="454" t="s">
        <v>801</v>
      </c>
      <c r="V48" s="324"/>
      <c r="W48" s="325"/>
    </row>
    <row r="49" spans="1:23" s="197" customFormat="1" ht="12.75" x14ac:dyDescent="0.2">
      <c r="A49" s="446">
        <v>42</v>
      </c>
      <c r="B49" s="447" t="s">
        <v>665</v>
      </c>
      <c r="C49" s="448" t="s">
        <v>1100</v>
      </c>
      <c r="D49" s="449" t="s">
        <v>1101</v>
      </c>
      <c r="E49" s="450" t="s">
        <v>664</v>
      </c>
      <c r="F49" s="451">
        <v>56081897</v>
      </c>
      <c r="G49" s="451">
        <v>0</v>
      </c>
      <c r="H49" s="451">
        <v>176987</v>
      </c>
      <c r="I49" s="451">
        <v>350658</v>
      </c>
      <c r="J49" s="451">
        <v>0</v>
      </c>
      <c r="K49" s="451">
        <v>350658</v>
      </c>
      <c r="L49" s="451">
        <v>0</v>
      </c>
      <c r="M49" s="451">
        <v>0</v>
      </c>
      <c r="N49" s="451">
        <v>0</v>
      </c>
      <c r="O49" s="451">
        <v>0</v>
      </c>
      <c r="P49" s="451">
        <v>0</v>
      </c>
      <c r="Q49" s="451">
        <v>0</v>
      </c>
      <c r="R49" s="451">
        <v>55554252</v>
      </c>
      <c r="S49" s="452" t="s">
        <v>664</v>
      </c>
      <c r="T49" s="453" t="s">
        <v>787</v>
      </c>
      <c r="U49" s="454" t="s">
        <v>805</v>
      </c>
      <c r="V49" s="324" t="s">
        <v>1120</v>
      </c>
      <c r="W49" s="325"/>
    </row>
    <row r="50" spans="1:23" s="197" customFormat="1" ht="12.75" x14ac:dyDescent="0.2">
      <c r="A50" s="446">
        <v>43</v>
      </c>
      <c r="B50" s="447" t="s">
        <v>667</v>
      </c>
      <c r="C50" s="448" t="s">
        <v>1093</v>
      </c>
      <c r="D50" s="449" t="s">
        <v>1097</v>
      </c>
      <c r="E50" s="450" t="s">
        <v>666</v>
      </c>
      <c r="F50" s="451">
        <v>85441520</v>
      </c>
      <c r="G50" s="451">
        <v>0</v>
      </c>
      <c r="H50" s="451">
        <v>453739</v>
      </c>
      <c r="I50" s="451">
        <v>227587</v>
      </c>
      <c r="J50" s="451">
        <v>0</v>
      </c>
      <c r="K50" s="451">
        <v>227587</v>
      </c>
      <c r="L50" s="451">
        <v>0</v>
      </c>
      <c r="M50" s="451">
        <v>0</v>
      </c>
      <c r="N50" s="451">
        <v>0</v>
      </c>
      <c r="O50" s="451">
        <v>0</v>
      </c>
      <c r="P50" s="451">
        <v>0</v>
      </c>
      <c r="Q50" s="451">
        <v>0</v>
      </c>
      <c r="R50" s="451">
        <v>84760194</v>
      </c>
      <c r="S50" s="452" t="s">
        <v>666</v>
      </c>
      <c r="T50" s="453" t="s">
        <v>814</v>
      </c>
      <c r="U50" s="454" t="s">
        <v>815</v>
      </c>
      <c r="V50" s="324"/>
      <c r="W50" s="325"/>
    </row>
    <row r="51" spans="1:23" s="197" customFormat="1" ht="12.75" x14ac:dyDescent="0.2">
      <c r="A51" s="446">
        <v>44</v>
      </c>
      <c r="B51" s="447" t="s">
        <v>669</v>
      </c>
      <c r="C51" s="448" t="s">
        <v>1104</v>
      </c>
      <c r="D51" s="449" t="s">
        <v>1099</v>
      </c>
      <c r="E51" s="450" t="s">
        <v>668</v>
      </c>
      <c r="F51" s="451">
        <v>459166477</v>
      </c>
      <c r="G51" s="451">
        <v>0</v>
      </c>
      <c r="H51" s="451">
        <v>4635783</v>
      </c>
      <c r="I51" s="451">
        <v>1202147</v>
      </c>
      <c r="J51" s="451">
        <v>0</v>
      </c>
      <c r="K51" s="451">
        <v>1202147</v>
      </c>
      <c r="L51" s="451">
        <v>0</v>
      </c>
      <c r="M51" s="451">
        <v>0</v>
      </c>
      <c r="N51" s="451">
        <v>0</v>
      </c>
      <c r="O51" s="451">
        <v>0</v>
      </c>
      <c r="P51" s="451">
        <v>0</v>
      </c>
      <c r="Q51" s="451">
        <v>0</v>
      </c>
      <c r="R51" s="451">
        <v>453328547</v>
      </c>
      <c r="S51" s="452" t="s">
        <v>668</v>
      </c>
      <c r="T51" s="453" t="s">
        <v>786</v>
      </c>
      <c r="U51" s="453" t="s">
        <v>774</v>
      </c>
      <c r="V51" s="324"/>
      <c r="W51" s="325"/>
    </row>
    <row r="52" spans="1:23" s="197" customFormat="1" ht="12.75" x14ac:dyDescent="0.2">
      <c r="A52" s="446">
        <v>45</v>
      </c>
      <c r="B52" s="447" t="s">
        <v>671</v>
      </c>
      <c r="C52" s="448" t="s">
        <v>1093</v>
      </c>
      <c r="D52" s="449" t="s">
        <v>1103</v>
      </c>
      <c r="E52" s="450" t="s">
        <v>670</v>
      </c>
      <c r="F52" s="451">
        <v>31602926</v>
      </c>
      <c r="G52" s="451">
        <v>908972</v>
      </c>
      <c r="H52" s="451">
        <v>0</v>
      </c>
      <c r="I52" s="451">
        <v>138250</v>
      </c>
      <c r="J52" s="451">
        <v>0</v>
      </c>
      <c r="K52" s="451">
        <v>138250</v>
      </c>
      <c r="L52" s="451">
        <v>0</v>
      </c>
      <c r="M52" s="451">
        <v>0</v>
      </c>
      <c r="N52" s="451">
        <v>0</v>
      </c>
      <c r="O52" s="451">
        <v>0</v>
      </c>
      <c r="P52" s="451">
        <v>0</v>
      </c>
      <c r="Q52" s="451">
        <v>0</v>
      </c>
      <c r="R52" s="451">
        <v>32373648</v>
      </c>
      <c r="S52" s="452" t="s">
        <v>670</v>
      </c>
      <c r="T52" s="453" t="s">
        <v>816</v>
      </c>
      <c r="U52" s="454" t="s">
        <v>817</v>
      </c>
      <c r="V52" s="324"/>
      <c r="W52" s="325"/>
    </row>
    <row r="53" spans="1:23" s="197" customFormat="1" ht="12.75" x14ac:dyDescent="0.2">
      <c r="A53" s="446">
        <v>46</v>
      </c>
      <c r="B53" s="447" t="s">
        <v>673</v>
      </c>
      <c r="C53" s="448" t="s">
        <v>1093</v>
      </c>
      <c r="D53" s="449" t="s">
        <v>1094</v>
      </c>
      <c r="E53" s="450" t="s">
        <v>672</v>
      </c>
      <c r="F53" s="451">
        <v>49813433</v>
      </c>
      <c r="G53" s="451">
        <v>0</v>
      </c>
      <c r="H53" s="451">
        <v>104466</v>
      </c>
      <c r="I53" s="451">
        <v>229695</v>
      </c>
      <c r="J53" s="451">
        <v>0</v>
      </c>
      <c r="K53" s="451">
        <v>229695</v>
      </c>
      <c r="L53" s="451">
        <v>0</v>
      </c>
      <c r="M53" s="451">
        <v>0</v>
      </c>
      <c r="N53" s="451">
        <v>0</v>
      </c>
      <c r="O53" s="451">
        <v>0</v>
      </c>
      <c r="P53" s="451">
        <v>0</v>
      </c>
      <c r="Q53" s="451">
        <v>0</v>
      </c>
      <c r="R53" s="451">
        <v>49479272</v>
      </c>
      <c r="S53" s="452" t="s">
        <v>672</v>
      </c>
      <c r="T53" s="453" t="s">
        <v>781</v>
      </c>
      <c r="U53" s="454" t="s">
        <v>782</v>
      </c>
      <c r="V53" s="324"/>
      <c r="W53" s="325"/>
    </row>
    <row r="54" spans="1:23" s="197" customFormat="1" ht="12.75" x14ac:dyDescent="0.2">
      <c r="A54" s="446">
        <v>47</v>
      </c>
      <c r="B54" s="447" t="s">
        <v>675</v>
      </c>
      <c r="C54" s="448" t="s">
        <v>1093</v>
      </c>
      <c r="D54" s="449" t="s">
        <v>1095</v>
      </c>
      <c r="E54" s="450" t="s">
        <v>674</v>
      </c>
      <c r="F54" s="451">
        <v>38823098</v>
      </c>
      <c r="G54" s="451">
        <v>0</v>
      </c>
      <c r="H54" s="451">
        <v>138140</v>
      </c>
      <c r="I54" s="451">
        <v>180543</v>
      </c>
      <c r="J54" s="451">
        <v>0</v>
      </c>
      <c r="K54" s="451">
        <v>180543</v>
      </c>
      <c r="L54" s="451">
        <v>0</v>
      </c>
      <c r="M54" s="451">
        <v>0</v>
      </c>
      <c r="N54" s="451">
        <v>0</v>
      </c>
      <c r="O54" s="451">
        <v>0</v>
      </c>
      <c r="P54" s="451">
        <v>0</v>
      </c>
      <c r="Q54" s="451">
        <v>0</v>
      </c>
      <c r="R54" s="451">
        <v>38504415</v>
      </c>
      <c r="S54" s="452" t="s">
        <v>674</v>
      </c>
      <c r="T54" s="453" t="s">
        <v>776</v>
      </c>
      <c r="U54" s="454" t="s">
        <v>775</v>
      </c>
      <c r="V54" s="324"/>
      <c r="W54" s="325"/>
    </row>
    <row r="55" spans="1:23" s="197" customFormat="1" ht="12.75" x14ac:dyDescent="0.2">
      <c r="A55" s="446">
        <v>48</v>
      </c>
      <c r="B55" s="447" t="s">
        <v>677</v>
      </c>
      <c r="C55" s="448" t="s">
        <v>1093</v>
      </c>
      <c r="D55" s="449" t="s">
        <v>1097</v>
      </c>
      <c r="E55" s="450" t="s">
        <v>676</v>
      </c>
      <c r="F55" s="451">
        <v>14422756</v>
      </c>
      <c r="G55" s="451">
        <v>113858</v>
      </c>
      <c r="H55" s="451">
        <v>0</v>
      </c>
      <c r="I55" s="451">
        <v>81864</v>
      </c>
      <c r="J55" s="451">
        <v>0</v>
      </c>
      <c r="K55" s="451">
        <v>81864</v>
      </c>
      <c r="L55" s="451">
        <v>0</v>
      </c>
      <c r="M55" s="451">
        <v>0</v>
      </c>
      <c r="N55" s="451">
        <v>0</v>
      </c>
      <c r="O55" s="451">
        <v>0</v>
      </c>
      <c r="P55" s="451">
        <v>0</v>
      </c>
      <c r="Q55" s="451">
        <v>0</v>
      </c>
      <c r="R55" s="451">
        <v>14454750</v>
      </c>
      <c r="S55" s="452" t="s">
        <v>676</v>
      </c>
      <c r="T55" s="453" t="s">
        <v>789</v>
      </c>
      <c r="U55" s="454" t="s">
        <v>790</v>
      </c>
      <c r="V55" s="324"/>
      <c r="W55" s="325"/>
    </row>
    <row r="56" spans="1:23" s="197" customFormat="1" ht="12.75" x14ac:dyDescent="0.2">
      <c r="A56" s="446">
        <v>49</v>
      </c>
      <c r="B56" s="447" t="s">
        <v>679</v>
      </c>
      <c r="C56" s="448" t="s">
        <v>794</v>
      </c>
      <c r="D56" s="449" t="s">
        <v>1097</v>
      </c>
      <c r="E56" s="450" t="s">
        <v>678</v>
      </c>
      <c r="F56" s="451">
        <v>71556743</v>
      </c>
      <c r="G56" s="451">
        <v>194039</v>
      </c>
      <c r="H56" s="451">
        <v>0</v>
      </c>
      <c r="I56" s="451">
        <v>315029</v>
      </c>
      <c r="J56" s="451">
        <v>0</v>
      </c>
      <c r="K56" s="451">
        <v>315029</v>
      </c>
      <c r="L56" s="451">
        <v>0</v>
      </c>
      <c r="M56" s="451">
        <v>0</v>
      </c>
      <c r="N56" s="451">
        <v>0</v>
      </c>
      <c r="O56" s="451">
        <v>0</v>
      </c>
      <c r="P56" s="451">
        <v>0</v>
      </c>
      <c r="Q56" s="451">
        <v>0</v>
      </c>
      <c r="R56" s="451">
        <v>71435753</v>
      </c>
      <c r="S56" s="453" t="s">
        <v>678</v>
      </c>
      <c r="T56" s="453" t="s">
        <v>794</v>
      </c>
      <c r="U56" s="454" t="s">
        <v>796</v>
      </c>
      <c r="V56" s="324"/>
      <c r="W56" s="325"/>
    </row>
    <row r="57" spans="1:23" s="197" customFormat="1" ht="12.75" x14ac:dyDescent="0.2">
      <c r="A57" s="446">
        <v>50</v>
      </c>
      <c r="B57" s="447" t="s">
        <v>681</v>
      </c>
      <c r="C57" s="448" t="s">
        <v>1093</v>
      </c>
      <c r="D57" s="449" t="s">
        <v>1096</v>
      </c>
      <c r="E57" s="450" t="s">
        <v>680</v>
      </c>
      <c r="F57" s="451">
        <v>40456769</v>
      </c>
      <c r="G57" s="451">
        <v>8316</v>
      </c>
      <c r="H57" s="451">
        <v>0</v>
      </c>
      <c r="I57" s="451">
        <v>194292</v>
      </c>
      <c r="J57" s="451">
        <v>0</v>
      </c>
      <c r="K57" s="451">
        <v>194292</v>
      </c>
      <c r="L57" s="451">
        <v>0</v>
      </c>
      <c r="M57" s="451">
        <v>0</v>
      </c>
      <c r="N57" s="451">
        <v>0</v>
      </c>
      <c r="O57" s="451">
        <v>121606</v>
      </c>
      <c r="P57" s="451">
        <v>121606</v>
      </c>
      <c r="Q57" s="451">
        <v>0</v>
      </c>
      <c r="R57" s="451">
        <v>40149187</v>
      </c>
      <c r="S57" s="452" t="s">
        <v>680</v>
      </c>
      <c r="T57" s="453" t="s">
        <v>798</v>
      </c>
      <c r="U57" s="454" t="s">
        <v>799</v>
      </c>
      <c r="V57" s="324"/>
      <c r="W57" s="325"/>
    </row>
    <row r="58" spans="1:23" s="197" customFormat="1" ht="12.75" x14ac:dyDescent="0.2">
      <c r="A58" s="446">
        <v>51</v>
      </c>
      <c r="B58" s="447" t="s">
        <v>683</v>
      </c>
      <c r="C58" s="448" t="s">
        <v>1093</v>
      </c>
      <c r="D58" s="449" t="s">
        <v>1097</v>
      </c>
      <c r="E58" s="450" t="s">
        <v>682</v>
      </c>
      <c r="F58" s="451">
        <v>72499066</v>
      </c>
      <c r="G58" s="451">
        <v>0</v>
      </c>
      <c r="H58" s="451">
        <v>233914</v>
      </c>
      <c r="I58" s="451">
        <v>224329</v>
      </c>
      <c r="J58" s="451">
        <v>0</v>
      </c>
      <c r="K58" s="451">
        <v>224329</v>
      </c>
      <c r="L58" s="451">
        <v>0</v>
      </c>
      <c r="M58" s="451">
        <v>0</v>
      </c>
      <c r="N58" s="451">
        <v>0</v>
      </c>
      <c r="O58" s="451">
        <v>0</v>
      </c>
      <c r="P58" s="451">
        <v>0</v>
      </c>
      <c r="Q58" s="451">
        <v>0</v>
      </c>
      <c r="R58" s="451">
        <v>72040823</v>
      </c>
      <c r="S58" s="452" t="s">
        <v>682</v>
      </c>
      <c r="T58" s="453" t="s">
        <v>789</v>
      </c>
      <c r="U58" s="454" t="s">
        <v>790</v>
      </c>
      <c r="V58" s="324"/>
      <c r="W58" s="325"/>
    </row>
    <row r="59" spans="1:23" s="197" customFormat="1" ht="12.75" x14ac:dyDescent="0.2">
      <c r="A59" s="446">
        <v>52</v>
      </c>
      <c r="B59" s="447" t="s">
        <v>685</v>
      </c>
      <c r="C59" s="448" t="s">
        <v>1093</v>
      </c>
      <c r="D59" s="449" t="s">
        <v>1102</v>
      </c>
      <c r="E59" s="450" t="s">
        <v>684</v>
      </c>
      <c r="F59" s="451">
        <v>52703047</v>
      </c>
      <c r="G59" s="451">
        <v>0</v>
      </c>
      <c r="H59" s="451">
        <v>143840</v>
      </c>
      <c r="I59" s="451">
        <v>183813</v>
      </c>
      <c r="J59" s="451">
        <v>0</v>
      </c>
      <c r="K59" s="451">
        <v>183813</v>
      </c>
      <c r="L59" s="451">
        <v>0</v>
      </c>
      <c r="M59" s="451">
        <v>0</v>
      </c>
      <c r="N59" s="451">
        <v>0</v>
      </c>
      <c r="O59" s="451">
        <v>0</v>
      </c>
      <c r="P59" s="451">
        <v>0</v>
      </c>
      <c r="Q59" s="451">
        <v>0</v>
      </c>
      <c r="R59" s="451">
        <v>52375394</v>
      </c>
      <c r="S59" s="452" t="s">
        <v>684</v>
      </c>
      <c r="T59" s="453" t="s">
        <v>818</v>
      </c>
      <c r="U59" s="454" t="s">
        <v>775</v>
      </c>
      <c r="V59" s="324"/>
      <c r="W59" s="325"/>
    </row>
    <row r="60" spans="1:23" s="197" customFormat="1" ht="12.75" x14ac:dyDescent="0.2">
      <c r="A60" s="446">
        <v>53</v>
      </c>
      <c r="B60" s="447" t="s">
        <v>687</v>
      </c>
      <c r="C60" s="448" t="s">
        <v>1093</v>
      </c>
      <c r="D60" s="449" t="s">
        <v>1094</v>
      </c>
      <c r="E60" s="450" t="s">
        <v>686</v>
      </c>
      <c r="F60" s="451">
        <v>66509820</v>
      </c>
      <c r="G60" s="451">
        <v>20033</v>
      </c>
      <c r="H60" s="451">
        <v>0</v>
      </c>
      <c r="I60" s="451">
        <v>218671</v>
      </c>
      <c r="J60" s="451">
        <v>0</v>
      </c>
      <c r="K60" s="451">
        <v>218671</v>
      </c>
      <c r="L60" s="451">
        <v>0</v>
      </c>
      <c r="M60" s="451">
        <v>0</v>
      </c>
      <c r="N60" s="451">
        <v>0</v>
      </c>
      <c r="O60" s="451">
        <v>19966</v>
      </c>
      <c r="P60" s="451">
        <v>19966</v>
      </c>
      <c r="Q60" s="451">
        <v>0</v>
      </c>
      <c r="R60" s="451">
        <v>66291216</v>
      </c>
      <c r="S60" s="452" t="s">
        <v>686</v>
      </c>
      <c r="T60" s="453" t="s">
        <v>819</v>
      </c>
      <c r="U60" s="454" t="s">
        <v>775</v>
      </c>
      <c r="V60" s="324"/>
      <c r="W60" s="325"/>
    </row>
    <row r="61" spans="1:23" s="197" customFormat="1" ht="12.75" x14ac:dyDescent="0.2">
      <c r="A61" s="446">
        <v>54</v>
      </c>
      <c r="B61" s="447" t="s">
        <v>689</v>
      </c>
      <c r="C61" s="448" t="s">
        <v>794</v>
      </c>
      <c r="D61" s="449" t="s">
        <v>1095</v>
      </c>
      <c r="E61" s="450" t="s">
        <v>688</v>
      </c>
      <c r="F61" s="451">
        <v>130595333</v>
      </c>
      <c r="G61" s="451">
        <v>0</v>
      </c>
      <c r="H61" s="451">
        <v>783696</v>
      </c>
      <c r="I61" s="451">
        <v>562256</v>
      </c>
      <c r="J61" s="451">
        <v>0</v>
      </c>
      <c r="K61" s="451">
        <v>562256</v>
      </c>
      <c r="L61" s="451">
        <v>0</v>
      </c>
      <c r="M61" s="451">
        <v>0</v>
      </c>
      <c r="N61" s="451">
        <v>0</v>
      </c>
      <c r="O61" s="451">
        <v>0</v>
      </c>
      <c r="P61" s="451">
        <v>0</v>
      </c>
      <c r="Q61" s="451">
        <v>0</v>
      </c>
      <c r="R61" s="451">
        <v>129249381</v>
      </c>
      <c r="S61" s="453" t="s">
        <v>688</v>
      </c>
      <c r="T61" s="453" t="s">
        <v>794</v>
      </c>
      <c r="U61" s="454" t="s">
        <v>820</v>
      </c>
      <c r="V61" s="324"/>
      <c r="W61" s="325"/>
    </row>
    <row r="62" spans="1:23" s="197" customFormat="1" ht="12.75" x14ac:dyDescent="0.2">
      <c r="A62" s="446">
        <v>55</v>
      </c>
      <c r="B62" s="447" t="s">
        <v>691</v>
      </c>
      <c r="C62" s="448" t="s">
        <v>794</v>
      </c>
      <c r="D62" s="449" t="s">
        <v>1095</v>
      </c>
      <c r="E62" s="450" t="s">
        <v>713</v>
      </c>
      <c r="F62" s="451">
        <v>142932386</v>
      </c>
      <c r="G62" s="451">
        <v>0</v>
      </c>
      <c r="H62" s="451">
        <v>2359917</v>
      </c>
      <c r="I62" s="451">
        <v>504181</v>
      </c>
      <c r="J62" s="451">
        <v>0</v>
      </c>
      <c r="K62" s="451">
        <v>504181</v>
      </c>
      <c r="L62" s="451">
        <v>0</v>
      </c>
      <c r="M62" s="451">
        <v>0</v>
      </c>
      <c r="N62" s="451">
        <v>0</v>
      </c>
      <c r="O62" s="451">
        <v>0</v>
      </c>
      <c r="P62" s="451">
        <v>0</v>
      </c>
      <c r="Q62" s="451">
        <v>0</v>
      </c>
      <c r="R62" s="451">
        <v>140068288</v>
      </c>
      <c r="S62" s="453" t="s">
        <v>713</v>
      </c>
      <c r="T62" s="453" t="s">
        <v>794</v>
      </c>
      <c r="U62" s="454" t="s">
        <v>820</v>
      </c>
      <c r="V62" s="324"/>
      <c r="W62" s="325"/>
    </row>
    <row r="63" spans="1:23" s="197" customFormat="1" ht="12.75" x14ac:dyDescent="0.2">
      <c r="A63" s="446">
        <v>56</v>
      </c>
      <c r="B63" s="447" t="s">
        <v>693</v>
      </c>
      <c r="C63" s="448" t="s">
        <v>1093</v>
      </c>
      <c r="D63" s="449" t="s">
        <v>1096</v>
      </c>
      <c r="E63" s="450" t="s">
        <v>692</v>
      </c>
      <c r="F63" s="451">
        <v>33609228</v>
      </c>
      <c r="G63" s="451">
        <v>0</v>
      </c>
      <c r="H63" s="451">
        <v>206983</v>
      </c>
      <c r="I63" s="451">
        <v>165425</v>
      </c>
      <c r="J63" s="451">
        <v>0</v>
      </c>
      <c r="K63" s="451">
        <v>165425</v>
      </c>
      <c r="L63" s="451">
        <v>0</v>
      </c>
      <c r="M63" s="451">
        <v>0</v>
      </c>
      <c r="N63" s="451">
        <v>0</v>
      </c>
      <c r="O63" s="451">
        <v>0</v>
      </c>
      <c r="P63" s="451">
        <v>0</v>
      </c>
      <c r="Q63" s="451">
        <v>0</v>
      </c>
      <c r="R63" s="451">
        <v>33236820</v>
      </c>
      <c r="S63" s="452" t="s">
        <v>692</v>
      </c>
      <c r="T63" s="453" t="s">
        <v>777</v>
      </c>
      <c r="U63" s="454" t="s">
        <v>778</v>
      </c>
      <c r="V63" s="324"/>
      <c r="W63" s="325"/>
    </row>
    <row r="64" spans="1:23" s="197" customFormat="1" ht="12.75" x14ac:dyDescent="0.2">
      <c r="A64" s="446">
        <v>57</v>
      </c>
      <c r="B64" s="447" t="s">
        <v>695</v>
      </c>
      <c r="C64" s="448" t="s">
        <v>1093</v>
      </c>
      <c r="D64" s="449" t="s">
        <v>1094</v>
      </c>
      <c r="E64" s="450" t="s">
        <v>694</v>
      </c>
      <c r="F64" s="451">
        <v>41242429</v>
      </c>
      <c r="G64" s="451">
        <v>0</v>
      </c>
      <c r="H64" s="451">
        <v>98320</v>
      </c>
      <c r="I64" s="451">
        <v>191836</v>
      </c>
      <c r="J64" s="451">
        <v>0</v>
      </c>
      <c r="K64" s="451">
        <v>191836</v>
      </c>
      <c r="L64" s="451">
        <v>0</v>
      </c>
      <c r="M64" s="451">
        <v>0</v>
      </c>
      <c r="N64" s="451">
        <v>0</v>
      </c>
      <c r="O64" s="451">
        <v>0</v>
      </c>
      <c r="P64" s="451">
        <v>0</v>
      </c>
      <c r="Q64" s="451">
        <v>0</v>
      </c>
      <c r="R64" s="451">
        <v>40952273</v>
      </c>
      <c r="S64" s="452" t="s">
        <v>694</v>
      </c>
      <c r="T64" s="453" t="s">
        <v>773</v>
      </c>
      <c r="U64" s="454" t="s">
        <v>775</v>
      </c>
      <c r="V64" s="324"/>
      <c r="W64" s="325"/>
    </row>
    <row r="65" spans="1:23" s="197" customFormat="1" ht="12.75" x14ac:dyDescent="0.2">
      <c r="A65" s="446">
        <v>58</v>
      </c>
      <c r="B65" s="447" t="s">
        <v>697</v>
      </c>
      <c r="C65" s="448" t="s">
        <v>1093</v>
      </c>
      <c r="D65" s="449" t="s">
        <v>1094</v>
      </c>
      <c r="E65" s="450" t="s">
        <v>696</v>
      </c>
      <c r="F65" s="451">
        <v>18897059</v>
      </c>
      <c r="G65" s="451">
        <v>0</v>
      </c>
      <c r="H65" s="451">
        <v>38865</v>
      </c>
      <c r="I65" s="451">
        <v>117534</v>
      </c>
      <c r="J65" s="451">
        <v>0</v>
      </c>
      <c r="K65" s="451">
        <v>117534</v>
      </c>
      <c r="L65" s="451">
        <v>0</v>
      </c>
      <c r="M65" s="451">
        <v>0</v>
      </c>
      <c r="N65" s="451">
        <v>0</v>
      </c>
      <c r="O65" s="451">
        <v>0</v>
      </c>
      <c r="P65" s="451">
        <v>0</v>
      </c>
      <c r="Q65" s="451">
        <v>0</v>
      </c>
      <c r="R65" s="451">
        <v>18740660</v>
      </c>
      <c r="S65" s="452" t="s">
        <v>696</v>
      </c>
      <c r="T65" s="453" t="s">
        <v>783</v>
      </c>
      <c r="U65" s="454" t="s">
        <v>784</v>
      </c>
      <c r="V65" s="324"/>
      <c r="W65" s="325"/>
    </row>
    <row r="66" spans="1:23" s="197" customFormat="1" ht="12.75" x14ac:dyDescent="0.2">
      <c r="A66" s="446">
        <v>59</v>
      </c>
      <c r="B66" s="447" t="s">
        <v>699</v>
      </c>
      <c r="C66" s="448" t="s">
        <v>1093</v>
      </c>
      <c r="D66" s="449" t="s">
        <v>1095</v>
      </c>
      <c r="E66" s="450" t="s">
        <v>698</v>
      </c>
      <c r="F66" s="451">
        <v>24851178</v>
      </c>
      <c r="G66" s="451">
        <v>39345</v>
      </c>
      <c r="H66" s="451">
        <v>0</v>
      </c>
      <c r="I66" s="451">
        <v>133847</v>
      </c>
      <c r="J66" s="451">
        <v>0</v>
      </c>
      <c r="K66" s="451">
        <v>133847</v>
      </c>
      <c r="L66" s="451">
        <v>0</v>
      </c>
      <c r="M66" s="451">
        <v>0</v>
      </c>
      <c r="N66" s="451">
        <v>0</v>
      </c>
      <c r="O66" s="451">
        <v>0</v>
      </c>
      <c r="P66" s="451">
        <v>0</v>
      </c>
      <c r="Q66" s="451">
        <v>0</v>
      </c>
      <c r="R66" s="451">
        <v>24756676</v>
      </c>
      <c r="S66" s="452" t="s">
        <v>698</v>
      </c>
      <c r="T66" s="453" t="s">
        <v>813</v>
      </c>
      <c r="U66" s="454" t="s">
        <v>800</v>
      </c>
      <c r="V66" s="324"/>
      <c r="W66" s="325"/>
    </row>
    <row r="67" spans="1:23" s="197" customFormat="1" ht="12.75" x14ac:dyDescent="0.2">
      <c r="A67" s="446">
        <v>60</v>
      </c>
      <c r="B67" s="447" t="s">
        <v>701</v>
      </c>
      <c r="C67" s="448" t="s">
        <v>1093</v>
      </c>
      <c r="D67" s="449" t="s">
        <v>1102</v>
      </c>
      <c r="E67" s="450" t="s">
        <v>700</v>
      </c>
      <c r="F67" s="451">
        <v>16125679</v>
      </c>
      <c r="G67" s="451">
        <v>0</v>
      </c>
      <c r="H67" s="451">
        <v>157310</v>
      </c>
      <c r="I67" s="451">
        <v>75078</v>
      </c>
      <c r="J67" s="451">
        <v>0</v>
      </c>
      <c r="K67" s="451">
        <v>75078</v>
      </c>
      <c r="L67" s="451">
        <v>0</v>
      </c>
      <c r="M67" s="451">
        <v>0</v>
      </c>
      <c r="N67" s="451">
        <v>0</v>
      </c>
      <c r="O67" s="451">
        <v>0</v>
      </c>
      <c r="P67" s="451">
        <v>0</v>
      </c>
      <c r="Q67" s="451">
        <v>0</v>
      </c>
      <c r="R67" s="451">
        <v>15893291</v>
      </c>
      <c r="S67" s="452" t="s">
        <v>700</v>
      </c>
      <c r="T67" s="453" t="s">
        <v>821</v>
      </c>
      <c r="U67" s="454" t="s">
        <v>803</v>
      </c>
      <c r="V67" s="324" t="s">
        <v>1120</v>
      </c>
      <c r="W67" s="325"/>
    </row>
    <row r="68" spans="1:23" s="197" customFormat="1" ht="12.75" x14ac:dyDescent="0.2">
      <c r="A68" s="446">
        <v>61</v>
      </c>
      <c r="B68" s="447" t="s">
        <v>0</v>
      </c>
      <c r="C68" s="448" t="s">
        <v>1104</v>
      </c>
      <c r="D68" s="449" t="s">
        <v>1099</v>
      </c>
      <c r="E68" s="450" t="s">
        <v>702</v>
      </c>
      <c r="F68" s="451">
        <v>675695128</v>
      </c>
      <c r="G68" s="451">
        <v>1512561</v>
      </c>
      <c r="H68" s="451">
        <v>0</v>
      </c>
      <c r="I68" s="451">
        <v>1663453</v>
      </c>
      <c r="J68" s="451">
        <v>0</v>
      </c>
      <c r="K68" s="451">
        <v>1663453</v>
      </c>
      <c r="L68" s="451">
        <v>10538000</v>
      </c>
      <c r="M68" s="451">
        <v>0</v>
      </c>
      <c r="N68" s="451">
        <v>0</v>
      </c>
      <c r="O68" s="451">
        <v>0</v>
      </c>
      <c r="P68" s="451">
        <v>0</v>
      </c>
      <c r="Q68" s="451">
        <v>0</v>
      </c>
      <c r="R68" s="451">
        <v>665006236</v>
      </c>
      <c r="S68" s="452" t="s">
        <v>702</v>
      </c>
      <c r="T68" s="453" t="s">
        <v>822</v>
      </c>
      <c r="U68" s="453" t="s">
        <v>774</v>
      </c>
      <c r="V68" s="324"/>
      <c r="W68" s="325"/>
    </row>
    <row r="69" spans="1:23" s="197" customFormat="1" ht="12.75" x14ac:dyDescent="0.2">
      <c r="A69" s="446">
        <v>62</v>
      </c>
      <c r="B69" s="447" t="s">
        <v>2</v>
      </c>
      <c r="C69" s="448" t="s">
        <v>1093</v>
      </c>
      <c r="D69" s="449" t="s">
        <v>1097</v>
      </c>
      <c r="E69" s="450" t="s">
        <v>1</v>
      </c>
      <c r="F69" s="451">
        <v>58763292</v>
      </c>
      <c r="G69" s="451">
        <v>0</v>
      </c>
      <c r="H69" s="451">
        <v>314072</v>
      </c>
      <c r="I69" s="451">
        <v>240916</v>
      </c>
      <c r="J69" s="451">
        <v>0</v>
      </c>
      <c r="K69" s="451">
        <v>240916</v>
      </c>
      <c r="L69" s="451">
        <v>0</v>
      </c>
      <c r="M69" s="451">
        <v>0</v>
      </c>
      <c r="N69" s="451">
        <v>0</v>
      </c>
      <c r="O69" s="451">
        <v>0</v>
      </c>
      <c r="P69" s="451">
        <v>0</v>
      </c>
      <c r="Q69" s="451">
        <v>0</v>
      </c>
      <c r="R69" s="451">
        <v>58208304</v>
      </c>
      <c r="S69" s="452" t="s">
        <v>1</v>
      </c>
      <c r="T69" s="453" t="s">
        <v>789</v>
      </c>
      <c r="U69" s="454" t="s">
        <v>790</v>
      </c>
      <c r="V69" s="324"/>
      <c r="W69" s="325"/>
    </row>
    <row r="70" spans="1:23" s="197" customFormat="1" ht="12.75" x14ac:dyDescent="0.2">
      <c r="A70" s="446">
        <v>63</v>
      </c>
      <c r="B70" s="447" t="s">
        <v>4</v>
      </c>
      <c r="C70" s="448" t="s">
        <v>1093</v>
      </c>
      <c r="D70" s="449" t="s">
        <v>1095</v>
      </c>
      <c r="E70" s="450" t="s">
        <v>3</v>
      </c>
      <c r="F70" s="451">
        <v>20319975</v>
      </c>
      <c r="G70" s="451">
        <v>0</v>
      </c>
      <c r="H70" s="451">
        <v>32845</v>
      </c>
      <c r="I70" s="451">
        <v>113008</v>
      </c>
      <c r="J70" s="451">
        <v>0</v>
      </c>
      <c r="K70" s="451">
        <v>113008</v>
      </c>
      <c r="L70" s="451">
        <v>0</v>
      </c>
      <c r="M70" s="451">
        <v>0</v>
      </c>
      <c r="N70" s="451">
        <v>0</v>
      </c>
      <c r="O70" s="451">
        <v>358</v>
      </c>
      <c r="P70" s="451">
        <v>358</v>
      </c>
      <c r="Q70" s="451">
        <v>0</v>
      </c>
      <c r="R70" s="451">
        <v>20173764</v>
      </c>
      <c r="S70" s="452" t="s">
        <v>3</v>
      </c>
      <c r="T70" s="453" t="s">
        <v>776</v>
      </c>
      <c r="U70" s="454" t="s">
        <v>775</v>
      </c>
      <c r="V70" s="324"/>
      <c r="W70" s="325"/>
    </row>
    <row r="71" spans="1:23" s="197" customFormat="1" ht="12.75" x14ac:dyDescent="0.2">
      <c r="A71" s="446">
        <v>64</v>
      </c>
      <c r="B71" s="447" t="s">
        <v>6</v>
      </c>
      <c r="C71" s="448" t="s">
        <v>1093</v>
      </c>
      <c r="D71" s="449" t="s">
        <v>1096</v>
      </c>
      <c r="E71" s="450" t="s">
        <v>5</v>
      </c>
      <c r="F71" s="451">
        <v>30862594</v>
      </c>
      <c r="G71" s="451">
        <v>405213</v>
      </c>
      <c r="H71" s="451">
        <v>0</v>
      </c>
      <c r="I71" s="451">
        <v>86849</v>
      </c>
      <c r="J71" s="451">
        <v>0</v>
      </c>
      <c r="K71" s="451">
        <v>86849</v>
      </c>
      <c r="L71" s="451">
        <v>0</v>
      </c>
      <c r="M71" s="451">
        <v>0</v>
      </c>
      <c r="N71" s="451">
        <v>0</v>
      </c>
      <c r="O71" s="451">
        <v>0</v>
      </c>
      <c r="P71" s="451">
        <v>0</v>
      </c>
      <c r="Q71" s="451">
        <v>0</v>
      </c>
      <c r="R71" s="451">
        <v>31180958</v>
      </c>
      <c r="S71" s="452" t="s">
        <v>5</v>
      </c>
      <c r="T71" s="453" t="s">
        <v>823</v>
      </c>
      <c r="U71" s="454" t="s">
        <v>775</v>
      </c>
      <c r="V71" s="324"/>
      <c r="W71" s="325"/>
    </row>
    <row r="72" spans="1:23" s="197" customFormat="1" ht="12.75" x14ac:dyDescent="0.2">
      <c r="A72" s="446">
        <v>65</v>
      </c>
      <c r="B72" s="447" t="s">
        <v>8</v>
      </c>
      <c r="C72" s="448" t="s">
        <v>794</v>
      </c>
      <c r="D72" s="449" t="s">
        <v>1102</v>
      </c>
      <c r="E72" s="450" t="s">
        <v>7</v>
      </c>
      <c r="F72" s="451">
        <v>141473539</v>
      </c>
      <c r="G72" s="451">
        <v>1009524</v>
      </c>
      <c r="H72" s="451">
        <v>0</v>
      </c>
      <c r="I72" s="451">
        <v>1101516</v>
      </c>
      <c r="J72" s="451">
        <v>0</v>
      </c>
      <c r="K72" s="451">
        <v>1101516</v>
      </c>
      <c r="L72" s="451">
        <v>0</v>
      </c>
      <c r="M72" s="451">
        <v>0</v>
      </c>
      <c r="N72" s="451">
        <v>0</v>
      </c>
      <c r="O72" s="451">
        <v>136761</v>
      </c>
      <c r="P72" s="451">
        <v>136761</v>
      </c>
      <c r="Q72" s="451">
        <v>0</v>
      </c>
      <c r="R72" s="451">
        <v>141244786</v>
      </c>
      <c r="S72" s="453" t="s">
        <v>7</v>
      </c>
      <c r="T72" s="453" t="s">
        <v>794</v>
      </c>
      <c r="U72" s="454" t="s">
        <v>775</v>
      </c>
      <c r="V72" s="324"/>
      <c r="W72" s="325"/>
    </row>
    <row r="73" spans="1:23" s="197" customFormat="1" ht="12.75" x14ac:dyDescent="0.2">
      <c r="A73" s="446">
        <v>66</v>
      </c>
      <c r="B73" s="447" t="s">
        <v>10</v>
      </c>
      <c r="C73" s="448" t="s">
        <v>1093</v>
      </c>
      <c r="D73" s="449" t="s">
        <v>1102</v>
      </c>
      <c r="E73" s="450" t="s">
        <v>9</v>
      </c>
      <c r="F73" s="451">
        <v>27086234</v>
      </c>
      <c r="G73" s="451">
        <v>165585</v>
      </c>
      <c r="H73" s="451">
        <v>0</v>
      </c>
      <c r="I73" s="451">
        <v>179896</v>
      </c>
      <c r="J73" s="451">
        <v>0</v>
      </c>
      <c r="K73" s="451">
        <v>179896</v>
      </c>
      <c r="L73" s="451">
        <v>0</v>
      </c>
      <c r="M73" s="451">
        <v>0</v>
      </c>
      <c r="N73" s="451">
        <v>0</v>
      </c>
      <c r="O73" s="451">
        <v>0</v>
      </c>
      <c r="P73" s="451">
        <v>0</v>
      </c>
      <c r="Q73" s="451">
        <v>0</v>
      </c>
      <c r="R73" s="451">
        <v>27071923</v>
      </c>
      <c r="S73" s="452" t="s">
        <v>9</v>
      </c>
      <c r="T73" s="453" t="s">
        <v>818</v>
      </c>
      <c r="U73" s="454" t="s">
        <v>775</v>
      </c>
      <c r="V73" s="324"/>
      <c r="W73" s="325"/>
    </row>
    <row r="74" spans="1:23" s="197" customFormat="1" ht="12.75" x14ac:dyDescent="0.2">
      <c r="A74" s="446">
        <v>67</v>
      </c>
      <c r="B74" s="447" t="s">
        <v>12</v>
      </c>
      <c r="C74" s="448" t="s">
        <v>1100</v>
      </c>
      <c r="D74" s="449" t="s">
        <v>1103</v>
      </c>
      <c r="E74" s="450" t="s">
        <v>11</v>
      </c>
      <c r="F74" s="451">
        <v>105264212</v>
      </c>
      <c r="G74" s="451">
        <v>0</v>
      </c>
      <c r="H74" s="451">
        <v>617768</v>
      </c>
      <c r="I74" s="451">
        <v>379768</v>
      </c>
      <c r="J74" s="451">
        <v>0</v>
      </c>
      <c r="K74" s="451">
        <v>379768</v>
      </c>
      <c r="L74" s="451">
        <v>0</v>
      </c>
      <c r="M74" s="451">
        <v>0</v>
      </c>
      <c r="N74" s="451">
        <v>0</v>
      </c>
      <c r="O74" s="451">
        <v>0</v>
      </c>
      <c r="P74" s="451">
        <v>0</v>
      </c>
      <c r="Q74" s="451">
        <v>0</v>
      </c>
      <c r="R74" s="451">
        <v>104266676</v>
      </c>
      <c r="S74" s="452" t="s">
        <v>11</v>
      </c>
      <c r="T74" s="453" t="s">
        <v>787</v>
      </c>
      <c r="U74" s="454" t="s">
        <v>797</v>
      </c>
      <c r="V74" s="324"/>
      <c r="W74" s="325"/>
    </row>
    <row r="75" spans="1:23" s="197" customFormat="1" ht="12.75" x14ac:dyDescent="0.2">
      <c r="A75" s="446">
        <v>68</v>
      </c>
      <c r="B75" s="447" t="s">
        <v>14</v>
      </c>
      <c r="C75" s="448" t="s">
        <v>1093</v>
      </c>
      <c r="D75" s="449" t="s">
        <v>1101</v>
      </c>
      <c r="E75" s="450" t="s">
        <v>13</v>
      </c>
      <c r="F75" s="451">
        <v>16459808</v>
      </c>
      <c r="G75" s="451">
        <v>0</v>
      </c>
      <c r="H75" s="451">
        <v>17930</v>
      </c>
      <c r="I75" s="451">
        <v>119382</v>
      </c>
      <c r="J75" s="451">
        <v>0</v>
      </c>
      <c r="K75" s="451">
        <v>119382</v>
      </c>
      <c r="L75" s="451">
        <v>0</v>
      </c>
      <c r="M75" s="451">
        <v>0</v>
      </c>
      <c r="N75" s="451">
        <v>0</v>
      </c>
      <c r="O75" s="451">
        <v>0</v>
      </c>
      <c r="P75" s="451">
        <v>0</v>
      </c>
      <c r="Q75" s="451">
        <v>0</v>
      </c>
      <c r="R75" s="451">
        <v>16322496</v>
      </c>
      <c r="S75" s="452" t="s">
        <v>13</v>
      </c>
      <c r="T75" s="453" t="s">
        <v>824</v>
      </c>
      <c r="U75" s="454" t="s">
        <v>825</v>
      </c>
      <c r="V75" s="324"/>
      <c r="W75" s="325"/>
    </row>
    <row r="76" spans="1:23" s="197" customFormat="1" ht="12.75" x14ac:dyDescent="0.2">
      <c r="A76" s="446">
        <v>69</v>
      </c>
      <c r="B76" s="447" t="s">
        <v>16</v>
      </c>
      <c r="C76" s="448" t="s">
        <v>1093</v>
      </c>
      <c r="D76" s="449" t="s">
        <v>1094</v>
      </c>
      <c r="E76" s="450" t="s">
        <v>15</v>
      </c>
      <c r="F76" s="451">
        <v>106972109</v>
      </c>
      <c r="G76" s="451">
        <v>0</v>
      </c>
      <c r="H76" s="451">
        <v>603827</v>
      </c>
      <c r="I76" s="451">
        <v>215934</v>
      </c>
      <c r="J76" s="451">
        <v>0</v>
      </c>
      <c r="K76" s="451">
        <v>215934</v>
      </c>
      <c r="L76" s="451">
        <v>0</v>
      </c>
      <c r="M76" s="451">
        <v>0</v>
      </c>
      <c r="N76" s="451">
        <v>0</v>
      </c>
      <c r="O76" s="451">
        <v>0</v>
      </c>
      <c r="P76" s="451">
        <v>0</v>
      </c>
      <c r="Q76" s="451">
        <v>0</v>
      </c>
      <c r="R76" s="451">
        <v>106152348</v>
      </c>
      <c r="S76" s="452" t="s">
        <v>15</v>
      </c>
      <c r="T76" s="453" t="s">
        <v>773</v>
      </c>
      <c r="U76" s="454" t="s">
        <v>775</v>
      </c>
      <c r="V76" s="324"/>
      <c r="W76" s="325"/>
    </row>
    <row r="77" spans="1:23" s="197" customFormat="1" ht="12.75" x14ac:dyDescent="0.2">
      <c r="A77" s="446">
        <v>70</v>
      </c>
      <c r="B77" s="447" t="s">
        <v>18</v>
      </c>
      <c r="C77" s="448" t="s">
        <v>1098</v>
      </c>
      <c r="D77" s="449" t="s">
        <v>1099</v>
      </c>
      <c r="E77" s="450" t="s">
        <v>17</v>
      </c>
      <c r="F77" s="451">
        <v>103822323</v>
      </c>
      <c r="G77" s="451">
        <v>0</v>
      </c>
      <c r="H77" s="451">
        <v>443939</v>
      </c>
      <c r="I77" s="451">
        <v>435172</v>
      </c>
      <c r="J77" s="451">
        <v>0</v>
      </c>
      <c r="K77" s="451">
        <v>435172</v>
      </c>
      <c r="L77" s="451">
        <v>0</v>
      </c>
      <c r="M77" s="451">
        <v>0</v>
      </c>
      <c r="N77" s="451">
        <v>0</v>
      </c>
      <c r="O77" s="451">
        <v>0</v>
      </c>
      <c r="P77" s="451">
        <v>0</v>
      </c>
      <c r="Q77" s="451">
        <v>0</v>
      </c>
      <c r="R77" s="451">
        <v>102943212</v>
      </c>
      <c r="S77" s="452" t="s">
        <v>17</v>
      </c>
      <c r="T77" s="453" t="s">
        <v>786</v>
      </c>
      <c r="U77" s="453" t="s">
        <v>774</v>
      </c>
      <c r="V77" s="324"/>
      <c r="W77" s="325"/>
    </row>
    <row r="78" spans="1:23" s="197" customFormat="1" ht="12.75" x14ac:dyDescent="0.2">
      <c r="A78" s="446">
        <v>71</v>
      </c>
      <c r="B78" s="447" t="s">
        <v>20</v>
      </c>
      <c r="C78" s="448" t="s">
        <v>1093</v>
      </c>
      <c r="D78" s="449" t="s">
        <v>1097</v>
      </c>
      <c r="E78" s="450" t="s">
        <v>19</v>
      </c>
      <c r="F78" s="451">
        <v>56871723</v>
      </c>
      <c r="G78" s="451">
        <v>0</v>
      </c>
      <c r="H78" s="451">
        <v>943995</v>
      </c>
      <c r="I78" s="451">
        <v>218506</v>
      </c>
      <c r="J78" s="451">
        <v>0</v>
      </c>
      <c r="K78" s="451">
        <v>218506</v>
      </c>
      <c r="L78" s="451">
        <v>0</v>
      </c>
      <c r="M78" s="451">
        <v>0</v>
      </c>
      <c r="N78" s="451">
        <v>0</v>
      </c>
      <c r="O78" s="451">
        <v>0</v>
      </c>
      <c r="P78" s="451">
        <v>0</v>
      </c>
      <c r="Q78" s="451">
        <v>0</v>
      </c>
      <c r="R78" s="451">
        <v>55709222</v>
      </c>
      <c r="S78" s="452" t="s">
        <v>19</v>
      </c>
      <c r="T78" s="453" t="s">
        <v>812</v>
      </c>
      <c r="U78" s="454" t="s">
        <v>775</v>
      </c>
      <c r="V78" s="324"/>
      <c r="W78" s="325"/>
    </row>
    <row r="79" spans="1:23" s="197" customFormat="1" ht="12.75" x14ac:dyDescent="0.2">
      <c r="A79" s="446">
        <v>72</v>
      </c>
      <c r="B79" s="447" t="s">
        <v>22</v>
      </c>
      <c r="C79" s="448" t="s">
        <v>794</v>
      </c>
      <c r="D79" s="449" t="s">
        <v>1105</v>
      </c>
      <c r="E79" s="450" t="s">
        <v>714</v>
      </c>
      <c r="F79" s="451">
        <v>31618517</v>
      </c>
      <c r="G79" s="451">
        <v>0</v>
      </c>
      <c r="H79" s="451">
        <v>1055079</v>
      </c>
      <c r="I79" s="451">
        <v>148432</v>
      </c>
      <c r="J79" s="451">
        <v>0</v>
      </c>
      <c r="K79" s="451">
        <v>148432</v>
      </c>
      <c r="L79" s="451">
        <v>0</v>
      </c>
      <c r="M79" s="451">
        <v>0</v>
      </c>
      <c r="N79" s="451">
        <v>0</v>
      </c>
      <c r="O79" s="451">
        <v>0</v>
      </c>
      <c r="P79" s="451">
        <v>0</v>
      </c>
      <c r="Q79" s="451">
        <v>0</v>
      </c>
      <c r="R79" s="451">
        <v>30415006</v>
      </c>
      <c r="S79" s="452" t="s">
        <v>714</v>
      </c>
      <c r="T79" s="453" t="s">
        <v>794</v>
      </c>
      <c r="U79" s="454" t="s">
        <v>826</v>
      </c>
      <c r="V79" s="324"/>
      <c r="W79" s="325"/>
    </row>
    <row r="80" spans="1:23" s="197" customFormat="1" ht="12.75" x14ac:dyDescent="0.2">
      <c r="A80" s="446">
        <v>73</v>
      </c>
      <c r="B80" s="447" t="s">
        <v>24</v>
      </c>
      <c r="C80" s="448" t="s">
        <v>1093</v>
      </c>
      <c r="D80" s="449" t="s">
        <v>1094</v>
      </c>
      <c r="E80" s="450" t="s">
        <v>23</v>
      </c>
      <c r="F80" s="451">
        <v>73250787</v>
      </c>
      <c r="G80" s="451">
        <v>0</v>
      </c>
      <c r="H80" s="451">
        <v>375558</v>
      </c>
      <c r="I80" s="451">
        <v>175930</v>
      </c>
      <c r="J80" s="451">
        <v>0</v>
      </c>
      <c r="K80" s="451">
        <v>175930</v>
      </c>
      <c r="L80" s="451">
        <v>0</v>
      </c>
      <c r="M80" s="451">
        <v>0</v>
      </c>
      <c r="N80" s="451">
        <v>0</v>
      </c>
      <c r="O80" s="451">
        <v>0</v>
      </c>
      <c r="P80" s="451">
        <v>0</v>
      </c>
      <c r="Q80" s="451">
        <v>0</v>
      </c>
      <c r="R80" s="451">
        <v>72699299</v>
      </c>
      <c r="S80" s="452" t="s">
        <v>23</v>
      </c>
      <c r="T80" s="453" t="s">
        <v>781</v>
      </c>
      <c r="U80" s="454" t="s">
        <v>782</v>
      </c>
      <c r="V80" s="324"/>
      <c r="W80" s="325"/>
    </row>
    <row r="81" spans="1:23" s="197" customFormat="1" ht="12.75" x14ac:dyDescent="0.2">
      <c r="A81" s="446">
        <v>74</v>
      </c>
      <c r="B81" s="447" t="s">
        <v>26</v>
      </c>
      <c r="C81" s="448" t="s">
        <v>1093</v>
      </c>
      <c r="D81" s="449" t="s">
        <v>1096</v>
      </c>
      <c r="E81" s="450" t="s">
        <v>25</v>
      </c>
      <c r="F81" s="451">
        <v>37325101</v>
      </c>
      <c r="G81" s="451">
        <v>0</v>
      </c>
      <c r="H81" s="451">
        <v>467682</v>
      </c>
      <c r="I81" s="451">
        <v>116811</v>
      </c>
      <c r="J81" s="451">
        <v>0</v>
      </c>
      <c r="K81" s="451">
        <v>116811</v>
      </c>
      <c r="L81" s="451">
        <v>0</v>
      </c>
      <c r="M81" s="451">
        <v>0</v>
      </c>
      <c r="N81" s="451">
        <v>0</v>
      </c>
      <c r="O81" s="451">
        <v>155972</v>
      </c>
      <c r="P81" s="451">
        <v>155972</v>
      </c>
      <c r="Q81" s="451">
        <v>0</v>
      </c>
      <c r="R81" s="451">
        <v>36584636</v>
      </c>
      <c r="S81" s="452" t="s">
        <v>25</v>
      </c>
      <c r="T81" s="453" t="s">
        <v>823</v>
      </c>
      <c r="U81" s="454" t="s">
        <v>775</v>
      </c>
      <c r="V81" s="324"/>
      <c r="W81" s="325"/>
    </row>
    <row r="82" spans="1:23" s="197" customFormat="1" ht="12.75" x14ac:dyDescent="0.2">
      <c r="A82" s="446">
        <v>75</v>
      </c>
      <c r="B82" s="447" t="s">
        <v>28</v>
      </c>
      <c r="C82" s="448" t="s">
        <v>794</v>
      </c>
      <c r="D82" s="449" t="s">
        <v>1096</v>
      </c>
      <c r="E82" s="450" t="s">
        <v>715</v>
      </c>
      <c r="F82" s="451">
        <v>74139665</v>
      </c>
      <c r="G82" s="451">
        <v>0</v>
      </c>
      <c r="H82" s="451">
        <v>478839</v>
      </c>
      <c r="I82" s="451">
        <v>314703</v>
      </c>
      <c r="J82" s="451">
        <v>0</v>
      </c>
      <c r="K82" s="451">
        <v>314703</v>
      </c>
      <c r="L82" s="451">
        <v>0</v>
      </c>
      <c r="M82" s="451">
        <v>0</v>
      </c>
      <c r="N82" s="451">
        <v>0</v>
      </c>
      <c r="O82" s="451">
        <v>0</v>
      </c>
      <c r="P82" s="451">
        <v>0</v>
      </c>
      <c r="Q82" s="451">
        <v>0</v>
      </c>
      <c r="R82" s="451">
        <v>73346123</v>
      </c>
      <c r="S82" s="455" t="s">
        <v>715</v>
      </c>
      <c r="T82" s="453" t="s">
        <v>794</v>
      </c>
      <c r="U82" s="454" t="s">
        <v>778</v>
      </c>
      <c r="V82" s="324"/>
      <c r="W82" s="325"/>
    </row>
    <row r="83" spans="1:23" s="197" customFormat="1" ht="12.75" x14ac:dyDescent="0.2">
      <c r="A83" s="446">
        <v>76</v>
      </c>
      <c r="B83" s="447" t="s">
        <v>30</v>
      </c>
      <c r="C83" s="448" t="s">
        <v>1093</v>
      </c>
      <c r="D83" s="449" t="s">
        <v>1096</v>
      </c>
      <c r="E83" s="450" t="s">
        <v>29</v>
      </c>
      <c r="F83" s="451">
        <v>16451160</v>
      </c>
      <c r="G83" s="451">
        <v>24206</v>
      </c>
      <c r="H83" s="451">
        <v>0</v>
      </c>
      <c r="I83" s="451">
        <v>146324</v>
      </c>
      <c r="J83" s="451">
        <v>0</v>
      </c>
      <c r="K83" s="451">
        <v>146324</v>
      </c>
      <c r="L83" s="451">
        <v>0</v>
      </c>
      <c r="M83" s="451">
        <v>0</v>
      </c>
      <c r="N83" s="451">
        <v>0</v>
      </c>
      <c r="O83" s="451">
        <v>0</v>
      </c>
      <c r="P83" s="451">
        <v>0</v>
      </c>
      <c r="Q83" s="451">
        <v>0</v>
      </c>
      <c r="R83" s="451">
        <v>16329042</v>
      </c>
      <c r="S83" s="452" t="s">
        <v>29</v>
      </c>
      <c r="T83" s="453" t="s">
        <v>777</v>
      </c>
      <c r="U83" s="454" t="s">
        <v>778</v>
      </c>
      <c r="V83" s="324"/>
      <c r="W83" s="325"/>
    </row>
    <row r="84" spans="1:23" s="197" customFormat="1" ht="12.75" x14ac:dyDescent="0.2">
      <c r="A84" s="446">
        <v>77</v>
      </c>
      <c r="B84" s="447" t="s">
        <v>32</v>
      </c>
      <c r="C84" s="448" t="s">
        <v>1100</v>
      </c>
      <c r="D84" s="449" t="s">
        <v>1101</v>
      </c>
      <c r="E84" s="450" t="s">
        <v>31</v>
      </c>
      <c r="F84" s="451">
        <v>83389402</v>
      </c>
      <c r="G84" s="451">
        <v>0</v>
      </c>
      <c r="H84" s="451">
        <v>358206</v>
      </c>
      <c r="I84" s="451">
        <v>367877</v>
      </c>
      <c r="J84" s="451">
        <v>0</v>
      </c>
      <c r="K84" s="451">
        <v>367877</v>
      </c>
      <c r="L84" s="451">
        <v>0</v>
      </c>
      <c r="M84" s="451">
        <v>0</v>
      </c>
      <c r="N84" s="451">
        <v>0</v>
      </c>
      <c r="O84" s="451">
        <v>0</v>
      </c>
      <c r="P84" s="451">
        <v>0</v>
      </c>
      <c r="Q84" s="451">
        <v>0</v>
      </c>
      <c r="R84" s="451">
        <v>82663319</v>
      </c>
      <c r="S84" s="452" t="s">
        <v>31</v>
      </c>
      <c r="T84" s="453" t="s">
        <v>787</v>
      </c>
      <c r="U84" s="454" t="s">
        <v>788</v>
      </c>
      <c r="V84" s="324"/>
      <c r="W84" s="325"/>
    </row>
    <row r="85" spans="1:23" s="197" customFormat="1" ht="12.75" x14ac:dyDescent="0.2">
      <c r="A85" s="446">
        <v>78</v>
      </c>
      <c r="B85" s="447" t="s">
        <v>39</v>
      </c>
      <c r="C85" s="448" t="s">
        <v>1093</v>
      </c>
      <c r="D85" s="449" t="s">
        <v>1094</v>
      </c>
      <c r="E85" s="450" t="s">
        <v>38</v>
      </c>
      <c r="F85" s="451">
        <v>30413298</v>
      </c>
      <c r="G85" s="451">
        <v>0</v>
      </c>
      <c r="H85" s="451">
        <v>686384</v>
      </c>
      <c r="I85" s="451">
        <v>151686</v>
      </c>
      <c r="J85" s="451">
        <v>0</v>
      </c>
      <c r="K85" s="451">
        <v>151686</v>
      </c>
      <c r="L85" s="451">
        <v>0</v>
      </c>
      <c r="M85" s="451">
        <v>0</v>
      </c>
      <c r="N85" s="451">
        <v>0</v>
      </c>
      <c r="O85" s="451">
        <v>0</v>
      </c>
      <c r="P85" s="451">
        <v>0</v>
      </c>
      <c r="Q85" s="451">
        <v>0</v>
      </c>
      <c r="R85" s="451">
        <v>29575228</v>
      </c>
      <c r="S85" s="452" t="s">
        <v>38</v>
      </c>
      <c r="T85" s="453" t="s">
        <v>781</v>
      </c>
      <c r="U85" s="454" t="s">
        <v>782</v>
      </c>
      <c r="V85" s="324"/>
      <c r="W85" s="325"/>
    </row>
    <row r="86" spans="1:23" s="197" customFormat="1" ht="12.75" x14ac:dyDescent="0.2">
      <c r="A86" s="446">
        <v>79</v>
      </c>
      <c r="B86" s="447" t="s">
        <v>41</v>
      </c>
      <c r="C86" s="448" t="s">
        <v>1100</v>
      </c>
      <c r="D86" s="449" t="s">
        <v>1103</v>
      </c>
      <c r="E86" s="450" t="s">
        <v>40</v>
      </c>
      <c r="F86" s="451">
        <v>84585377</v>
      </c>
      <c r="G86" s="451">
        <v>0</v>
      </c>
      <c r="H86" s="451">
        <v>497020</v>
      </c>
      <c r="I86" s="451">
        <v>439101</v>
      </c>
      <c r="J86" s="451">
        <v>0</v>
      </c>
      <c r="K86" s="451">
        <v>439101</v>
      </c>
      <c r="L86" s="451">
        <v>0</v>
      </c>
      <c r="M86" s="451">
        <v>0</v>
      </c>
      <c r="N86" s="451">
        <v>0</v>
      </c>
      <c r="O86" s="451">
        <v>0</v>
      </c>
      <c r="P86" s="451">
        <v>0</v>
      </c>
      <c r="Q86" s="451">
        <v>0</v>
      </c>
      <c r="R86" s="451">
        <v>83649256</v>
      </c>
      <c r="S86" s="452" t="s">
        <v>40</v>
      </c>
      <c r="T86" s="453" t="s">
        <v>787</v>
      </c>
      <c r="U86" s="454" t="s">
        <v>797</v>
      </c>
      <c r="V86" s="324"/>
      <c r="W86" s="325"/>
    </row>
    <row r="87" spans="1:23" s="197" customFormat="1" ht="12.75" x14ac:dyDescent="0.2">
      <c r="A87" s="446">
        <v>80</v>
      </c>
      <c r="B87" s="447" t="s">
        <v>43</v>
      </c>
      <c r="C87" s="448" t="s">
        <v>794</v>
      </c>
      <c r="D87" s="449" t="s">
        <v>1105</v>
      </c>
      <c r="E87" s="450" t="s">
        <v>42</v>
      </c>
      <c r="F87" s="451">
        <v>106205410</v>
      </c>
      <c r="G87" s="451">
        <v>0</v>
      </c>
      <c r="H87" s="451">
        <v>801265</v>
      </c>
      <c r="I87" s="451">
        <v>603811</v>
      </c>
      <c r="J87" s="451">
        <v>0</v>
      </c>
      <c r="K87" s="451">
        <v>603811</v>
      </c>
      <c r="L87" s="451">
        <v>0</v>
      </c>
      <c r="M87" s="451">
        <v>0</v>
      </c>
      <c r="N87" s="451">
        <v>0</v>
      </c>
      <c r="O87" s="451">
        <v>7579</v>
      </c>
      <c r="P87" s="451">
        <v>7579</v>
      </c>
      <c r="Q87" s="451">
        <v>0</v>
      </c>
      <c r="R87" s="451">
        <v>104792755</v>
      </c>
      <c r="S87" s="455" t="s">
        <v>42</v>
      </c>
      <c r="T87" s="453" t="s">
        <v>794</v>
      </c>
      <c r="U87" s="454" t="s">
        <v>826</v>
      </c>
      <c r="V87" s="324"/>
      <c r="W87" s="325"/>
    </row>
    <row r="88" spans="1:23" s="197" customFormat="1" ht="12.75" x14ac:dyDescent="0.2">
      <c r="A88" s="446">
        <v>81</v>
      </c>
      <c r="B88" s="447" t="s">
        <v>45</v>
      </c>
      <c r="C88" s="448" t="s">
        <v>1098</v>
      </c>
      <c r="D88" s="449" t="s">
        <v>1099</v>
      </c>
      <c r="E88" s="450" t="s">
        <v>44</v>
      </c>
      <c r="F88" s="451">
        <v>120299335</v>
      </c>
      <c r="G88" s="451">
        <v>0</v>
      </c>
      <c r="H88" s="451">
        <v>448911</v>
      </c>
      <c r="I88" s="451">
        <v>493133</v>
      </c>
      <c r="J88" s="451">
        <v>63737</v>
      </c>
      <c r="K88" s="451">
        <v>556870</v>
      </c>
      <c r="L88" s="451">
        <v>0</v>
      </c>
      <c r="M88" s="451">
        <v>0</v>
      </c>
      <c r="N88" s="451">
        <v>0</v>
      </c>
      <c r="O88" s="451">
        <v>0</v>
      </c>
      <c r="P88" s="451">
        <v>0</v>
      </c>
      <c r="Q88" s="451">
        <v>0</v>
      </c>
      <c r="R88" s="451">
        <v>119293554</v>
      </c>
      <c r="S88" s="452" t="s">
        <v>44</v>
      </c>
      <c r="T88" s="453" t="s">
        <v>786</v>
      </c>
      <c r="U88" s="453" t="s">
        <v>774</v>
      </c>
      <c r="V88" s="324"/>
      <c r="W88" s="325"/>
    </row>
    <row r="89" spans="1:23" s="197" customFormat="1" ht="12.75" x14ac:dyDescent="0.2">
      <c r="A89" s="446">
        <v>82</v>
      </c>
      <c r="B89" s="447" t="s">
        <v>47</v>
      </c>
      <c r="C89" s="448" t="s">
        <v>1093</v>
      </c>
      <c r="D89" s="449" t="s">
        <v>1097</v>
      </c>
      <c r="E89" s="450" t="s">
        <v>46</v>
      </c>
      <c r="F89" s="451">
        <v>16276166</v>
      </c>
      <c r="G89" s="451">
        <v>0</v>
      </c>
      <c r="H89" s="451">
        <v>202422</v>
      </c>
      <c r="I89" s="451">
        <v>92008</v>
      </c>
      <c r="J89" s="451">
        <v>0</v>
      </c>
      <c r="K89" s="451">
        <v>92008</v>
      </c>
      <c r="L89" s="451">
        <v>0</v>
      </c>
      <c r="M89" s="451">
        <v>0</v>
      </c>
      <c r="N89" s="451">
        <v>0</v>
      </c>
      <c r="O89" s="451">
        <v>0</v>
      </c>
      <c r="P89" s="451">
        <v>0</v>
      </c>
      <c r="Q89" s="451">
        <v>0</v>
      </c>
      <c r="R89" s="451">
        <v>15981736</v>
      </c>
      <c r="S89" s="452" t="s">
        <v>46</v>
      </c>
      <c r="T89" s="453" t="s">
        <v>814</v>
      </c>
      <c r="U89" s="454" t="s">
        <v>815</v>
      </c>
      <c r="V89" s="324"/>
      <c r="W89" s="325"/>
    </row>
    <row r="90" spans="1:23" s="197" customFormat="1" ht="12.75" x14ac:dyDescent="0.2">
      <c r="A90" s="446">
        <v>83</v>
      </c>
      <c r="B90" s="447" t="s">
        <v>49</v>
      </c>
      <c r="C90" s="448" t="s">
        <v>1093</v>
      </c>
      <c r="D90" s="449" t="s">
        <v>1102</v>
      </c>
      <c r="E90" s="450" t="s">
        <v>48</v>
      </c>
      <c r="F90" s="451">
        <v>29846098</v>
      </c>
      <c r="G90" s="451">
        <v>171845</v>
      </c>
      <c r="H90" s="451">
        <v>0</v>
      </c>
      <c r="I90" s="451">
        <v>227639</v>
      </c>
      <c r="J90" s="451">
        <v>0</v>
      </c>
      <c r="K90" s="451">
        <v>227639</v>
      </c>
      <c r="L90" s="451">
        <v>0</v>
      </c>
      <c r="M90" s="451">
        <v>0</v>
      </c>
      <c r="N90" s="451">
        <v>0</v>
      </c>
      <c r="O90" s="451">
        <v>0</v>
      </c>
      <c r="P90" s="451">
        <v>0</v>
      </c>
      <c r="Q90" s="451">
        <v>0</v>
      </c>
      <c r="R90" s="451">
        <v>29790304</v>
      </c>
      <c r="S90" s="452" t="s">
        <v>48</v>
      </c>
      <c r="T90" s="453" t="s">
        <v>827</v>
      </c>
      <c r="U90" s="456" t="s">
        <v>828</v>
      </c>
      <c r="V90" s="324"/>
      <c r="W90" s="325"/>
    </row>
    <row r="91" spans="1:23" s="197" customFormat="1" ht="12.75" x14ac:dyDescent="0.2">
      <c r="A91" s="446">
        <v>84</v>
      </c>
      <c r="B91" s="447" t="s">
        <v>51</v>
      </c>
      <c r="C91" s="448" t="s">
        <v>1093</v>
      </c>
      <c r="D91" s="449" t="s">
        <v>1102</v>
      </c>
      <c r="E91" s="450" t="s">
        <v>50</v>
      </c>
      <c r="F91" s="451">
        <v>19771669</v>
      </c>
      <c r="G91" s="451">
        <v>0</v>
      </c>
      <c r="H91" s="451">
        <v>47949</v>
      </c>
      <c r="I91" s="451">
        <v>108712</v>
      </c>
      <c r="J91" s="451">
        <v>0</v>
      </c>
      <c r="K91" s="451">
        <v>108712</v>
      </c>
      <c r="L91" s="451">
        <v>0</v>
      </c>
      <c r="M91" s="451">
        <v>0</v>
      </c>
      <c r="N91" s="451">
        <v>0</v>
      </c>
      <c r="O91" s="451">
        <v>0</v>
      </c>
      <c r="P91" s="451">
        <v>0</v>
      </c>
      <c r="Q91" s="451">
        <v>0</v>
      </c>
      <c r="R91" s="451">
        <v>19615008</v>
      </c>
      <c r="S91" s="452" t="s">
        <v>50</v>
      </c>
      <c r="T91" s="453" t="s">
        <v>821</v>
      </c>
      <c r="U91" s="454" t="s">
        <v>803</v>
      </c>
      <c r="V91" s="324" t="s">
        <v>1120</v>
      </c>
      <c r="W91" s="325"/>
    </row>
    <row r="92" spans="1:23" s="197" customFormat="1" ht="12.75" x14ac:dyDescent="0.2">
      <c r="A92" s="446">
        <v>85</v>
      </c>
      <c r="B92" s="447" t="s">
        <v>53</v>
      </c>
      <c r="C92" s="448" t="s">
        <v>1093</v>
      </c>
      <c r="D92" s="449" t="s">
        <v>1094</v>
      </c>
      <c r="E92" s="450" t="s">
        <v>52</v>
      </c>
      <c r="F92" s="451">
        <v>26989527</v>
      </c>
      <c r="G92" s="451">
        <v>0</v>
      </c>
      <c r="H92" s="451">
        <v>48593</v>
      </c>
      <c r="I92" s="451">
        <v>151002</v>
      </c>
      <c r="J92" s="451">
        <v>0</v>
      </c>
      <c r="K92" s="451">
        <v>151002</v>
      </c>
      <c r="L92" s="451">
        <v>0</v>
      </c>
      <c r="M92" s="451">
        <v>0</v>
      </c>
      <c r="N92" s="451">
        <v>0</v>
      </c>
      <c r="O92" s="451">
        <v>0</v>
      </c>
      <c r="P92" s="451">
        <v>0</v>
      </c>
      <c r="Q92" s="451">
        <v>0</v>
      </c>
      <c r="R92" s="451">
        <v>26789932</v>
      </c>
      <c r="S92" s="452" t="s">
        <v>52</v>
      </c>
      <c r="T92" s="453" t="s">
        <v>791</v>
      </c>
      <c r="U92" s="454" t="s">
        <v>792</v>
      </c>
      <c r="V92" s="324"/>
      <c r="W92" s="325"/>
    </row>
    <row r="93" spans="1:23" s="197" customFormat="1" ht="12.75" x14ac:dyDescent="0.2">
      <c r="A93" s="446">
        <v>86</v>
      </c>
      <c r="B93" s="447" t="s">
        <v>55</v>
      </c>
      <c r="C93" s="448" t="s">
        <v>1093</v>
      </c>
      <c r="D93" s="449" t="s">
        <v>1097</v>
      </c>
      <c r="E93" s="450" t="s">
        <v>54</v>
      </c>
      <c r="F93" s="451">
        <v>40257029</v>
      </c>
      <c r="G93" s="451">
        <v>0</v>
      </c>
      <c r="H93" s="451">
        <v>505635</v>
      </c>
      <c r="I93" s="451">
        <v>196026</v>
      </c>
      <c r="J93" s="451">
        <v>0</v>
      </c>
      <c r="K93" s="451">
        <v>196026</v>
      </c>
      <c r="L93" s="451">
        <v>0</v>
      </c>
      <c r="M93" s="451">
        <v>0</v>
      </c>
      <c r="N93" s="451">
        <v>0</v>
      </c>
      <c r="O93" s="451">
        <v>0</v>
      </c>
      <c r="P93" s="451">
        <v>0</v>
      </c>
      <c r="Q93" s="451">
        <v>0</v>
      </c>
      <c r="R93" s="451">
        <v>39555368</v>
      </c>
      <c r="S93" s="452" t="s">
        <v>54</v>
      </c>
      <c r="T93" s="453" t="s">
        <v>812</v>
      </c>
      <c r="U93" s="454" t="s">
        <v>775</v>
      </c>
      <c r="V93" s="324"/>
      <c r="W93" s="325"/>
    </row>
    <row r="94" spans="1:23" s="197" customFormat="1" ht="12.75" x14ac:dyDescent="0.2">
      <c r="A94" s="446">
        <v>87</v>
      </c>
      <c r="B94" s="447" t="s">
        <v>57</v>
      </c>
      <c r="C94" s="448" t="s">
        <v>1093</v>
      </c>
      <c r="D94" s="449" t="s">
        <v>1096</v>
      </c>
      <c r="E94" s="450" t="s">
        <v>56</v>
      </c>
      <c r="F94" s="451">
        <v>30927128</v>
      </c>
      <c r="G94" s="451">
        <v>63983</v>
      </c>
      <c r="H94" s="451">
        <v>0</v>
      </c>
      <c r="I94" s="451">
        <v>270768</v>
      </c>
      <c r="J94" s="451">
        <v>0</v>
      </c>
      <c r="K94" s="451">
        <v>270768</v>
      </c>
      <c r="L94" s="451">
        <v>0</v>
      </c>
      <c r="M94" s="451">
        <v>0</v>
      </c>
      <c r="N94" s="451">
        <v>0</v>
      </c>
      <c r="O94" s="451">
        <v>0</v>
      </c>
      <c r="P94" s="451">
        <v>0</v>
      </c>
      <c r="Q94" s="451">
        <v>0</v>
      </c>
      <c r="R94" s="451">
        <v>30720343</v>
      </c>
      <c r="S94" s="452" t="s">
        <v>56</v>
      </c>
      <c r="T94" s="453" t="s">
        <v>802</v>
      </c>
      <c r="U94" s="454" t="s">
        <v>775</v>
      </c>
      <c r="V94" s="324"/>
      <c r="W94" s="325"/>
    </row>
    <row r="95" spans="1:23" s="197" customFormat="1" ht="12.75" x14ac:dyDescent="0.2">
      <c r="A95" s="446">
        <v>88</v>
      </c>
      <c r="B95" s="447" t="s">
        <v>59</v>
      </c>
      <c r="C95" s="448" t="s">
        <v>1093</v>
      </c>
      <c r="D95" s="449" t="s">
        <v>1096</v>
      </c>
      <c r="E95" s="450" t="s">
        <v>58</v>
      </c>
      <c r="F95" s="451">
        <v>20557445</v>
      </c>
      <c r="G95" s="451">
        <v>0</v>
      </c>
      <c r="H95" s="451">
        <v>243670</v>
      </c>
      <c r="I95" s="451">
        <v>99141</v>
      </c>
      <c r="J95" s="451">
        <v>0</v>
      </c>
      <c r="K95" s="451">
        <v>99141</v>
      </c>
      <c r="L95" s="451">
        <v>0</v>
      </c>
      <c r="M95" s="451">
        <v>0</v>
      </c>
      <c r="N95" s="451">
        <v>0</v>
      </c>
      <c r="O95" s="451">
        <v>0</v>
      </c>
      <c r="P95" s="451">
        <v>0</v>
      </c>
      <c r="Q95" s="451">
        <v>0</v>
      </c>
      <c r="R95" s="451">
        <v>20214634</v>
      </c>
      <c r="S95" s="452" t="s">
        <v>58</v>
      </c>
      <c r="T95" s="453" t="s">
        <v>823</v>
      </c>
      <c r="U95" s="454" t="s">
        <v>775</v>
      </c>
      <c r="V95" s="324"/>
      <c r="W95" s="325"/>
    </row>
    <row r="96" spans="1:23" s="197" customFormat="1" ht="12.75" x14ac:dyDescent="0.2">
      <c r="A96" s="446">
        <v>89</v>
      </c>
      <c r="B96" s="447" t="s">
        <v>61</v>
      </c>
      <c r="C96" s="448" t="s">
        <v>794</v>
      </c>
      <c r="D96" s="449" t="s">
        <v>1101</v>
      </c>
      <c r="E96" s="450" t="s">
        <v>716</v>
      </c>
      <c r="F96" s="451">
        <v>88357329</v>
      </c>
      <c r="G96" s="451">
        <v>1561999</v>
      </c>
      <c r="H96" s="451">
        <v>0</v>
      </c>
      <c r="I96" s="451">
        <v>434464</v>
      </c>
      <c r="J96" s="451">
        <v>0</v>
      </c>
      <c r="K96" s="451">
        <v>434464</v>
      </c>
      <c r="L96" s="451">
        <v>0</v>
      </c>
      <c r="M96" s="451">
        <v>0</v>
      </c>
      <c r="N96" s="451">
        <v>0</v>
      </c>
      <c r="O96" s="451">
        <v>879893</v>
      </c>
      <c r="P96" s="451">
        <v>879893</v>
      </c>
      <c r="Q96" s="451">
        <v>0</v>
      </c>
      <c r="R96" s="451">
        <v>88604971</v>
      </c>
      <c r="S96" s="452" t="s">
        <v>716</v>
      </c>
      <c r="T96" s="453" t="s">
        <v>794</v>
      </c>
      <c r="U96" s="454" t="s">
        <v>829</v>
      </c>
      <c r="V96" s="324"/>
      <c r="W96" s="325"/>
    </row>
    <row r="97" spans="1:23" s="197" customFormat="1" ht="12.75" x14ac:dyDescent="0.2">
      <c r="A97" s="446">
        <v>90</v>
      </c>
      <c r="B97" s="447" t="s">
        <v>63</v>
      </c>
      <c r="C97" s="448" t="s">
        <v>1093</v>
      </c>
      <c r="D97" s="449" t="s">
        <v>1103</v>
      </c>
      <c r="E97" s="450" t="s">
        <v>62</v>
      </c>
      <c r="F97" s="451">
        <v>48946797</v>
      </c>
      <c r="G97" s="451">
        <v>0</v>
      </c>
      <c r="H97" s="451">
        <v>246419</v>
      </c>
      <c r="I97" s="451">
        <v>181017</v>
      </c>
      <c r="J97" s="451">
        <v>0</v>
      </c>
      <c r="K97" s="451">
        <v>181017</v>
      </c>
      <c r="L97" s="451">
        <v>0</v>
      </c>
      <c r="M97" s="451">
        <v>0</v>
      </c>
      <c r="N97" s="451">
        <v>0</v>
      </c>
      <c r="O97" s="451">
        <v>0</v>
      </c>
      <c r="P97" s="451">
        <v>0</v>
      </c>
      <c r="Q97" s="451">
        <v>0</v>
      </c>
      <c r="R97" s="451">
        <v>48519361</v>
      </c>
      <c r="S97" s="452" t="s">
        <v>62</v>
      </c>
      <c r="T97" s="453" t="s">
        <v>816</v>
      </c>
      <c r="U97" s="454" t="s">
        <v>817</v>
      </c>
      <c r="V97" s="324"/>
      <c r="W97" s="325"/>
    </row>
    <row r="98" spans="1:23" s="197" customFormat="1" ht="12.75" x14ac:dyDescent="0.2">
      <c r="A98" s="446">
        <v>91</v>
      </c>
      <c r="B98" s="447" t="s">
        <v>65</v>
      </c>
      <c r="C98" s="448" t="s">
        <v>1093</v>
      </c>
      <c r="D98" s="449" t="s">
        <v>1094</v>
      </c>
      <c r="E98" s="450" t="s">
        <v>64</v>
      </c>
      <c r="F98" s="451">
        <v>30701251</v>
      </c>
      <c r="G98" s="451">
        <v>76640</v>
      </c>
      <c r="H98" s="451">
        <v>0</v>
      </c>
      <c r="I98" s="451">
        <v>127360</v>
      </c>
      <c r="J98" s="451">
        <v>0</v>
      </c>
      <c r="K98" s="451">
        <v>127360</v>
      </c>
      <c r="L98" s="451">
        <v>0</v>
      </c>
      <c r="M98" s="451">
        <v>0</v>
      </c>
      <c r="N98" s="451">
        <v>0</v>
      </c>
      <c r="O98" s="451">
        <v>0</v>
      </c>
      <c r="P98" s="451">
        <v>0</v>
      </c>
      <c r="Q98" s="451">
        <v>0</v>
      </c>
      <c r="R98" s="451">
        <v>30650531</v>
      </c>
      <c r="S98" s="452" t="s">
        <v>64</v>
      </c>
      <c r="T98" s="453" t="s">
        <v>830</v>
      </c>
      <c r="U98" s="454" t="s">
        <v>808</v>
      </c>
      <c r="V98" s="324"/>
      <c r="W98" s="325"/>
    </row>
    <row r="99" spans="1:23" s="197" customFormat="1" ht="12.75" x14ac:dyDescent="0.2">
      <c r="A99" s="446">
        <v>92</v>
      </c>
      <c r="B99" s="447" t="s">
        <v>67</v>
      </c>
      <c r="C99" s="448" t="s">
        <v>1093</v>
      </c>
      <c r="D99" s="449" t="s">
        <v>1094</v>
      </c>
      <c r="E99" s="450" t="s">
        <v>66</v>
      </c>
      <c r="F99" s="451">
        <v>51125876</v>
      </c>
      <c r="G99" s="451">
        <v>0</v>
      </c>
      <c r="H99" s="451">
        <v>300798</v>
      </c>
      <c r="I99" s="451">
        <v>151492</v>
      </c>
      <c r="J99" s="451">
        <v>0</v>
      </c>
      <c r="K99" s="451">
        <v>151492</v>
      </c>
      <c r="L99" s="451">
        <v>0</v>
      </c>
      <c r="M99" s="451">
        <v>0</v>
      </c>
      <c r="N99" s="451">
        <v>0</v>
      </c>
      <c r="O99" s="451">
        <v>0</v>
      </c>
      <c r="P99" s="451">
        <v>0</v>
      </c>
      <c r="Q99" s="451">
        <v>0</v>
      </c>
      <c r="R99" s="451">
        <v>50673586</v>
      </c>
      <c r="S99" s="452" t="s">
        <v>66</v>
      </c>
      <c r="T99" s="453" t="s">
        <v>791</v>
      </c>
      <c r="U99" s="454" t="s">
        <v>792</v>
      </c>
      <c r="V99" s="324"/>
      <c r="W99" s="325"/>
    </row>
    <row r="100" spans="1:23" s="197" customFormat="1" ht="12.75" x14ac:dyDescent="0.2">
      <c r="A100" s="446">
        <v>93</v>
      </c>
      <c r="B100" s="447" t="s">
        <v>69</v>
      </c>
      <c r="C100" s="448" t="s">
        <v>1093</v>
      </c>
      <c r="D100" s="449" t="s">
        <v>1095</v>
      </c>
      <c r="E100" s="450" t="s">
        <v>68</v>
      </c>
      <c r="F100" s="451">
        <v>20074292</v>
      </c>
      <c r="G100" s="451">
        <v>48881</v>
      </c>
      <c r="H100" s="451">
        <v>0</v>
      </c>
      <c r="I100" s="451">
        <v>127959</v>
      </c>
      <c r="J100" s="451">
        <v>0</v>
      </c>
      <c r="K100" s="451">
        <v>127959</v>
      </c>
      <c r="L100" s="451">
        <v>0</v>
      </c>
      <c r="M100" s="451">
        <v>0</v>
      </c>
      <c r="N100" s="451">
        <v>0</v>
      </c>
      <c r="O100" s="451">
        <v>0</v>
      </c>
      <c r="P100" s="451">
        <v>0</v>
      </c>
      <c r="Q100" s="451">
        <v>0</v>
      </c>
      <c r="R100" s="451">
        <v>19995214</v>
      </c>
      <c r="S100" s="452" t="s">
        <v>68</v>
      </c>
      <c r="T100" s="453" t="s">
        <v>776</v>
      </c>
      <c r="U100" s="454" t="s">
        <v>775</v>
      </c>
      <c r="V100" s="324"/>
      <c r="W100" s="325"/>
    </row>
    <row r="101" spans="1:23" s="197" customFormat="1" ht="12.75" x14ac:dyDescent="0.2">
      <c r="A101" s="446">
        <v>94</v>
      </c>
      <c r="B101" s="447" t="s">
        <v>71</v>
      </c>
      <c r="C101" s="448" t="s">
        <v>1093</v>
      </c>
      <c r="D101" s="449" t="s">
        <v>1094</v>
      </c>
      <c r="E101" s="450" t="s">
        <v>70</v>
      </c>
      <c r="F101" s="451">
        <v>52191781</v>
      </c>
      <c r="G101" s="451">
        <v>0</v>
      </c>
      <c r="H101" s="451">
        <v>49671</v>
      </c>
      <c r="I101" s="451">
        <v>183258</v>
      </c>
      <c r="J101" s="451">
        <v>0</v>
      </c>
      <c r="K101" s="451">
        <v>183258</v>
      </c>
      <c r="L101" s="451">
        <v>0</v>
      </c>
      <c r="M101" s="451">
        <v>0</v>
      </c>
      <c r="N101" s="451">
        <v>0</v>
      </c>
      <c r="O101" s="451">
        <v>0</v>
      </c>
      <c r="P101" s="451">
        <v>0</v>
      </c>
      <c r="Q101" s="451">
        <v>0</v>
      </c>
      <c r="R101" s="451">
        <v>51958852</v>
      </c>
      <c r="S101" s="452" t="s">
        <v>70</v>
      </c>
      <c r="T101" s="453" t="s">
        <v>831</v>
      </c>
      <c r="U101" s="454" t="s">
        <v>775</v>
      </c>
      <c r="V101" s="324"/>
      <c r="W101" s="325"/>
    </row>
    <row r="102" spans="1:23" s="197" customFormat="1" ht="12.75" x14ac:dyDescent="0.2">
      <c r="A102" s="446">
        <v>95</v>
      </c>
      <c r="B102" s="447" t="s">
        <v>73</v>
      </c>
      <c r="C102" s="448" t="s">
        <v>1098</v>
      </c>
      <c r="D102" s="449" t="s">
        <v>1099</v>
      </c>
      <c r="E102" s="450" t="s">
        <v>72</v>
      </c>
      <c r="F102" s="451">
        <v>102425806</v>
      </c>
      <c r="G102" s="451">
        <v>1013324</v>
      </c>
      <c r="H102" s="451">
        <v>0</v>
      </c>
      <c r="I102" s="451">
        <v>350511</v>
      </c>
      <c r="J102" s="451">
        <v>0</v>
      </c>
      <c r="K102" s="451">
        <v>350511</v>
      </c>
      <c r="L102" s="451">
        <v>0</v>
      </c>
      <c r="M102" s="451">
        <v>0</v>
      </c>
      <c r="N102" s="451">
        <v>0</v>
      </c>
      <c r="O102" s="451">
        <v>0</v>
      </c>
      <c r="P102" s="451">
        <v>0</v>
      </c>
      <c r="Q102" s="451">
        <v>0</v>
      </c>
      <c r="R102" s="451">
        <v>103088619</v>
      </c>
      <c r="S102" s="452" t="s">
        <v>72</v>
      </c>
      <c r="T102" s="453" t="s">
        <v>786</v>
      </c>
      <c r="U102" s="453" t="s">
        <v>774</v>
      </c>
      <c r="V102" s="324"/>
      <c r="W102" s="325"/>
    </row>
    <row r="103" spans="1:23" s="197" customFormat="1" ht="12.75" x14ac:dyDescent="0.2">
      <c r="A103" s="446">
        <v>96</v>
      </c>
      <c r="B103" s="447" t="s">
        <v>75</v>
      </c>
      <c r="C103" s="448" t="s">
        <v>1093</v>
      </c>
      <c r="D103" s="449" t="s">
        <v>1097</v>
      </c>
      <c r="E103" s="450" t="s">
        <v>74</v>
      </c>
      <c r="F103" s="451">
        <v>31125419</v>
      </c>
      <c r="G103" s="451">
        <v>0</v>
      </c>
      <c r="H103" s="451">
        <v>41943</v>
      </c>
      <c r="I103" s="451">
        <v>171117</v>
      </c>
      <c r="J103" s="451">
        <v>0</v>
      </c>
      <c r="K103" s="451">
        <v>171117</v>
      </c>
      <c r="L103" s="451">
        <v>0</v>
      </c>
      <c r="M103" s="451">
        <v>0</v>
      </c>
      <c r="N103" s="451">
        <v>0</v>
      </c>
      <c r="O103" s="451">
        <v>0</v>
      </c>
      <c r="P103" s="451">
        <v>0</v>
      </c>
      <c r="Q103" s="451">
        <v>0</v>
      </c>
      <c r="R103" s="451">
        <v>30912359</v>
      </c>
      <c r="S103" s="452" t="s">
        <v>74</v>
      </c>
      <c r="T103" s="453" t="s">
        <v>789</v>
      </c>
      <c r="U103" s="454" t="s">
        <v>790</v>
      </c>
      <c r="V103" s="324"/>
      <c r="W103" s="325"/>
    </row>
    <row r="104" spans="1:23" s="197" customFormat="1" ht="12.75" x14ac:dyDescent="0.2">
      <c r="A104" s="446">
        <v>97</v>
      </c>
      <c r="B104" s="447" t="s">
        <v>77</v>
      </c>
      <c r="C104" s="448" t="s">
        <v>1093</v>
      </c>
      <c r="D104" s="449" t="s">
        <v>1094</v>
      </c>
      <c r="E104" s="450" t="s">
        <v>1112</v>
      </c>
      <c r="F104" s="451">
        <v>21586509</v>
      </c>
      <c r="G104" s="451">
        <v>0</v>
      </c>
      <c r="H104" s="451">
        <v>176248</v>
      </c>
      <c r="I104" s="451">
        <v>87849</v>
      </c>
      <c r="J104" s="451">
        <v>0</v>
      </c>
      <c r="K104" s="451">
        <v>87849</v>
      </c>
      <c r="L104" s="451">
        <v>0</v>
      </c>
      <c r="M104" s="451">
        <v>0</v>
      </c>
      <c r="N104" s="451">
        <v>0</v>
      </c>
      <c r="O104" s="451">
        <v>0</v>
      </c>
      <c r="P104" s="451">
        <v>0</v>
      </c>
      <c r="Q104" s="451">
        <v>0</v>
      </c>
      <c r="R104" s="451">
        <v>21322412</v>
      </c>
      <c r="S104" s="452" t="s">
        <v>76</v>
      </c>
      <c r="T104" s="453" t="s">
        <v>831</v>
      </c>
      <c r="U104" s="454" t="s">
        <v>775</v>
      </c>
      <c r="V104" s="324"/>
      <c r="W104" s="325"/>
    </row>
    <row r="105" spans="1:23" s="197" customFormat="1" ht="12.75" x14ac:dyDescent="0.2">
      <c r="A105" s="446">
        <v>98</v>
      </c>
      <c r="B105" s="447" t="s">
        <v>79</v>
      </c>
      <c r="C105" s="448" t="s">
        <v>1093</v>
      </c>
      <c r="D105" s="449" t="s">
        <v>1096</v>
      </c>
      <c r="E105" s="450" t="s">
        <v>78</v>
      </c>
      <c r="F105" s="451">
        <v>23565751</v>
      </c>
      <c r="G105" s="451">
        <v>46996</v>
      </c>
      <c r="H105" s="451">
        <v>0</v>
      </c>
      <c r="I105" s="451">
        <v>137569</v>
      </c>
      <c r="J105" s="451">
        <v>6000</v>
      </c>
      <c r="K105" s="451">
        <v>143569</v>
      </c>
      <c r="L105" s="451">
        <v>0</v>
      </c>
      <c r="M105" s="451">
        <v>0</v>
      </c>
      <c r="N105" s="451">
        <v>0</v>
      </c>
      <c r="O105" s="451">
        <v>0</v>
      </c>
      <c r="P105" s="451">
        <v>0</v>
      </c>
      <c r="Q105" s="451">
        <v>0</v>
      </c>
      <c r="R105" s="451">
        <v>23469178</v>
      </c>
      <c r="S105" s="452" t="s">
        <v>78</v>
      </c>
      <c r="T105" s="453" t="s">
        <v>777</v>
      </c>
      <c r="U105" s="454" t="s">
        <v>778</v>
      </c>
      <c r="V105" s="324"/>
      <c r="W105" s="325"/>
    </row>
    <row r="106" spans="1:23" s="197" customFormat="1" ht="12.75" x14ac:dyDescent="0.2">
      <c r="A106" s="446">
        <v>99</v>
      </c>
      <c r="B106" s="447" t="s">
        <v>81</v>
      </c>
      <c r="C106" s="448" t="s">
        <v>1093</v>
      </c>
      <c r="D106" s="449" t="s">
        <v>1102</v>
      </c>
      <c r="E106" s="450" t="s">
        <v>80</v>
      </c>
      <c r="F106" s="451">
        <v>71414545</v>
      </c>
      <c r="G106" s="451">
        <v>96545</v>
      </c>
      <c r="H106" s="451">
        <v>0</v>
      </c>
      <c r="I106" s="451">
        <v>224450</v>
      </c>
      <c r="J106" s="451">
        <v>0</v>
      </c>
      <c r="K106" s="451">
        <v>224450</v>
      </c>
      <c r="L106" s="451">
        <v>0</v>
      </c>
      <c r="M106" s="451">
        <v>0</v>
      </c>
      <c r="N106" s="451">
        <v>0</v>
      </c>
      <c r="O106" s="451">
        <v>0</v>
      </c>
      <c r="P106" s="451">
        <v>0</v>
      </c>
      <c r="Q106" s="451">
        <v>0</v>
      </c>
      <c r="R106" s="451">
        <v>71286640</v>
      </c>
      <c r="S106" s="452" t="s">
        <v>80</v>
      </c>
      <c r="T106" s="453" t="s">
        <v>827</v>
      </c>
      <c r="U106" s="454" t="s">
        <v>828</v>
      </c>
      <c r="V106" s="324"/>
      <c r="W106" s="325"/>
    </row>
    <row r="107" spans="1:23" s="197" customFormat="1" ht="12.75" x14ac:dyDescent="0.2">
      <c r="A107" s="446">
        <v>100</v>
      </c>
      <c r="B107" s="447" t="s">
        <v>83</v>
      </c>
      <c r="C107" s="448" t="s">
        <v>1093</v>
      </c>
      <c r="D107" s="449" t="s">
        <v>1094</v>
      </c>
      <c r="E107" s="450" t="s">
        <v>82</v>
      </c>
      <c r="F107" s="451">
        <v>36855278</v>
      </c>
      <c r="G107" s="451">
        <v>0</v>
      </c>
      <c r="H107" s="451">
        <v>397379</v>
      </c>
      <c r="I107" s="451">
        <v>142973</v>
      </c>
      <c r="J107" s="451">
        <v>0</v>
      </c>
      <c r="K107" s="451">
        <v>142973</v>
      </c>
      <c r="L107" s="451">
        <v>0</v>
      </c>
      <c r="M107" s="451">
        <v>0</v>
      </c>
      <c r="N107" s="451">
        <v>0</v>
      </c>
      <c r="O107" s="451">
        <v>0</v>
      </c>
      <c r="P107" s="451">
        <v>0</v>
      </c>
      <c r="Q107" s="451">
        <v>0</v>
      </c>
      <c r="R107" s="451">
        <v>36314926</v>
      </c>
      <c r="S107" s="452" t="s">
        <v>82</v>
      </c>
      <c r="T107" s="453" t="s">
        <v>791</v>
      </c>
      <c r="U107" s="454" t="s">
        <v>792</v>
      </c>
      <c r="V107" s="324"/>
      <c r="W107" s="325"/>
    </row>
    <row r="108" spans="1:23" s="197" customFormat="1" ht="12.75" x14ac:dyDescent="0.2">
      <c r="A108" s="446">
        <v>101</v>
      </c>
      <c r="B108" s="447" t="s">
        <v>85</v>
      </c>
      <c r="C108" s="448" t="s">
        <v>1093</v>
      </c>
      <c r="D108" s="449" t="s">
        <v>1097</v>
      </c>
      <c r="E108" s="450" t="s">
        <v>84</v>
      </c>
      <c r="F108" s="451">
        <v>23138558</v>
      </c>
      <c r="G108" s="451">
        <v>311868</v>
      </c>
      <c r="H108" s="451">
        <v>0</v>
      </c>
      <c r="I108" s="451">
        <v>126613</v>
      </c>
      <c r="J108" s="451">
        <v>0</v>
      </c>
      <c r="K108" s="451">
        <v>126613</v>
      </c>
      <c r="L108" s="451">
        <v>0</v>
      </c>
      <c r="M108" s="451">
        <v>0</v>
      </c>
      <c r="N108" s="451">
        <v>0</v>
      </c>
      <c r="O108" s="451">
        <v>0</v>
      </c>
      <c r="P108" s="451">
        <v>0</v>
      </c>
      <c r="Q108" s="451">
        <v>0</v>
      </c>
      <c r="R108" s="451">
        <v>23323813</v>
      </c>
      <c r="S108" s="452" t="s">
        <v>84</v>
      </c>
      <c r="T108" s="453" t="s">
        <v>814</v>
      </c>
      <c r="U108" s="454" t="s">
        <v>815</v>
      </c>
      <c r="V108" s="324"/>
      <c r="W108" s="325"/>
    </row>
    <row r="109" spans="1:23" s="197" customFormat="1" ht="12.75" x14ac:dyDescent="0.2">
      <c r="A109" s="446">
        <v>102</v>
      </c>
      <c r="B109" s="447" t="s">
        <v>87</v>
      </c>
      <c r="C109" s="448" t="s">
        <v>1093</v>
      </c>
      <c r="D109" s="449" t="s">
        <v>1097</v>
      </c>
      <c r="E109" s="450" t="s">
        <v>86</v>
      </c>
      <c r="F109" s="451">
        <v>20936181</v>
      </c>
      <c r="G109" s="451">
        <v>0</v>
      </c>
      <c r="H109" s="451">
        <v>174949</v>
      </c>
      <c r="I109" s="451">
        <v>90531</v>
      </c>
      <c r="J109" s="451">
        <v>0</v>
      </c>
      <c r="K109" s="451">
        <v>90531</v>
      </c>
      <c r="L109" s="451">
        <v>0</v>
      </c>
      <c r="M109" s="451">
        <v>0</v>
      </c>
      <c r="N109" s="451">
        <v>0</v>
      </c>
      <c r="O109" s="451">
        <v>0</v>
      </c>
      <c r="P109" s="451">
        <v>0</v>
      </c>
      <c r="Q109" s="451">
        <v>0</v>
      </c>
      <c r="R109" s="451">
        <v>20670701</v>
      </c>
      <c r="S109" s="452" t="s">
        <v>86</v>
      </c>
      <c r="T109" s="453" t="s">
        <v>785</v>
      </c>
      <c r="U109" s="454" t="s">
        <v>775</v>
      </c>
      <c r="V109" s="324"/>
      <c r="W109" s="325"/>
    </row>
    <row r="110" spans="1:23" s="197" customFormat="1" ht="12.75" x14ac:dyDescent="0.2">
      <c r="A110" s="446">
        <v>103</v>
      </c>
      <c r="B110" s="447" t="s">
        <v>89</v>
      </c>
      <c r="C110" s="448" t="s">
        <v>1093</v>
      </c>
      <c r="D110" s="449" t="s">
        <v>1102</v>
      </c>
      <c r="E110" s="450" t="s">
        <v>88</v>
      </c>
      <c r="F110" s="451">
        <v>11380545</v>
      </c>
      <c r="G110" s="451">
        <v>92140</v>
      </c>
      <c r="H110" s="451">
        <v>0</v>
      </c>
      <c r="I110" s="451">
        <v>119683</v>
      </c>
      <c r="J110" s="451">
        <v>0</v>
      </c>
      <c r="K110" s="451">
        <v>119683</v>
      </c>
      <c r="L110" s="451">
        <v>0</v>
      </c>
      <c r="M110" s="451">
        <v>0</v>
      </c>
      <c r="N110" s="451">
        <v>0</v>
      </c>
      <c r="O110" s="451">
        <v>0</v>
      </c>
      <c r="P110" s="451">
        <v>0</v>
      </c>
      <c r="Q110" s="451">
        <v>0</v>
      </c>
      <c r="R110" s="451">
        <v>11353002</v>
      </c>
      <c r="S110" s="452" t="s">
        <v>88</v>
      </c>
      <c r="T110" s="453" t="s">
        <v>818</v>
      </c>
      <c r="U110" s="454" t="s">
        <v>775</v>
      </c>
      <c r="V110" s="324"/>
      <c r="W110" s="325"/>
    </row>
    <row r="111" spans="1:23" s="197" customFormat="1" ht="12.75" x14ac:dyDescent="0.2">
      <c r="A111" s="446">
        <v>104</v>
      </c>
      <c r="B111" s="447" t="s">
        <v>91</v>
      </c>
      <c r="C111" s="448" t="s">
        <v>1093</v>
      </c>
      <c r="D111" s="449" t="s">
        <v>1095</v>
      </c>
      <c r="E111" s="450" t="s">
        <v>90</v>
      </c>
      <c r="F111" s="451">
        <v>23112101</v>
      </c>
      <c r="G111" s="451">
        <v>104108</v>
      </c>
      <c r="H111" s="451">
        <v>0</v>
      </c>
      <c r="I111" s="451">
        <v>110662</v>
      </c>
      <c r="J111" s="451">
        <v>0</v>
      </c>
      <c r="K111" s="451">
        <v>110662</v>
      </c>
      <c r="L111" s="451">
        <v>0</v>
      </c>
      <c r="M111" s="451">
        <v>0</v>
      </c>
      <c r="N111" s="451">
        <v>0</v>
      </c>
      <c r="O111" s="451">
        <v>0</v>
      </c>
      <c r="P111" s="451">
        <v>0</v>
      </c>
      <c r="Q111" s="451">
        <v>0</v>
      </c>
      <c r="R111" s="451">
        <v>23105547</v>
      </c>
      <c r="S111" s="452" t="s">
        <v>90</v>
      </c>
      <c r="T111" s="453" t="s">
        <v>813</v>
      </c>
      <c r="U111" s="454" t="s">
        <v>800</v>
      </c>
      <c r="V111" s="324"/>
      <c r="W111" s="325"/>
    </row>
    <row r="112" spans="1:23" s="197" customFormat="1" ht="12.75" x14ac:dyDescent="0.2">
      <c r="A112" s="446">
        <v>105</v>
      </c>
      <c r="B112" s="447" t="s">
        <v>93</v>
      </c>
      <c r="C112" s="448" t="s">
        <v>1100</v>
      </c>
      <c r="D112" s="449" t="s">
        <v>1105</v>
      </c>
      <c r="E112" s="450" t="s">
        <v>92</v>
      </c>
      <c r="F112" s="451">
        <v>83353387</v>
      </c>
      <c r="G112" s="451">
        <v>0</v>
      </c>
      <c r="H112" s="451">
        <v>663128</v>
      </c>
      <c r="I112" s="451">
        <v>294393</v>
      </c>
      <c r="J112" s="451">
        <v>0</v>
      </c>
      <c r="K112" s="451">
        <v>294393</v>
      </c>
      <c r="L112" s="451">
        <v>0</v>
      </c>
      <c r="M112" s="451">
        <v>0</v>
      </c>
      <c r="N112" s="451">
        <v>0</v>
      </c>
      <c r="O112" s="451">
        <v>0</v>
      </c>
      <c r="P112" s="451">
        <v>0</v>
      </c>
      <c r="Q112" s="451">
        <v>0</v>
      </c>
      <c r="R112" s="451">
        <v>82395866</v>
      </c>
      <c r="S112" s="452" t="s">
        <v>92</v>
      </c>
      <c r="T112" s="453" t="s">
        <v>787</v>
      </c>
      <c r="U112" s="454" t="s">
        <v>832</v>
      </c>
      <c r="V112" s="324"/>
      <c r="W112" s="325"/>
    </row>
    <row r="113" spans="1:23" s="197" customFormat="1" ht="12.75" x14ac:dyDescent="0.2">
      <c r="A113" s="446">
        <v>106</v>
      </c>
      <c r="B113" s="447" t="s">
        <v>95</v>
      </c>
      <c r="C113" s="448" t="s">
        <v>1093</v>
      </c>
      <c r="D113" s="449" t="s">
        <v>1096</v>
      </c>
      <c r="E113" s="450" t="s">
        <v>94</v>
      </c>
      <c r="F113" s="451">
        <v>20087508</v>
      </c>
      <c r="G113" s="451">
        <v>0</v>
      </c>
      <c r="H113" s="451">
        <v>183808</v>
      </c>
      <c r="I113" s="451">
        <v>102089</v>
      </c>
      <c r="J113" s="451">
        <v>0</v>
      </c>
      <c r="K113" s="451">
        <v>102089</v>
      </c>
      <c r="L113" s="451">
        <v>0</v>
      </c>
      <c r="M113" s="451">
        <v>0</v>
      </c>
      <c r="N113" s="451">
        <v>0</v>
      </c>
      <c r="O113" s="451">
        <v>0</v>
      </c>
      <c r="P113" s="451">
        <v>0</v>
      </c>
      <c r="Q113" s="451">
        <v>0</v>
      </c>
      <c r="R113" s="451">
        <v>19801611</v>
      </c>
      <c r="S113" s="452" t="s">
        <v>94</v>
      </c>
      <c r="T113" s="453" t="s">
        <v>779</v>
      </c>
      <c r="U113" s="454" t="s">
        <v>780</v>
      </c>
      <c r="V113" s="324"/>
      <c r="W113" s="325"/>
    </row>
    <row r="114" spans="1:23" s="197" customFormat="1" ht="12.75" x14ac:dyDescent="0.2">
      <c r="A114" s="446">
        <v>107</v>
      </c>
      <c r="B114" s="447" t="s">
        <v>97</v>
      </c>
      <c r="C114" s="448" t="s">
        <v>1093</v>
      </c>
      <c r="D114" s="449" t="s">
        <v>1102</v>
      </c>
      <c r="E114" s="450" t="s">
        <v>96</v>
      </c>
      <c r="F114" s="451">
        <v>49667485</v>
      </c>
      <c r="G114" s="451">
        <v>0</v>
      </c>
      <c r="H114" s="451">
        <v>263419</v>
      </c>
      <c r="I114" s="451">
        <v>179973</v>
      </c>
      <c r="J114" s="451">
        <v>0</v>
      </c>
      <c r="K114" s="451">
        <v>179973</v>
      </c>
      <c r="L114" s="451">
        <v>0</v>
      </c>
      <c r="M114" s="451">
        <v>0</v>
      </c>
      <c r="N114" s="451">
        <v>0</v>
      </c>
      <c r="O114" s="451">
        <v>0</v>
      </c>
      <c r="P114" s="451">
        <v>0</v>
      </c>
      <c r="Q114" s="451">
        <v>0</v>
      </c>
      <c r="R114" s="451">
        <v>49224093</v>
      </c>
      <c r="S114" s="452" t="s">
        <v>96</v>
      </c>
      <c r="T114" s="453" t="s">
        <v>818</v>
      </c>
      <c r="U114" s="454" t="s">
        <v>775</v>
      </c>
      <c r="V114" s="324"/>
      <c r="W114" s="325"/>
    </row>
    <row r="115" spans="1:23" s="197" customFormat="1" ht="12.75" x14ac:dyDescent="0.2">
      <c r="A115" s="446">
        <v>108</v>
      </c>
      <c r="B115" s="447" t="s">
        <v>99</v>
      </c>
      <c r="C115" s="448" t="s">
        <v>1093</v>
      </c>
      <c r="D115" s="449" t="s">
        <v>1094</v>
      </c>
      <c r="E115" s="450" t="s">
        <v>98</v>
      </c>
      <c r="F115" s="451">
        <v>11440355</v>
      </c>
      <c r="G115" s="451">
        <v>0</v>
      </c>
      <c r="H115" s="451">
        <v>12226</v>
      </c>
      <c r="I115" s="451">
        <v>81989</v>
      </c>
      <c r="J115" s="451">
        <v>0</v>
      </c>
      <c r="K115" s="451">
        <v>81989</v>
      </c>
      <c r="L115" s="451">
        <v>0</v>
      </c>
      <c r="M115" s="451">
        <v>0</v>
      </c>
      <c r="N115" s="451">
        <v>0</v>
      </c>
      <c r="O115" s="451">
        <v>0</v>
      </c>
      <c r="P115" s="451">
        <v>0</v>
      </c>
      <c r="Q115" s="451">
        <v>0</v>
      </c>
      <c r="R115" s="451">
        <v>11346140</v>
      </c>
      <c r="S115" s="452" t="s">
        <v>98</v>
      </c>
      <c r="T115" s="453" t="s">
        <v>791</v>
      </c>
      <c r="U115" s="454" t="s">
        <v>792</v>
      </c>
      <c r="V115" s="324"/>
      <c r="W115" s="325"/>
    </row>
    <row r="116" spans="1:23" s="197" customFormat="1" ht="12.75" x14ac:dyDescent="0.2">
      <c r="A116" s="446">
        <v>109</v>
      </c>
      <c r="B116" s="447" t="s">
        <v>101</v>
      </c>
      <c r="C116" s="448" t="s">
        <v>1093</v>
      </c>
      <c r="D116" s="449" t="s">
        <v>1094</v>
      </c>
      <c r="E116" s="450" t="s">
        <v>100</v>
      </c>
      <c r="F116" s="451">
        <v>20901438</v>
      </c>
      <c r="G116" s="451">
        <v>0</v>
      </c>
      <c r="H116" s="451">
        <v>107829</v>
      </c>
      <c r="I116" s="451">
        <v>98428</v>
      </c>
      <c r="J116" s="451">
        <v>0</v>
      </c>
      <c r="K116" s="451">
        <v>98428</v>
      </c>
      <c r="L116" s="451">
        <v>0</v>
      </c>
      <c r="M116" s="451">
        <v>0</v>
      </c>
      <c r="N116" s="451">
        <v>0</v>
      </c>
      <c r="O116" s="451">
        <v>0</v>
      </c>
      <c r="P116" s="451">
        <v>0</v>
      </c>
      <c r="Q116" s="451">
        <v>0</v>
      </c>
      <c r="R116" s="451">
        <v>20695181</v>
      </c>
      <c r="S116" s="452" t="s">
        <v>100</v>
      </c>
      <c r="T116" s="453" t="s">
        <v>781</v>
      </c>
      <c r="U116" s="454" t="s">
        <v>782</v>
      </c>
      <c r="V116" s="324"/>
      <c r="W116" s="325"/>
    </row>
    <row r="117" spans="1:23" s="197" customFormat="1" ht="12.75" x14ac:dyDescent="0.2">
      <c r="A117" s="446">
        <v>110</v>
      </c>
      <c r="B117" s="447" t="s">
        <v>103</v>
      </c>
      <c r="C117" s="448" t="s">
        <v>1093</v>
      </c>
      <c r="D117" s="449" t="s">
        <v>1097</v>
      </c>
      <c r="E117" s="450" t="s">
        <v>102</v>
      </c>
      <c r="F117" s="451">
        <v>18252059</v>
      </c>
      <c r="G117" s="451">
        <v>518818</v>
      </c>
      <c r="H117" s="451">
        <v>0</v>
      </c>
      <c r="I117" s="451">
        <v>185992</v>
      </c>
      <c r="J117" s="451">
        <v>0</v>
      </c>
      <c r="K117" s="451">
        <v>185992</v>
      </c>
      <c r="L117" s="451">
        <v>0</v>
      </c>
      <c r="M117" s="451">
        <v>0</v>
      </c>
      <c r="N117" s="451">
        <v>0</v>
      </c>
      <c r="O117" s="451">
        <v>0</v>
      </c>
      <c r="P117" s="451">
        <v>0</v>
      </c>
      <c r="Q117" s="451">
        <v>0</v>
      </c>
      <c r="R117" s="451">
        <v>18584885</v>
      </c>
      <c r="S117" s="452" t="s">
        <v>102</v>
      </c>
      <c r="T117" s="453" t="s">
        <v>806</v>
      </c>
      <c r="U117" s="454" t="s">
        <v>775</v>
      </c>
      <c r="V117" s="324"/>
      <c r="W117" s="325"/>
    </row>
    <row r="118" spans="1:23" s="197" customFormat="1" ht="12.75" x14ac:dyDescent="0.2">
      <c r="A118" s="446">
        <v>111</v>
      </c>
      <c r="B118" s="447" t="s">
        <v>105</v>
      </c>
      <c r="C118" s="448" t="s">
        <v>1104</v>
      </c>
      <c r="D118" s="449" t="s">
        <v>1099</v>
      </c>
      <c r="E118" s="450" t="s">
        <v>104</v>
      </c>
      <c r="F118" s="451">
        <v>63894692</v>
      </c>
      <c r="G118" s="451">
        <v>0</v>
      </c>
      <c r="H118" s="451">
        <v>162009</v>
      </c>
      <c r="I118" s="451">
        <v>275906</v>
      </c>
      <c r="J118" s="451">
        <v>0</v>
      </c>
      <c r="K118" s="451">
        <v>275906</v>
      </c>
      <c r="L118" s="451">
        <v>0</v>
      </c>
      <c r="M118" s="451">
        <v>0</v>
      </c>
      <c r="N118" s="451">
        <v>0</v>
      </c>
      <c r="O118" s="451">
        <v>0</v>
      </c>
      <c r="P118" s="451">
        <v>0</v>
      </c>
      <c r="Q118" s="451">
        <v>0</v>
      </c>
      <c r="R118" s="451">
        <v>63456777</v>
      </c>
      <c r="S118" s="452" t="s">
        <v>104</v>
      </c>
      <c r="T118" s="453" t="s">
        <v>786</v>
      </c>
      <c r="U118" s="453" t="s">
        <v>774</v>
      </c>
      <c r="V118" s="324"/>
      <c r="W118" s="325"/>
    </row>
    <row r="119" spans="1:23" s="197" customFormat="1" ht="12.75" x14ac:dyDescent="0.2">
      <c r="A119" s="446">
        <v>112</v>
      </c>
      <c r="B119" s="447" t="s">
        <v>107</v>
      </c>
      <c r="C119" s="448" t="s">
        <v>1093</v>
      </c>
      <c r="D119" s="449" t="s">
        <v>1094</v>
      </c>
      <c r="E119" s="450" t="s">
        <v>106</v>
      </c>
      <c r="F119" s="451">
        <v>74373583</v>
      </c>
      <c r="G119" s="451">
        <v>0</v>
      </c>
      <c r="H119" s="451">
        <v>611528</v>
      </c>
      <c r="I119" s="451">
        <v>237981</v>
      </c>
      <c r="J119" s="451">
        <v>0</v>
      </c>
      <c r="K119" s="451">
        <v>237981</v>
      </c>
      <c r="L119" s="451">
        <v>0</v>
      </c>
      <c r="M119" s="451">
        <v>0</v>
      </c>
      <c r="N119" s="451">
        <v>0</v>
      </c>
      <c r="O119" s="451">
        <v>0</v>
      </c>
      <c r="P119" s="451">
        <v>0</v>
      </c>
      <c r="Q119" s="451">
        <v>0</v>
      </c>
      <c r="R119" s="451">
        <v>73524074</v>
      </c>
      <c r="S119" s="452" t="s">
        <v>106</v>
      </c>
      <c r="T119" s="453" t="s">
        <v>831</v>
      </c>
      <c r="U119" s="454" t="s">
        <v>775</v>
      </c>
      <c r="V119" s="324"/>
      <c r="W119" s="325"/>
    </row>
    <row r="120" spans="1:23" s="197" customFormat="1" ht="12.75" x14ac:dyDescent="0.2">
      <c r="A120" s="446">
        <v>113</v>
      </c>
      <c r="B120" s="447" t="s">
        <v>109</v>
      </c>
      <c r="C120" s="448" t="s">
        <v>1104</v>
      </c>
      <c r="D120" s="449" t="s">
        <v>1099</v>
      </c>
      <c r="E120" s="450" t="s">
        <v>108</v>
      </c>
      <c r="F120" s="451">
        <v>82512591</v>
      </c>
      <c r="G120" s="451">
        <v>664041</v>
      </c>
      <c r="H120" s="451">
        <v>0</v>
      </c>
      <c r="I120" s="451">
        <v>506812</v>
      </c>
      <c r="J120" s="451">
        <v>0</v>
      </c>
      <c r="K120" s="451">
        <v>506812</v>
      </c>
      <c r="L120" s="451">
        <v>0</v>
      </c>
      <c r="M120" s="451">
        <v>0</v>
      </c>
      <c r="N120" s="451">
        <v>0</v>
      </c>
      <c r="O120" s="451">
        <v>0</v>
      </c>
      <c r="P120" s="451">
        <v>0</v>
      </c>
      <c r="Q120" s="451">
        <v>0</v>
      </c>
      <c r="R120" s="451">
        <v>82669820</v>
      </c>
      <c r="S120" s="452" t="s">
        <v>108</v>
      </c>
      <c r="T120" s="453" t="s">
        <v>786</v>
      </c>
      <c r="U120" s="453" t="s">
        <v>774</v>
      </c>
      <c r="V120" s="324"/>
      <c r="W120" s="325"/>
    </row>
    <row r="121" spans="1:23" s="197" customFormat="1" ht="12.75" x14ac:dyDescent="0.2">
      <c r="A121" s="446">
        <v>114</v>
      </c>
      <c r="B121" s="447" t="s">
        <v>111</v>
      </c>
      <c r="C121" s="448" t="s">
        <v>794</v>
      </c>
      <c r="D121" s="449" t="s">
        <v>1095</v>
      </c>
      <c r="E121" s="450" t="s">
        <v>717</v>
      </c>
      <c r="F121" s="451">
        <v>49993636</v>
      </c>
      <c r="G121" s="451">
        <v>320333</v>
      </c>
      <c r="H121" s="451">
        <v>0</v>
      </c>
      <c r="I121" s="451">
        <v>166596</v>
      </c>
      <c r="J121" s="451">
        <v>0</v>
      </c>
      <c r="K121" s="451">
        <v>166596</v>
      </c>
      <c r="L121" s="451">
        <v>0</v>
      </c>
      <c r="M121" s="451">
        <v>0</v>
      </c>
      <c r="N121" s="451">
        <v>0</v>
      </c>
      <c r="O121" s="451">
        <v>0</v>
      </c>
      <c r="P121" s="451">
        <v>0</v>
      </c>
      <c r="Q121" s="451">
        <v>0</v>
      </c>
      <c r="R121" s="451">
        <v>50147373</v>
      </c>
      <c r="S121" s="452" t="s">
        <v>717</v>
      </c>
      <c r="T121" s="453" t="s">
        <v>794</v>
      </c>
      <c r="U121" s="454" t="s">
        <v>820</v>
      </c>
      <c r="V121" s="324"/>
      <c r="W121" s="325"/>
    </row>
    <row r="122" spans="1:23" s="197" customFormat="1" ht="12.75" x14ac:dyDescent="0.2">
      <c r="A122" s="446">
        <v>115</v>
      </c>
      <c r="B122" s="447" t="s">
        <v>113</v>
      </c>
      <c r="C122" s="448" t="s">
        <v>1093</v>
      </c>
      <c r="D122" s="449" t="s">
        <v>1101</v>
      </c>
      <c r="E122" s="450" t="s">
        <v>112</v>
      </c>
      <c r="F122" s="451">
        <v>25532963</v>
      </c>
      <c r="G122" s="451">
        <v>0</v>
      </c>
      <c r="H122" s="451">
        <v>76165</v>
      </c>
      <c r="I122" s="451">
        <v>154279</v>
      </c>
      <c r="J122" s="451">
        <v>0</v>
      </c>
      <c r="K122" s="451">
        <v>154279</v>
      </c>
      <c r="L122" s="451">
        <v>0</v>
      </c>
      <c r="M122" s="451">
        <v>0</v>
      </c>
      <c r="N122" s="451">
        <v>0</v>
      </c>
      <c r="O122" s="451">
        <v>0</v>
      </c>
      <c r="P122" s="451">
        <v>0</v>
      </c>
      <c r="Q122" s="451">
        <v>0</v>
      </c>
      <c r="R122" s="451">
        <v>25302519</v>
      </c>
      <c r="S122" s="452" t="s">
        <v>112</v>
      </c>
      <c r="T122" s="453" t="s">
        <v>824</v>
      </c>
      <c r="U122" s="454" t="s">
        <v>825</v>
      </c>
      <c r="V122" s="324"/>
      <c r="W122" s="325"/>
    </row>
    <row r="123" spans="1:23" s="197" customFormat="1" ht="12.75" x14ac:dyDescent="0.2">
      <c r="A123" s="446">
        <v>116</v>
      </c>
      <c r="B123" s="447" t="s">
        <v>115</v>
      </c>
      <c r="C123" s="448" t="s">
        <v>1104</v>
      </c>
      <c r="D123" s="449" t="s">
        <v>1099</v>
      </c>
      <c r="E123" s="450" t="s">
        <v>718</v>
      </c>
      <c r="F123" s="451">
        <v>143199917</v>
      </c>
      <c r="G123" s="451">
        <v>1505687</v>
      </c>
      <c r="H123" s="451">
        <v>0</v>
      </c>
      <c r="I123" s="451">
        <v>574203</v>
      </c>
      <c r="J123" s="451">
        <v>0</v>
      </c>
      <c r="K123" s="451">
        <v>574203</v>
      </c>
      <c r="L123" s="451">
        <v>0</v>
      </c>
      <c r="M123" s="451">
        <v>0</v>
      </c>
      <c r="N123" s="451">
        <v>0</v>
      </c>
      <c r="O123" s="451">
        <v>0</v>
      </c>
      <c r="P123" s="451">
        <v>0</v>
      </c>
      <c r="Q123" s="451">
        <v>0</v>
      </c>
      <c r="R123" s="451">
        <v>144131401</v>
      </c>
      <c r="S123" s="452" t="s">
        <v>718</v>
      </c>
      <c r="T123" s="453" t="s">
        <v>786</v>
      </c>
      <c r="U123" s="453" t="s">
        <v>774</v>
      </c>
      <c r="V123" s="324"/>
      <c r="W123" s="325"/>
    </row>
    <row r="124" spans="1:23" s="197" customFormat="1" ht="12.75" x14ac:dyDescent="0.2">
      <c r="A124" s="446">
        <v>117</v>
      </c>
      <c r="B124" s="447" t="s">
        <v>117</v>
      </c>
      <c r="C124" s="448" t="s">
        <v>1093</v>
      </c>
      <c r="D124" s="449" t="s">
        <v>1096</v>
      </c>
      <c r="E124" s="450" t="s">
        <v>116</v>
      </c>
      <c r="F124" s="451">
        <v>36431408</v>
      </c>
      <c r="G124" s="451">
        <v>0</v>
      </c>
      <c r="H124" s="451">
        <v>36857</v>
      </c>
      <c r="I124" s="451">
        <v>123350</v>
      </c>
      <c r="J124" s="451">
        <v>0</v>
      </c>
      <c r="K124" s="451">
        <v>123350</v>
      </c>
      <c r="L124" s="451">
        <v>0</v>
      </c>
      <c r="M124" s="451">
        <v>0</v>
      </c>
      <c r="N124" s="451">
        <v>0</v>
      </c>
      <c r="O124" s="451">
        <v>0</v>
      </c>
      <c r="P124" s="451">
        <v>0</v>
      </c>
      <c r="Q124" s="451">
        <v>0</v>
      </c>
      <c r="R124" s="451">
        <v>36271201</v>
      </c>
      <c r="S124" s="452" t="s">
        <v>116</v>
      </c>
      <c r="T124" s="453" t="s">
        <v>798</v>
      </c>
      <c r="U124" s="454" t="s">
        <v>799</v>
      </c>
      <c r="V124" s="324"/>
      <c r="W124" s="325"/>
    </row>
    <row r="125" spans="1:23" s="197" customFormat="1" ht="12.75" x14ac:dyDescent="0.2">
      <c r="A125" s="446">
        <v>118</v>
      </c>
      <c r="B125" s="447" t="s">
        <v>119</v>
      </c>
      <c r="C125" s="448" t="s">
        <v>1098</v>
      </c>
      <c r="D125" s="449" t="s">
        <v>1099</v>
      </c>
      <c r="E125" s="450" t="s">
        <v>118</v>
      </c>
      <c r="F125" s="451">
        <v>61973102</v>
      </c>
      <c r="G125" s="451">
        <v>0</v>
      </c>
      <c r="H125" s="451">
        <v>229312</v>
      </c>
      <c r="I125" s="451">
        <v>309107</v>
      </c>
      <c r="J125" s="451">
        <v>0</v>
      </c>
      <c r="K125" s="451">
        <v>309107</v>
      </c>
      <c r="L125" s="451">
        <v>0</v>
      </c>
      <c r="M125" s="451">
        <v>0</v>
      </c>
      <c r="N125" s="451">
        <v>0</v>
      </c>
      <c r="O125" s="451">
        <v>0</v>
      </c>
      <c r="P125" s="451">
        <v>0</v>
      </c>
      <c r="Q125" s="451">
        <v>0</v>
      </c>
      <c r="R125" s="451">
        <v>61434683</v>
      </c>
      <c r="S125" s="452" t="s">
        <v>118</v>
      </c>
      <c r="T125" s="453" t="s">
        <v>786</v>
      </c>
      <c r="U125" s="453" t="s">
        <v>774</v>
      </c>
      <c r="V125" s="324"/>
      <c r="W125" s="325"/>
    </row>
    <row r="126" spans="1:23" s="197" customFormat="1" ht="12.75" x14ac:dyDescent="0.2">
      <c r="A126" s="446">
        <v>119</v>
      </c>
      <c r="B126" s="447" t="s">
        <v>121</v>
      </c>
      <c r="C126" s="448" t="s">
        <v>1093</v>
      </c>
      <c r="D126" s="449" t="s">
        <v>1097</v>
      </c>
      <c r="E126" s="450" t="s">
        <v>120</v>
      </c>
      <c r="F126" s="451">
        <v>38322293</v>
      </c>
      <c r="G126" s="451">
        <v>0</v>
      </c>
      <c r="H126" s="451">
        <v>276672</v>
      </c>
      <c r="I126" s="451">
        <v>124428</v>
      </c>
      <c r="J126" s="451">
        <v>0</v>
      </c>
      <c r="K126" s="451">
        <v>124428</v>
      </c>
      <c r="L126" s="451">
        <v>0</v>
      </c>
      <c r="M126" s="451">
        <v>0</v>
      </c>
      <c r="N126" s="451">
        <v>0</v>
      </c>
      <c r="O126" s="451">
        <v>0</v>
      </c>
      <c r="P126" s="451">
        <v>0</v>
      </c>
      <c r="Q126" s="451">
        <v>0</v>
      </c>
      <c r="R126" s="451">
        <v>37921193</v>
      </c>
      <c r="S126" s="452" t="s">
        <v>120</v>
      </c>
      <c r="T126" s="453" t="s">
        <v>789</v>
      </c>
      <c r="U126" s="454" t="s">
        <v>790</v>
      </c>
      <c r="V126" s="324"/>
      <c r="W126" s="325"/>
    </row>
    <row r="127" spans="1:23" s="197" customFormat="1" ht="12.75" x14ac:dyDescent="0.2">
      <c r="A127" s="446">
        <v>120</v>
      </c>
      <c r="B127" s="447" t="s">
        <v>123</v>
      </c>
      <c r="C127" s="448" t="s">
        <v>1093</v>
      </c>
      <c r="D127" s="449" t="s">
        <v>1101</v>
      </c>
      <c r="E127" s="450" t="s">
        <v>122</v>
      </c>
      <c r="F127" s="451">
        <v>58185035</v>
      </c>
      <c r="G127" s="451">
        <v>0</v>
      </c>
      <c r="H127" s="451">
        <v>194348</v>
      </c>
      <c r="I127" s="451">
        <v>284541</v>
      </c>
      <c r="J127" s="451">
        <v>0</v>
      </c>
      <c r="K127" s="451">
        <v>284541</v>
      </c>
      <c r="L127" s="451">
        <v>0</v>
      </c>
      <c r="M127" s="451">
        <v>0</v>
      </c>
      <c r="N127" s="451">
        <v>0</v>
      </c>
      <c r="O127" s="451">
        <v>0</v>
      </c>
      <c r="P127" s="451">
        <v>0</v>
      </c>
      <c r="Q127" s="451">
        <v>0</v>
      </c>
      <c r="R127" s="451">
        <v>57706146</v>
      </c>
      <c r="S127" s="452" t="s">
        <v>122</v>
      </c>
      <c r="T127" s="453" t="s">
        <v>824</v>
      </c>
      <c r="U127" s="454" t="s">
        <v>825</v>
      </c>
      <c r="V127" s="324"/>
      <c r="W127" s="325"/>
    </row>
    <row r="128" spans="1:23" s="197" customFormat="1" ht="12.75" x14ac:dyDescent="0.2">
      <c r="A128" s="446">
        <v>121</v>
      </c>
      <c r="B128" s="447" t="s">
        <v>125</v>
      </c>
      <c r="C128" s="448" t="s">
        <v>1098</v>
      </c>
      <c r="D128" s="449" t="s">
        <v>1099</v>
      </c>
      <c r="E128" s="450" t="s">
        <v>124</v>
      </c>
      <c r="F128" s="451">
        <v>48525928</v>
      </c>
      <c r="G128" s="451">
        <v>0</v>
      </c>
      <c r="H128" s="451">
        <v>161078</v>
      </c>
      <c r="I128" s="451">
        <v>255455</v>
      </c>
      <c r="J128" s="451">
        <v>0</v>
      </c>
      <c r="K128" s="451">
        <v>255455</v>
      </c>
      <c r="L128" s="451">
        <v>0</v>
      </c>
      <c r="M128" s="451">
        <v>0</v>
      </c>
      <c r="N128" s="451">
        <v>0</v>
      </c>
      <c r="O128" s="451">
        <v>0</v>
      </c>
      <c r="P128" s="451">
        <v>0</v>
      </c>
      <c r="Q128" s="451">
        <v>0</v>
      </c>
      <c r="R128" s="451">
        <v>48109395</v>
      </c>
      <c r="S128" s="452" t="s">
        <v>124</v>
      </c>
      <c r="T128" s="453" t="s">
        <v>786</v>
      </c>
      <c r="U128" s="453" t="s">
        <v>774</v>
      </c>
      <c r="V128" s="324"/>
      <c r="W128" s="325"/>
    </row>
    <row r="129" spans="1:23" s="197" customFormat="1" ht="12.75" x14ac:dyDescent="0.2">
      <c r="A129" s="446">
        <v>122</v>
      </c>
      <c r="B129" s="447" t="s">
        <v>127</v>
      </c>
      <c r="C129" s="448" t="s">
        <v>1093</v>
      </c>
      <c r="D129" s="449" t="s">
        <v>1094</v>
      </c>
      <c r="E129" s="450" t="s">
        <v>126</v>
      </c>
      <c r="F129" s="451">
        <v>26789687</v>
      </c>
      <c r="G129" s="451">
        <v>0</v>
      </c>
      <c r="H129" s="451">
        <v>340555</v>
      </c>
      <c r="I129" s="451">
        <v>100079</v>
      </c>
      <c r="J129" s="451">
        <v>0</v>
      </c>
      <c r="K129" s="451">
        <v>100079</v>
      </c>
      <c r="L129" s="451">
        <v>0</v>
      </c>
      <c r="M129" s="451">
        <v>0</v>
      </c>
      <c r="N129" s="451">
        <v>0</v>
      </c>
      <c r="O129" s="451">
        <v>0</v>
      </c>
      <c r="P129" s="451">
        <v>0</v>
      </c>
      <c r="Q129" s="451">
        <v>0</v>
      </c>
      <c r="R129" s="451">
        <v>26349053</v>
      </c>
      <c r="S129" s="452" t="s">
        <v>126</v>
      </c>
      <c r="T129" s="453" t="s">
        <v>791</v>
      </c>
      <c r="U129" s="454" t="s">
        <v>792</v>
      </c>
      <c r="V129" s="324"/>
      <c r="W129" s="325"/>
    </row>
    <row r="130" spans="1:23" s="197" customFormat="1" ht="12.75" x14ac:dyDescent="0.2">
      <c r="A130" s="446">
        <v>123</v>
      </c>
      <c r="B130" s="447" t="s">
        <v>129</v>
      </c>
      <c r="C130" s="448" t="s">
        <v>794</v>
      </c>
      <c r="D130" s="449" t="s">
        <v>1105</v>
      </c>
      <c r="E130" s="450" t="s">
        <v>719</v>
      </c>
      <c r="F130" s="451">
        <v>25704950</v>
      </c>
      <c r="G130" s="451">
        <v>9260324</v>
      </c>
      <c r="H130" s="451">
        <v>0</v>
      </c>
      <c r="I130" s="451">
        <v>124827</v>
      </c>
      <c r="J130" s="451">
        <v>0</v>
      </c>
      <c r="K130" s="451">
        <v>124827</v>
      </c>
      <c r="L130" s="451">
        <v>0</v>
      </c>
      <c r="M130" s="451">
        <v>0</v>
      </c>
      <c r="N130" s="451">
        <v>0</v>
      </c>
      <c r="O130" s="451">
        <v>0</v>
      </c>
      <c r="P130" s="451">
        <v>0</v>
      </c>
      <c r="Q130" s="451">
        <v>0</v>
      </c>
      <c r="R130" s="451">
        <v>34840447</v>
      </c>
      <c r="S130" s="452" t="s">
        <v>719</v>
      </c>
      <c r="T130" s="453" t="s">
        <v>794</v>
      </c>
      <c r="U130" s="454" t="s">
        <v>833</v>
      </c>
      <c r="V130" s="324"/>
      <c r="W130" s="325"/>
    </row>
    <row r="131" spans="1:23" s="197" customFormat="1" ht="12.75" x14ac:dyDescent="0.2">
      <c r="A131" s="446">
        <v>124</v>
      </c>
      <c r="B131" s="447" t="s">
        <v>131</v>
      </c>
      <c r="C131" s="448" t="s">
        <v>1093</v>
      </c>
      <c r="D131" s="449" t="s">
        <v>1094</v>
      </c>
      <c r="E131" s="450" t="s">
        <v>130</v>
      </c>
      <c r="F131" s="451">
        <v>19928214</v>
      </c>
      <c r="G131" s="451">
        <v>0</v>
      </c>
      <c r="H131" s="451">
        <v>3983</v>
      </c>
      <c r="I131" s="451">
        <v>123130</v>
      </c>
      <c r="J131" s="451">
        <v>0</v>
      </c>
      <c r="K131" s="451">
        <v>123130</v>
      </c>
      <c r="L131" s="451">
        <v>0</v>
      </c>
      <c r="M131" s="451">
        <v>0</v>
      </c>
      <c r="N131" s="451">
        <v>0</v>
      </c>
      <c r="O131" s="451">
        <v>0</v>
      </c>
      <c r="P131" s="451">
        <v>0</v>
      </c>
      <c r="Q131" s="451">
        <v>0</v>
      </c>
      <c r="R131" s="451">
        <v>19801101</v>
      </c>
      <c r="S131" s="452" t="s">
        <v>130</v>
      </c>
      <c r="T131" s="453" t="s">
        <v>830</v>
      </c>
      <c r="U131" s="454" t="s">
        <v>808</v>
      </c>
      <c r="V131" s="324" t="s">
        <v>1120</v>
      </c>
      <c r="W131" s="325"/>
    </row>
    <row r="132" spans="1:23" s="197" customFormat="1" ht="12.75" x14ac:dyDescent="0.2">
      <c r="A132" s="446">
        <v>125</v>
      </c>
      <c r="B132" s="447" t="s">
        <v>133</v>
      </c>
      <c r="C132" s="448" t="s">
        <v>1093</v>
      </c>
      <c r="D132" s="449" t="s">
        <v>1094</v>
      </c>
      <c r="E132" s="450" t="s">
        <v>132</v>
      </c>
      <c r="F132" s="451">
        <v>30805492</v>
      </c>
      <c r="G132" s="451">
        <v>0</v>
      </c>
      <c r="H132" s="451">
        <v>123837</v>
      </c>
      <c r="I132" s="451">
        <v>140839</v>
      </c>
      <c r="J132" s="451">
        <v>0</v>
      </c>
      <c r="K132" s="451">
        <v>140839</v>
      </c>
      <c r="L132" s="451">
        <v>0</v>
      </c>
      <c r="M132" s="451">
        <v>0</v>
      </c>
      <c r="N132" s="451">
        <v>0</v>
      </c>
      <c r="O132" s="451">
        <v>0</v>
      </c>
      <c r="P132" s="451">
        <v>0</v>
      </c>
      <c r="Q132" s="451">
        <v>0</v>
      </c>
      <c r="R132" s="451">
        <v>30540816</v>
      </c>
      <c r="S132" s="452" t="s">
        <v>132</v>
      </c>
      <c r="T132" s="453" t="s">
        <v>791</v>
      </c>
      <c r="U132" s="454" t="s">
        <v>792</v>
      </c>
      <c r="V132" s="324"/>
      <c r="W132" s="325"/>
    </row>
    <row r="133" spans="1:23" s="197" customFormat="1" ht="12.75" x14ac:dyDescent="0.2">
      <c r="A133" s="446">
        <v>126</v>
      </c>
      <c r="B133" s="447" t="s">
        <v>135</v>
      </c>
      <c r="C133" s="448" t="s">
        <v>1098</v>
      </c>
      <c r="D133" s="449" t="s">
        <v>1099</v>
      </c>
      <c r="E133" s="450" t="s">
        <v>134</v>
      </c>
      <c r="F133" s="451">
        <v>65681166</v>
      </c>
      <c r="G133" s="451">
        <v>0</v>
      </c>
      <c r="H133" s="451">
        <v>441421</v>
      </c>
      <c r="I133" s="451">
        <v>274180</v>
      </c>
      <c r="J133" s="451">
        <v>0</v>
      </c>
      <c r="K133" s="451">
        <v>274180</v>
      </c>
      <c r="L133" s="451">
        <v>0</v>
      </c>
      <c r="M133" s="451">
        <v>0</v>
      </c>
      <c r="N133" s="451">
        <v>0</v>
      </c>
      <c r="O133" s="451">
        <v>0</v>
      </c>
      <c r="P133" s="451">
        <v>0</v>
      </c>
      <c r="Q133" s="451">
        <v>0</v>
      </c>
      <c r="R133" s="451">
        <v>64965565</v>
      </c>
      <c r="S133" s="452" t="s">
        <v>134</v>
      </c>
      <c r="T133" s="453" t="s">
        <v>786</v>
      </c>
      <c r="U133" s="453" t="s">
        <v>774</v>
      </c>
      <c r="V133" s="324"/>
      <c r="W133" s="325"/>
    </row>
    <row r="134" spans="1:23" s="197" customFormat="1" ht="12.75" x14ac:dyDescent="0.2">
      <c r="A134" s="446">
        <v>127</v>
      </c>
      <c r="B134" s="447" t="s">
        <v>137</v>
      </c>
      <c r="C134" s="448" t="s">
        <v>794</v>
      </c>
      <c r="D134" s="449" t="s">
        <v>1103</v>
      </c>
      <c r="E134" s="450" t="s">
        <v>720</v>
      </c>
      <c r="F134" s="451">
        <v>42397374</v>
      </c>
      <c r="G134" s="451">
        <v>0</v>
      </c>
      <c r="H134" s="451">
        <v>180810</v>
      </c>
      <c r="I134" s="451">
        <v>298886</v>
      </c>
      <c r="J134" s="451">
        <v>0</v>
      </c>
      <c r="K134" s="451">
        <v>298886</v>
      </c>
      <c r="L134" s="451">
        <v>0</v>
      </c>
      <c r="M134" s="451">
        <v>0</v>
      </c>
      <c r="N134" s="451">
        <v>0</v>
      </c>
      <c r="O134" s="451">
        <v>42597</v>
      </c>
      <c r="P134" s="451">
        <v>42597</v>
      </c>
      <c r="Q134" s="451">
        <v>0</v>
      </c>
      <c r="R134" s="451">
        <v>41875081</v>
      </c>
      <c r="S134" s="452" t="s">
        <v>720</v>
      </c>
      <c r="T134" s="453" t="s">
        <v>794</v>
      </c>
      <c r="U134" s="454" t="s">
        <v>811</v>
      </c>
      <c r="V134" s="324"/>
      <c r="W134" s="325"/>
    </row>
    <row r="135" spans="1:23" s="197" customFormat="1" ht="12.75" x14ac:dyDescent="0.2">
      <c r="A135" s="446">
        <v>128</v>
      </c>
      <c r="B135" s="447" t="s">
        <v>139</v>
      </c>
      <c r="C135" s="448" t="s">
        <v>1093</v>
      </c>
      <c r="D135" s="449" t="s">
        <v>1097</v>
      </c>
      <c r="E135" s="450" t="s">
        <v>138</v>
      </c>
      <c r="F135" s="451">
        <v>38341151</v>
      </c>
      <c r="G135" s="451">
        <v>0</v>
      </c>
      <c r="H135" s="451">
        <v>380683</v>
      </c>
      <c r="I135" s="451">
        <v>146387</v>
      </c>
      <c r="J135" s="451">
        <v>0</v>
      </c>
      <c r="K135" s="451">
        <v>146387</v>
      </c>
      <c r="L135" s="451">
        <v>0</v>
      </c>
      <c r="M135" s="451">
        <v>0</v>
      </c>
      <c r="N135" s="451">
        <v>0</v>
      </c>
      <c r="O135" s="451">
        <v>0</v>
      </c>
      <c r="P135" s="451">
        <v>0</v>
      </c>
      <c r="Q135" s="451">
        <v>0</v>
      </c>
      <c r="R135" s="451">
        <v>37814081</v>
      </c>
      <c r="S135" s="452" t="s">
        <v>138</v>
      </c>
      <c r="T135" s="453" t="s">
        <v>812</v>
      </c>
      <c r="U135" s="454" t="s">
        <v>775</v>
      </c>
      <c r="V135" s="324"/>
      <c r="W135" s="325"/>
    </row>
    <row r="136" spans="1:23" s="197" customFormat="1" ht="12.75" x14ac:dyDescent="0.2">
      <c r="A136" s="446">
        <v>129</v>
      </c>
      <c r="B136" s="447" t="s">
        <v>141</v>
      </c>
      <c r="C136" s="448" t="s">
        <v>1093</v>
      </c>
      <c r="D136" s="449" t="s">
        <v>1096</v>
      </c>
      <c r="E136" s="450" t="s">
        <v>140</v>
      </c>
      <c r="F136" s="451">
        <v>22793488</v>
      </c>
      <c r="G136" s="451">
        <v>19277</v>
      </c>
      <c r="H136" s="451">
        <v>0</v>
      </c>
      <c r="I136" s="451">
        <v>135442</v>
      </c>
      <c r="J136" s="451">
        <v>0</v>
      </c>
      <c r="K136" s="451">
        <v>135442</v>
      </c>
      <c r="L136" s="451">
        <v>0</v>
      </c>
      <c r="M136" s="451">
        <v>0</v>
      </c>
      <c r="N136" s="451">
        <v>0</v>
      </c>
      <c r="O136" s="451">
        <v>0</v>
      </c>
      <c r="P136" s="451">
        <v>0</v>
      </c>
      <c r="Q136" s="451">
        <v>0</v>
      </c>
      <c r="R136" s="451">
        <v>22677323</v>
      </c>
      <c r="S136" s="452" t="s">
        <v>140</v>
      </c>
      <c r="T136" s="453" t="s">
        <v>777</v>
      </c>
      <c r="U136" s="454" t="s">
        <v>778</v>
      </c>
      <c r="V136" s="324"/>
      <c r="W136" s="325"/>
    </row>
    <row r="137" spans="1:23" s="197" customFormat="1" ht="12.75" x14ac:dyDescent="0.2">
      <c r="A137" s="446">
        <v>130</v>
      </c>
      <c r="B137" s="447" t="s">
        <v>143</v>
      </c>
      <c r="C137" s="448" t="s">
        <v>1098</v>
      </c>
      <c r="D137" s="449" t="s">
        <v>1099</v>
      </c>
      <c r="E137" s="450" t="s">
        <v>142</v>
      </c>
      <c r="F137" s="451">
        <v>330256120</v>
      </c>
      <c r="G137" s="451">
        <v>348510</v>
      </c>
      <c r="H137" s="451">
        <v>0</v>
      </c>
      <c r="I137" s="451">
        <v>598040</v>
      </c>
      <c r="J137" s="451">
        <v>0</v>
      </c>
      <c r="K137" s="451">
        <v>598040</v>
      </c>
      <c r="L137" s="451">
        <v>0</v>
      </c>
      <c r="M137" s="451">
        <v>0</v>
      </c>
      <c r="N137" s="451">
        <v>0</v>
      </c>
      <c r="O137" s="451">
        <v>0</v>
      </c>
      <c r="P137" s="451">
        <v>0</v>
      </c>
      <c r="Q137" s="451">
        <v>0</v>
      </c>
      <c r="R137" s="451">
        <v>330006590</v>
      </c>
      <c r="S137" s="452" t="s">
        <v>142</v>
      </c>
      <c r="T137" s="453" t="s">
        <v>786</v>
      </c>
      <c r="U137" s="453" t="s">
        <v>774</v>
      </c>
      <c r="V137" s="324"/>
      <c r="W137" s="325"/>
    </row>
    <row r="138" spans="1:23" s="197" customFormat="1" ht="12.75" x14ac:dyDescent="0.2">
      <c r="A138" s="446">
        <v>131</v>
      </c>
      <c r="B138" s="447" t="s">
        <v>145</v>
      </c>
      <c r="C138" s="448" t="s">
        <v>1093</v>
      </c>
      <c r="D138" s="449" t="s">
        <v>1096</v>
      </c>
      <c r="E138" s="450" t="s">
        <v>721</v>
      </c>
      <c r="F138" s="451">
        <v>27375030</v>
      </c>
      <c r="G138" s="451">
        <v>0</v>
      </c>
      <c r="H138" s="451">
        <v>47023</v>
      </c>
      <c r="I138" s="451">
        <v>123176</v>
      </c>
      <c r="J138" s="451">
        <v>0</v>
      </c>
      <c r="K138" s="451">
        <v>123176</v>
      </c>
      <c r="L138" s="451">
        <v>0</v>
      </c>
      <c r="M138" s="451">
        <v>76823</v>
      </c>
      <c r="N138" s="451">
        <v>0</v>
      </c>
      <c r="O138" s="451">
        <v>0</v>
      </c>
      <c r="P138" s="451">
        <v>0</v>
      </c>
      <c r="Q138" s="451">
        <v>0</v>
      </c>
      <c r="R138" s="451">
        <v>27128008</v>
      </c>
      <c r="S138" s="452" t="s">
        <v>721</v>
      </c>
      <c r="T138" s="453" t="s">
        <v>798</v>
      </c>
      <c r="U138" s="454" t="s">
        <v>799</v>
      </c>
      <c r="V138" s="324"/>
      <c r="W138" s="325"/>
    </row>
    <row r="139" spans="1:23" s="197" customFormat="1" ht="12.75" x14ac:dyDescent="0.2">
      <c r="A139" s="446">
        <v>132</v>
      </c>
      <c r="B139" s="447" t="s">
        <v>147</v>
      </c>
      <c r="C139" s="448" t="s">
        <v>1093</v>
      </c>
      <c r="D139" s="449" t="s">
        <v>1094</v>
      </c>
      <c r="E139" s="450" t="s">
        <v>146</v>
      </c>
      <c r="F139" s="451">
        <v>37343141</v>
      </c>
      <c r="G139" s="451">
        <v>46324</v>
      </c>
      <c r="H139" s="451">
        <v>0</v>
      </c>
      <c r="I139" s="451">
        <v>177362</v>
      </c>
      <c r="J139" s="451">
        <v>0</v>
      </c>
      <c r="K139" s="451">
        <v>177362</v>
      </c>
      <c r="L139" s="451">
        <v>0</v>
      </c>
      <c r="M139" s="451">
        <v>0</v>
      </c>
      <c r="N139" s="451">
        <v>0</v>
      </c>
      <c r="O139" s="451">
        <v>0</v>
      </c>
      <c r="P139" s="451">
        <v>0</v>
      </c>
      <c r="Q139" s="451">
        <v>0</v>
      </c>
      <c r="R139" s="451">
        <v>37212103</v>
      </c>
      <c r="S139" s="452" t="s">
        <v>146</v>
      </c>
      <c r="T139" s="453" t="s">
        <v>773</v>
      </c>
      <c r="U139" s="454" t="s">
        <v>775</v>
      </c>
      <c r="V139" s="324"/>
      <c r="W139" s="325"/>
    </row>
    <row r="140" spans="1:23" s="197" customFormat="1" ht="12.75" x14ac:dyDescent="0.2">
      <c r="A140" s="446">
        <v>133</v>
      </c>
      <c r="B140" s="447" t="s">
        <v>149</v>
      </c>
      <c r="C140" s="448" t="s">
        <v>1098</v>
      </c>
      <c r="D140" s="449" t="s">
        <v>1099</v>
      </c>
      <c r="E140" s="450" t="s">
        <v>148</v>
      </c>
      <c r="F140" s="451">
        <v>134720309</v>
      </c>
      <c r="G140" s="451">
        <v>0</v>
      </c>
      <c r="H140" s="451">
        <v>986005</v>
      </c>
      <c r="I140" s="451">
        <v>401106</v>
      </c>
      <c r="J140" s="451">
        <v>0</v>
      </c>
      <c r="K140" s="451">
        <v>401106</v>
      </c>
      <c r="L140" s="451">
        <v>0</v>
      </c>
      <c r="M140" s="451">
        <v>0</v>
      </c>
      <c r="N140" s="451">
        <v>0</v>
      </c>
      <c r="O140" s="451">
        <v>0</v>
      </c>
      <c r="P140" s="451">
        <v>0</v>
      </c>
      <c r="Q140" s="451">
        <v>0</v>
      </c>
      <c r="R140" s="451">
        <v>133333198</v>
      </c>
      <c r="S140" s="452" t="s">
        <v>148</v>
      </c>
      <c r="T140" s="453" t="s">
        <v>786</v>
      </c>
      <c r="U140" s="453" t="s">
        <v>774</v>
      </c>
      <c r="V140" s="324"/>
      <c r="W140" s="325"/>
    </row>
    <row r="141" spans="1:23" s="197" customFormat="1" ht="12.75" x14ac:dyDescent="0.2">
      <c r="A141" s="446">
        <v>134</v>
      </c>
      <c r="B141" s="447" t="s">
        <v>151</v>
      </c>
      <c r="C141" s="448" t="s">
        <v>1093</v>
      </c>
      <c r="D141" s="449" t="s">
        <v>1097</v>
      </c>
      <c r="E141" s="450" t="s">
        <v>1113</v>
      </c>
      <c r="F141" s="451">
        <v>50445038</v>
      </c>
      <c r="G141" s="451">
        <v>71393</v>
      </c>
      <c r="H141" s="451">
        <v>0</v>
      </c>
      <c r="I141" s="451">
        <v>221475</v>
      </c>
      <c r="J141" s="451">
        <v>0</v>
      </c>
      <c r="K141" s="451">
        <v>221475</v>
      </c>
      <c r="L141" s="451">
        <v>0</v>
      </c>
      <c r="M141" s="451">
        <v>79342</v>
      </c>
      <c r="N141" s="451">
        <v>0</v>
      </c>
      <c r="O141" s="451">
        <v>190755</v>
      </c>
      <c r="P141" s="451">
        <v>190755</v>
      </c>
      <c r="Q141" s="451">
        <v>0</v>
      </c>
      <c r="R141" s="451">
        <v>50024859</v>
      </c>
      <c r="S141" s="452" t="s">
        <v>150</v>
      </c>
      <c r="T141" s="453" t="s">
        <v>814</v>
      </c>
      <c r="U141" s="454" t="s">
        <v>815</v>
      </c>
      <c r="V141" s="324"/>
      <c r="W141" s="325"/>
    </row>
    <row r="142" spans="1:23" s="197" customFormat="1" ht="12.75" x14ac:dyDescent="0.2">
      <c r="A142" s="446">
        <v>135</v>
      </c>
      <c r="B142" s="447" t="s">
        <v>153</v>
      </c>
      <c r="C142" s="448" t="s">
        <v>1093</v>
      </c>
      <c r="D142" s="449" t="s">
        <v>1095</v>
      </c>
      <c r="E142" s="450" t="s">
        <v>152</v>
      </c>
      <c r="F142" s="451">
        <v>19511319</v>
      </c>
      <c r="G142" s="451">
        <v>0</v>
      </c>
      <c r="H142" s="451">
        <v>95761</v>
      </c>
      <c r="I142" s="451">
        <v>133530</v>
      </c>
      <c r="J142" s="451">
        <v>0</v>
      </c>
      <c r="K142" s="451">
        <v>133530</v>
      </c>
      <c r="L142" s="451">
        <v>0</v>
      </c>
      <c r="M142" s="451">
        <v>0</v>
      </c>
      <c r="N142" s="451">
        <v>0</v>
      </c>
      <c r="O142" s="451">
        <v>0</v>
      </c>
      <c r="P142" s="451">
        <v>0</v>
      </c>
      <c r="Q142" s="451">
        <v>0</v>
      </c>
      <c r="R142" s="451">
        <v>19282028</v>
      </c>
      <c r="S142" s="452" t="s">
        <v>152</v>
      </c>
      <c r="T142" s="453" t="s">
        <v>813</v>
      </c>
      <c r="U142" s="454" t="s">
        <v>800</v>
      </c>
      <c r="V142" s="324"/>
      <c r="W142" s="325"/>
    </row>
    <row r="143" spans="1:23" s="197" customFormat="1" ht="12.75" x14ac:dyDescent="0.2">
      <c r="A143" s="446">
        <v>136</v>
      </c>
      <c r="B143" s="447" t="s">
        <v>155</v>
      </c>
      <c r="C143" s="448" t="s">
        <v>1093</v>
      </c>
      <c r="D143" s="449" t="s">
        <v>1097</v>
      </c>
      <c r="E143" s="450" t="s">
        <v>154</v>
      </c>
      <c r="F143" s="451">
        <v>52615803</v>
      </c>
      <c r="G143" s="451">
        <v>66981</v>
      </c>
      <c r="H143" s="451">
        <v>0</v>
      </c>
      <c r="I143" s="451">
        <v>192368</v>
      </c>
      <c r="J143" s="451">
        <v>0</v>
      </c>
      <c r="K143" s="451">
        <v>192368</v>
      </c>
      <c r="L143" s="451">
        <v>0</v>
      </c>
      <c r="M143" s="451">
        <v>0</v>
      </c>
      <c r="N143" s="451">
        <v>0</v>
      </c>
      <c r="O143" s="451">
        <v>0</v>
      </c>
      <c r="P143" s="451">
        <v>0</v>
      </c>
      <c r="Q143" s="451">
        <v>0</v>
      </c>
      <c r="R143" s="451">
        <v>52490416</v>
      </c>
      <c r="S143" s="452" t="s">
        <v>154</v>
      </c>
      <c r="T143" s="453" t="s">
        <v>785</v>
      </c>
      <c r="U143" s="454" t="s">
        <v>775</v>
      </c>
      <c r="V143" s="324"/>
      <c r="W143" s="325"/>
    </row>
    <row r="144" spans="1:23" s="197" customFormat="1" ht="12.75" x14ac:dyDescent="0.2">
      <c r="A144" s="446">
        <v>137</v>
      </c>
      <c r="B144" s="447" t="s">
        <v>157</v>
      </c>
      <c r="C144" s="448" t="s">
        <v>794</v>
      </c>
      <c r="D144" s="449" t="s">
        <v>1094</v>
      </c>
      <c r="E144" s="450" t="s">
        <v>1114</v>
      </c>
      <c r="F144" s="451">
        <v>30886444</v>
      </c>
      <c r="G144" s="451">
        <v>0</v>
      </c>
      <c r="H144" s="451">
        <v>57197</v>
      </c>
      <c r="I144" s="451">
        <v>250493</v>
      </c>
      <c r="J144" s="451">
        <v>0</v>
      </c>
      <c r="K144" s="451">
        <v>250493</v>
      </c>
      <c r="L144" s="451">
        <v>0</v>
      </c>
      <c r="M144" s="451">
        <v>0</v>
      </c>
      <c r="N144" s="451">
        <v>0</v>
      </c>
      <c r="O144" s="451">
        <v>79257</v>
      </c>
      <c r="P144" s="451">
        <v>79257</v>
      </c>
      <c r="Q144" s="451">
        <v>0</v>
      </c>
      <c r="R144" s="451">
        <v>30499497</v>
      </c>
      <c r="S144" s="455" t="s">
        <v>834</v>
      </c>
      <c r="T144" s="453" t="s">
        <v>794</v>
      </c>
      <c r="U144" s="454" t="s">
        <v>775</v>
      </c>
      <c r="V144" s="324"/>
      <c r="W144" s="325"/>
    </row>
    <row r="145" spans="1:23" s="197" customFormat="1" ht="12.75" x14ac:dyDescent="0.2">
      <c r="A145" s="446">
        <v>138</v>
      </c>
      <c r="B145" s="447" t="s">
        <v>159</v>
      </c>
      <c r="C145" s="448" t="s">
        <v>794</v>
      </c>
      <c r="D145" s="449" t="s">
        <v>1102</v>
      </c>
      <c r="E145" s="450" t="s">
        <v>158</v>
      </c>
      <c r="F145" s="451">
        <v>1403837</v>
      </c>
      <c r="G145" s="451">
        <v>41317</v>
      </c>
      <c r="H145" s="451">
        <v>0</v>
      </c>
      <c r="I145" s="451">
        <v>24797</v>
      </c>
      <c r="J145" s="451">
        <v>0</v>
      </c>
      <c r="K145" s="451">
        <v>24797</v>
      </c>
      <c r="L145" s="451">
        <v>0</v>
      </c>
      <c r="M145" s="451">
        <v>0</v>
      </c>
      <c r="N145" s="451">
        <v>0</v>
      </c>
      <c r="O145" s="451">
        <v>0</v>
      </c>
      <c r="P145" s="451">
        <v>0</v>
      </c>
      <c r="Q145" s="451">
        <v>0</v>
      </c>
      <c r="R145" s="451">
        <v>1420357</v>
      </c>
      <c r="S145" s="452" t="s">
        <v>158</v>
      </c>
      <c r="T145" s="453" t="s">
        <v>794</v>
      </c>
      <c r="U145" s="454" t="s">
        <v>775</v>
      </c>
      <c r="V145" s="324"/>
      <c r="W145" s="325"/>
    </row>
    <row r="146" spans="1:23" s="197" customFormat="1" ht="12.75" x14ac:dyDescent="0.2">
      <c r="A146" s="446">
        <v>139</v>
      </c>
      <c r="B146" s="447" t="s">
        <v>161</v>
      </c>
      <c r="C146" s="448" t="s">
        <v>1104</v>
      </c>
      <c r="D146" s="449" t="s">
        <v>1099</v>
      </c>
      <c r="E146" s="450" t="s">
        <v>160</v>
      </c>
      <c r="F146" s="451">
        <v>179252611</v>
      </c>
      <c r="G146" s="451">
        <v>0</v>
      </c>
      <c r="H146" s="451">
        <v>863455</v>
      </c>
      <c r="I146" s="451">
        <v>656470</v>
      </c>
      <c r="J146" s="451">
        <v>0</v>
      </c>
      <c r="K146" s="451">
        <v>656470</v>
      </c>
      <c r="L146" s="451">
        <v>0</v>
      </c>
      <c r="M146" s="451">
        <v>0</v>
      </c>
      <c r="N146" s="451">
        <v>0</v>
      </c>
      <c r="O146" s="451">
        <v>60284</v>
      </c>
      <c r="P146" s="451">
        <v>60284</v>
      </c>
      <c r="Q146" s="451">
        <v>0</v>
      </c>
      <c r="R146" s="451">
        <v>177672402</v>
      </c>
      <c r="S146" s="452" t="s">
        <v>160</v>
      </c>
      <c r="T146" s="453" t="s">
        <v>786</v>
      </c>
      <c r="U146" s="453" t="s">
        <v>774</v>
      </c>
      <c r="V146" s="324"/>
      <c r="W146" s="325"/>
    </row>
    <row r="147" spans="1:23" s="197" customFormat="1" ht="12.75" x14ac:dyDescent="0.2">
      <c r="A147" s="446">
        <v>140</v>
      </c>
      <c r="B147" s="447" t="s">
        <v>163</v>
      </c>
      <c r="C147" s="448" t="s">
        <v>1104</v>
      </c>
      <c r="D147" s="449" t="s">
        <v>1099</v>
      </c>
      <c r="E147" s="450" t="s">
        <v>722</v>
      </c>
      <c r="F147" s="451">
        <v>263485819</v>
      </c>
      <c r="G147" s="451">
        <v>0</v>
      </c>
      <c r="H147" s="451">
        <v>1044024</v>
      </c>
      <c r="I147" s="451">
        <v>619513</v>
      </c>
      <c r="J147" s="451">
        <v>0</v>
      </c>
      <c r="K147" s="451">
        <v>619513</v>
      </c>
      <c r="L147" s="451">
        <v>0</v>
      </c>
      <c r="M147" s="451">
        <v>0</v>
      </c>
      <c r="N147" s="451">
        <v>0</v>
      </c>
      <c r="O147" s="451">
        <v>0</v>
      </c>
      <c r="P147" s="451">
        <v>0</v>
      </c>
      <c r="Q147" s="451">
        <v>0</v>
      </c>
      <c r="R147" s="451">
        <v>261822282</v>
      </c>
      <c r="S147" s="452" t="s">
        <v>722</v>
      </c>
      <c r="T147" s="453" t="s">
        <v>786</v>
      </c>
      <c r="U147" s="453" t="s">
        <v>774</v>
      </c>
      <c r="V147" s="324"/>
      <c r="W147" s="325"/>
    </row>
    <row r="148" spans="1:23" s="197" customFormat="1" ht="12.75" x14ac:dyDescent="0.2">
      <c r="A148" s="446">
        <v>141</v>
      </c>
      <c r="B148" s="447" t="s">
        <v>165</v>
      </c>
      <c r="C148" s="448" t="s">
        <v>1093</v>
      </c>
      <c r="D148" s="449" t="s">
        <v>1096</v>
      </c>
      <c r="E148" s="450" t="s">
        <v>164</v>
      </c>
      <c r="F148" s="451">
        <v>29804435</v>
      </c>
      <c r="G148" s="451">
        <v>0</v>
      </c>
      <c r="H148" s="451">
        <v>295654</v>
      </c>
      <c r="I148" s="451">
        <v>110894</v>
      </c>
      <c r="J148" s="451">
        <v>0</v>
      </c>
      <c r="K148" s="451">
        <v>110894</v>
      </c>
      <c r="L148" s="451">
        <v>0</v>
      </c>
      <c r="M148" s="451">
        <v>0</v>
      </c>
      <c r="N148" s="451">
        <v>0</v>
      </c>
      <c r="O148" s="451">
        <v>0</v>
      </c>
      <c r="P148" s="451">
        <v>0</v>
      </c>
      <c r="Q148" s="451">
        <v>0</v>
      </c>
      <c r="R148" s="451">
        <v>29397887</v>
      </c>
      <c r="S148" s="452" t="s">
        <v>164</v>
      </c>
      <c r="T148" s="453" t="s">
        <v>823</v>
      </c>
      <c r="U148" s="454" t="s">
        <v>775</v>
      </c>
      <c r="V148" s="324"/>
      <c r="W148" s="325"/>
    </row>
    <row r="149" spans="1:23" s="197" customFormat="1" ht="12.75" x14ac:dyDescent="0.2">
      <c r="A149" s="446">
        <v>142</v>
      </c>
      <c r="B149" s="447" t="s">
        <v>167</v>
      </c>
      <c r="C149" s="448" t="s">
        <v>1093</v>
      </c>
      <c r="D149" s="449" t="s">
        <v>1097</v>
      </c>
      <c r="E149" s="450" t="s">
        <v>1115</v>
      </c>
      <c r="F149" s="451">
        <v>34625450</v>
      </c>
      <c r="G149" s="451">
        <v>401339</v>
      </c>
      <c r="H149" s="451">
        <v>0</v>
      </c>
      <c r="I149" s="451">
        <v>217154</v>
      </c>
      <c r="J149" s="451">
        <v>0</v>
      </c>
      <c r="K149" s="451">
        <v>217154</v>
      </c>
      <c r="L149" s="451">
        <v>0</v>
      </c>
      <c r="M149" s="451">
        <v>0</v>
      </c>
      <c r="N149" s="451">
        <v>0</v>
      </c>
      <c r="O149" s="451">
        <v>329248</v>
      </c>
      <c r="P149" s="451">
        <v>329248</v>
      </c>
      <c r="Q149" s="451">
        <v>0</v>
      </c>
      <c r="R149" s="451">
        <v>34480387</v>
      </c>
      <c r="S149" s="452" t="s">
        <v>835</v>
      </c>
      <c r="T149" s="453" t="s">
        <v>806</v>
      </c>
      <c r="U149" s="454" t="s">
        <v>775</v>
      </c>
      <c r="V149" s="324"/>
      <c r="W149" s="325"/>
    </row>
    <row r="150" spans="1:23" s="197" customFormat="1" ht="12.75" x14ac:dyDescent="0.2">
      <c r="A150" s="446">
        <v>143</v>
      </c>
      <c r="B150" s="447" t="s">
        <v>169</v>
      </c>
      <c r="C150" s="448" t="s">
        <v>794</v>
      </c>
      <c r="D150" s="449" t="s">
        <v>1101</v>
      </c>
      <c r="E150" s="450" t="s">
        <v>1116</v>
      </c>
      <c r="F150" s="451">
        <v>84949422</v>
      </c>
      <c r="G150" s="451">
        <v>0</v>
      </c>
      <c r="H150" s="451">
        <v>3059610</v>
      </c>
      <c r="I150" s="451">
        <v>377352</v>
      </c>
      <c r="J150" s="451">
        <v>14640</v>
      </c>
      <c r="K150" s="451">
        <v>391992</v>
      </c>
      <c r="L150" s="451">
        <v>0</v>
      </c>
      <c r="M150" s="451">
        <v>0</v>
      </c>
      <c r="N150" s="451">
        <v>0</v>
      </c>
      <c r="O150" s="451">
        <v>0</v>
      </c>
      <c r="P150" s="451">
        <v>0</v>
      </c>
      <c r="Q150" s="451">
        <v>0</v>
      </c>
      <c r="R150" s="451">
        <v>81497820</v>
      </c>
      <c r="S150" s="455" t="s">
        <v>836</v>
      </c>
      <c r="T150" s="453" t="s">
        <v>794</v>
      </c>
      <c r="U150" s="454" t="s">
        <v>829</v>
      </c>
      <c r="V150" s="324"/>
      <c r="W150" s="325"/>
    </row>
    <row r="151" spans="1:23" s="197" customFormat="1" ht="12.75" x14ac:dyDescent="0.2">
      <c r="A151" s="446">
        <v>144</v>
      </c>
      <c r="B151" s="447" t="s">
        <v>171</v>
      </c>
      <c r="C151" s="448" t="s">
        <v>1098</v>
      </c>
      <c r="D151" s="449" t="s">
        <v>1099</v>
      </c>
      <c r="E151" s="450" t="s">
        <v>170</v>
      </c>
      <c r="F151" s="451">
        <v>76891232</v>
      </c>
      <c r="G151" s="451">
        <v>0</v>
      </c>
      <c r="H151" s="451">
        <v>535426</v>
      </c>
      <c r="I151" s="451">
        <v>257892</v>
      </c>
      <c r="J151" s="451">
        <v>0</v>
      </c>
      <c r="K151" s="451">
        <v>257892</v>
      </c>
      <c r="L151" s="451">
        <v>0</v>
      </c>
      <c r="M151" s="451">
        <v>0</v>
      </c>
      <c r="N151" s="451">
        <v>0</v>
      </c>
      <c r="O151" s="451">
        <v>0</v>
      </c>
      <c r="P151" s="451">
        <v>0</v>
      </c>
      <c r="Q151" s="451">
        <v>0</v>
      </c>
      <c r="R151" s="451">
        <v>76097914</v>
      </c>
      <c r="S151" s="455" t="s">
        <v>837</v>
      </c>
      <c r="T151" s="453" t="s">
        <v>786</v>
      </c>
      <c r="U151" s="453" t="s">
        <v>774</v>
      </c>
      <c r="V151" s="324"/>
      <c r="W151" s="325"/>
    </row>
    <row r="152" spans="1:23" s="197" customFormat="1" ht="12.75" x14ac:dyDescent="0.2">
      <c r="A152" s="446">
        <v>145</v>
      </c>
      <c r="B152" s="447" t="s">
        <v>173</v>
      </c>
      <c r="C152" s="448" t="s">
        <v>1100</v>
      </c>
      <c r="D152" s="449" t="s">
        <v>1101</v>
      </c>
      <c r="E152" s="450" t="s">
        <v>172</v>
      </c>
      <c r="F152" s="451">
        <v>95552525</v>
      </c>
      <c r="G152" s="451">
        <v>0</v>
      </c>
      <c r="H152" s="451">
        <v>577670</v>
      </c>
      <c r="I152" s="451">
        <v>614074</v>
      </c>
      <c r="J152" s="451">
        <v>0</v>
      </c>
      <c r="K152" s="451">
        <v>614074</v>
      </c>
      <c r="L152" s="451">
        <v>0</v>
      </c>
      <c r="M152" s="451">
        <v>0</v>
      </c>
      <c r="N152" s="451">
        <v>0</v>
      </c>
      <c r="O152" s="451">
        <v>0</v>
      </c>
      <c r="P152" s="451">
        <v>0</v>
      </c>
      <c r="Q152" s="451">
        <v>0</v>
      </c>
      <c r="R152" s="451">
        <v>94360781</v>
      </c>
      <c r="S152" s="452" t="s">
        <v>172</v>
      </c>
      <c r="T152" s="453" t="s">
        <v>787</v>
      </c>
      <c r="U152" s="454" t="s">
        <v>805</v>
      </c>
      <c r="V152" s="324"/>
      <c r="W152" s="325"/>
    </row>
    <row r="153" spans="1:23" s="197" customFormat="1" ht="12.75" x14ac:dyDescent="0.2">
      <c r="A153" s="446">
        <v>146</v>
      </c>
      <c r="B153" s="447" t="s">
        <v>175</v>
      </c>
      <c r="C153" s="448" t="s">
        <v>1100</v>
      </c>
      <c r="D153" s="449" t="s">
        <v>1095</v>
      </c>
      <c r="E153" s="450" t="s">
        <v>174</v>
      </c>
      <c r="F153" s="451">
        <v>26367060</v>
      </c>
      <c r="G153" s="451">
        <v>0</v>
      </c>
      <c r="H153" s="451">
        <v>513881</v>
      </c>
      <c r="I153" s="451">
        <v>135691</v>
      </c>
      <c r="J153" s="451">
        <v>0</v>
      </c>
      <c r="K153" s="451">
        <v>135691</v>
      </c>
      <c r="L153" s="451">
        <v>0</v>
      </c>
      <c r="M153" s="451">
        <v>0</v>
      </c>
      <c r="N153" s="451">
        <v>0</v>
      </c>
      <c r="O153" s="451">
        <v>0</v>
      </c>
      <c r="P153" s="451">
        <v>0</v>
      </c>
      <c r="Q153" s="451">
        <v>0</v>
      </c>
      <c r="R153" s="451">
        <v>25717488</v>
      </c>
      <c r="S153" s="452" t="s">
        <v>174</v>
      </c>
      <c r="T153" s="453" t="s">
        <v>787</v>
      </c>
      <c r="U153" s="454" t="s">
        <v>838</v>
      </c>
      <c r="V153" s="324"/>
      <c r="W153" s="325"/>
    </row>
    <row r="154" spans="1:23" s="197" customFormat="1" ht="12.75" x14ac:dyDescent="0.2">
      <c r="A154" s="446">
        <v>147</v>
      </c>
      <c r="B154" s="447" t="s">
        <v>177</v>
      </c>
      <c r="C154" s="448" t="s">
        <v>1104</v>
      </c>
      <c r="D154" s="449" t="s">
        <v>1099</v>
      </c>
      <c r="E154" s="450" t="s">
        <v>176</v>
      </c>
      <c r="F154" s="451">
        <v>109041650</v>
      </c>
      <c r="G154" s="451">
        <v>0</v>
      </c>
      <c r="H154" s="451">
        <v>43882</v>
      </c>
      <c r="I154" s="451">
        <v>480534</v>
      </c>
      <c r="J154" s="451">
        <v>0</v>
      </c>
      <c r="K154" s="451">
        <v>480534</v>
      </c>
      <c r="L154" s="451">
        <v>0</v>
      </c>
      <c r="M154" s="451">
        <v>0</v>
      </c>
      <c r="N154" s="451">
        <v>0</v>
      </c>
      <c r="O154" s="451">
        <v>0</v>
      </c>
      <c r="P154" s="451">
        <v>0</v>
      </c>
      <c r="Q154" s="451">
        <v>0</v>
      </c>
      <c r="R154" s="451">
        <v>108517234</v>
      </c>
      <c r="S154" s="452" t="s">
        <v>176</v>
      </c>
      <c r="T154" s="453" t="s">
        <v>786</v>
      </c>
      <c r="U154" s="453" t="s">
        <v>774</v>
      </c>
      <c r="V154" s="324"/>
      <c r="W154" s="325"/>
    </row>
    <row r="155" spans="1:23" s="197" customFormat="1" ht="12.75" x14ac:dyDescent="0.2">
      <c r="A155" s="446">
        <v>148</v>
      </c>
      <c r="B155" s="447" t="s">
        <v>179</v>
      </c>
      <c r="C155" s="448" t="s">
        <v>1093</v>
      </c>
      <c r="D155" s="449" t="s">
        <v>1095</v>
      </c>
      <c r="E155" s="450" t="s">
        <v>178</v>
      </c>
      <c r="F155" s="451">
        <v>39421055</v>
      </c>
      <c r="G155" s="451">
        <v>19379657</v>
      </c>
      <c r="H155" s="451">
        <v>0</v>
      </c>
      <c r="I155" s="451">
        <v>233004</v>
      </c>
      <c r="J155" s="451">
        <v>0</v>
      </c>
      <c r="K155" s="451">
        <v>233004</v>
      </c>
      <c r="L155" s="451">
        <v>0</v>
      </c>
      <c r="M155" s="451">
        <v>0</v>
      </c>
      <c r="N155" s="451">
        <v>0</v>
      </c>
      <c r="O155" s="451">
        <v>0</v>
      </c>
      <c r="P155" s="451">
        <v>0</v>
      </c>
      <c r="Q155" s="451">
        <v>0</v>
      </c>
      <c r="R155" s="451">
        <v>58567708</v>
      </c>
      <c r="S155" s="452" t="s">
        <v>178</v>
      </c>
      <c r="T155" s="453" t="s">
        <v>813</v>
      </c>
      <c r="U155" s="454" t="s">
        <v>800</v>
      </c>
      <c r="V155" s="324"/>
      <c r="W155" s="325"/>
    </row>
    <row r="156" spans="1:23" s="197" customFormat="1" ht="12.75" x14ac:dyDescent="0.2">
      <c r="A156" s="446">
        <v>149</v>
      </c>
      <c r="B156" s="447" t="s">
        <v>181</v>
      </c>
      <c r="C156" s="448" t="s">
        <v>1100</v>
      </c>
      <c r="D156" s="449" t="s">
        <v>1101</v>
      </c>
      <c r="E156" s="450" t="s">
        <v>180</v>
      </c>
      <c r="F156" s="451">
        <v>342220444</v>
      </c>
      <c r="G156" s="451">
        <v>0</v>
      </c>
      <c r="H156" s="451">
        <v>1278539</v>
      </c>
      <c r="I156" s="451">
        <v>1234002</v>
      </c>
      <c r="J156" s="451">
        <v>0</v>
      </c>
      <c r="K156" s="451">
        <v>1234002</v>
      </c>
      <c r="L156" s="451">
        <v>0</v>
      </c>
      <c r="M156" s="451">
        <v>0</v>
      </c>
      <c r="N156" s="451">
        <v>0</v>
      </c>
      <c r="O156" s="451">
        <v>0</v>
      </c>
      <c r="P156" s="451">
        <v>0</v>
      </c>
      <c r="Q156" s="451">
        <v>0</v>
      </c>
      <c r="R156" s="451">
        <v>339707903</v>
      </c>
      <c r="S156" s="452" t="s">
        <v>180</v>
      </c>
      <c r="T156" s="453" t="s">
        <v>787</v>
      </c>
      <c r="U156" s="454" t="s">
        <v>805</v>
      </c>
      <c r="V156" s="324"/>
      <c r="W156" s="325"/>
    </row>
    <row r="157" spans="1:23" s="197" customFormat="1" ht="12.75" x14ac:dyDescent="0.2">
      <c r="A157" s="446">
        <v>150</v>
      </c>
      <c r="B157" s="447" t="s">
        <v>183</v>
      </c>
      <c r="C157" s="448" t="s">
        <v>794</v>
      </c>
      <c r="D157" s="449" t="s">
        <v>1096</v>
      </c>
      <c r="E157" s="450" t="s">
        <v>723</v>
      </c>
      <c r="F157" s="451">
        <v>91543966</v>
      </c>
      <c r="G157" s="451">
        <v>0</v>
      </c>
      <c r="H157" s="451">
        <v>380187</v>
      </c>
      <c r="I157" s="451">
        <v>488470</v>
      </c>
      <c r="J157" s="451">
        <v>0</v>
      </c>
      <c r="K157" s="451">
        <v>488470</v>
      </c>
      <c r="L157" s="451">
        <v>0</v>
      </c>
      <c r="M157" s="451">
        <v>0</v>
      </c>
      <c r="N157" s="451">
        <v>0</v>
      </c>
      <c r="O157" s="451">
        <v>0</v>
      </c>
      <c r="P157" s="451">
        <v>0</v>
      </c>
      <c r="Q157" s="451">
        <v>0</v>
      </c>
      <c r="R157" s="451">
        <v>90675309</v>
      </c>
      <c r="S157" s="455" t="s">
        <v>723</v>
      </c>
      <c r="T157" s="453" t="s">
        <v>794</v>
      </c>
      <c r="U157" s="454" t="s">
        <v>799</v>
      </c>
      <c r="V157" s="324"/>
      <c r="W157" s="325"/>
    </row>
    <row r="158" spans="1:23" s="197" customFormat="1" ht="12.75" x14ac:dyDescent="0.2">
      <c r="A158" s="446">
        <v>151</v>
      </c>
      <c r="B158" s="447" t="s">
        <v>185</v>
      </c>
      <c r="C158" s="448" t="s">
        <v>1093</v>
      </c>
      <c r="D158" s="449" t="s">
        <v>1094</v>
      </c>
      <c r="E158" s="450" t="s">
        <v>184</v>
      </c>
      <c r="F158" s="451">
        <v>22641391</v>
      </c>
      <c r="G158" s="451">
        <v>21800</v>
      </c>
      <c r="H158" s="451">
        <v>0</v>
      </c>
      <c r="I158" s="451">
        <v>128276</v>
      </c>
      <c r="J158" s="451">
        <v>0</v>
      </c>
      <c r="K158" s="451">
        <v>128276</v>
      </c>
      <c r="L158" s="451">
        <v>0</v>
      </c>
      <c r="M158" s="451">
        <v>0</v>
      </c>
      <c r="N158" s="451">
        <v>0</v>
      </c>
      <c r="O158" s="451">
        <v>0</v>
      </c>
      <c r="P158" s="451">
        <v>0</v>
      </c>
      <c r="Q158" s="451">
        <v>0</v>
      </c>
      <c r="R158" s="451">
        <v>22534915</v>
      </c>
      <c r="S158" s="452" t="s">
        <v>184</v>
      </c>
      <c r="T158" s="453" t="s">
        <v>830</v>
      </c>
      <c r="U158" s="454" t="s">
        <v>808</v>
      </c>
      <c r="V158" s="324"/>
      <c r="W158" s="325"/>
    </row>
    <row r="159" spans="1:23" s="197" customFormat="1" ht="12.75" x14ac:dyDescent="0.2">
      <c r="A159" s="446">
        <v>152</v>
      </c>
      <c r="B159" s="447" t="s">
        <v>187</v>
      </c>
      <c r="C159" s="448" t="s">
        <v>1104</v>
      </c>
      <c r="D159" s="449" t="s">
        <v>1099</v>
      </c>
      <c r="E159" s="450" t="s">
        <v>186</v>
      </c>
      <c r="F159" s="451">
        <v>48055310</v>
      </c>
      <c r="G159" s="451">
        <v>31187</v>
      </c>
      <c r="H159" s="451">
        <v>0</v>
      </c>
      <c r="I159" s="451">
        <v>306296</v>
      </c>
      <c r="J159" s="451">
        <v>3624</v>
      </c>
      <c r="K159" s="451">
        <v>309920</v>
      </c>
      <c r="L159" s="451">
        <v>0</v>
      </c>
      <c r="M159" s="451">
        <v>0</v>
      </c>
      <c r="N159" s="451">
        <v>0</v>
      </c>
      <c r="O159" s="451">
        <v>0</v>
      </c>
      <c r="P159" s="451">
        <v>0</v>
      </c>
      <c r="Q159" s="451">
        <v>0</v>
      </c>
      <c r="R159" s="451">
        <v>47776577</v>
      </c>
      <c r="S159" s="452" t="s">
        <v>186</v>
      </c>
      <c r="T159" s="453" t="s">
        <v>786</v>
      </c>
      <c r="U159" s="453" t="s">
        <v>774</v>
      </c>
      <c r="V159" s="324"/>
      <c r="W159" s="325"/>
    </row>
    <row r="160" spans="1:23" s="197" customFormat="1" ht="12.75" x14ac:dyDescent="0.2">
      <c r="A160" s="446">
        <v>153</v>
      </c>
      <c r="B160" s="447" t="s">
        <v>189</v>
      </c>
      <c r="C160" s="448" t="s">
        <v>1093</v>
      </c>
      <c r="D160" s="449" t="s">
        <v>1103</v>
      </c>
      <c r="E160" s="450" t="s">
        <v>188</v>
      </c>
      <c r="F160" s="451">
        <v>30533400</v>
      </c>
      <c r="G160" s="451">
        <v>114282</v>
      </c>
      <c r="H160" s="451">
        <v>0</v>
      </c>
      <c r="I160" s="451">
        <v>125090</v>
      </c>
      <c r="J160" s="451">
        <v>0</v>
      </c>
      <c r="K160" s="451">
        <v>125090</v>
      </c>
      <c r="L160" s="451">
        <v>0</v>
      </c>
      <c r="M160" s="451">
        <v>0</v>
      </c>
      <c r="N160" s="451">
        <v>0</v>
      </c>
      <c r="O160" s="451">
        <v>0</v>
      </c>
      <c r="P160" s="451">
        <v>0</v>
      </c>
      <c r="Q160" s="451">
        <v>0</v>
      </c>
      <c r="R160" s="451">
        <v>30522592</v>
      </c>
      <c r="S160" s="452" t="s">
        <v>188</v>
      </c>
      <c r="T160" s="453" t="s">
        <v>816</v>
      </c>
      <c r="U160" s="454" t="s">
        <v>817</v>
      </c>
      <c r="V160" s="324"/>
      <c r="W160" s="325"/>
    </row>
    <row r="161" spans="1:23" s="197" customFormat="1" ht="12.75" x14ac:dyDescent="0.2">
      <c r="A161" s="446">
        <v>154</v>
      </c>
      <c r="B161" s="447" t="s">
        <v>191</v>
      </c>
      <c r="C161" s="448" t="s">
        <v>1093</v>
      </c>
      <c r="D161" s="449" t="s">
        <v>1096</v>
      </c>
      <c r="E161" s="450" t="s">
        <v>190</v>
      </c>
      <c r="F161" s="451">
        <v>38357641</v>
      </c>
      <c r="G161" s="451">
        <v>0</v>
      </c>
      <c r="H161" s="451">
        <v>245654</v>
      </c>
      <c r="I161" s="451">
        <v>151340</v>
      </c>
      <c r="J161" s="451">
        <v>0</v>
      </c>
      <c r="K161" s="451">
        <v>151340</v>
      </c>
      <c r="L161" s="451">
        <v>0</v>
      </c>
      <c r="M161" s="451">
        <v>0</v>
      </c>
      <c r="N161" s="451">
        <v>0</v>
      </c>
      <c r="O161" s="451">
        <v>0</v>
      </c>
      <c r="P161" s="451">
        <v>0</v>
      </c>
      <c r="Q161" s="451">
        <v>0</v>
      </c>
      <c r="R161" s="451">
        <v>37960647</v>
      </c>
      <c r="S161" s="452" t="s">
        <v>190</v>
      </c>
      <c r="T161" s="453" t="s">
        <v>802</v>
      </c>
      <c r="U161" s="454" t="s">
        <v>775</v>
      </c>
      <c r="V161" s="324"/>
      <c r="W161" s="325"/>
    </row>
    <row r="162" spans="1:23" s="197" customFormat="1" ht="12.75" x14ac:dyDescent="0.2">
      <c r="A162" s="446">
        <v>155</v>
      </c>
      <c r="B162" s="447" t="s">
        <v>193</v>
      </c>
      <c r="C162" s="448" t="s">
        <v>1100</v>
      </c>
      <c r="D162" s="449" t="s">
        <v>1095</v>
      </c>
      <c r="E162" s="450" t="s">
        <v>192</v>
      </c>
      <c r="F162" s="451">
        <v>172782443</v>
      </c>
      <c r="G162" s="451">
        <v>0</v>
      </c>
      <c r="H162" s="451">
        <v>2189303</v>
      </c>
      <c r="I162" s="451">
        <v>762931</v>
      </c>
      <c r="J162" s="451">
        <v>0</v>
      </c>
      <c r="K162" s="451">
        <v>762931</v>
      </c>
      <c r="L162" s="451">
        <v>0</v>
      </c>
      <c r="M162" s="451">
        <v>0</v>
      </c>
      <c r="N162" s="451">
        <v>0</v>
      </c>
      <c r="O162" s="451">
        <v>0</v>
      </c>
      <c r="P162" s="451">
        <v>0</v>
      </c>
      <c r="Q162" s="451">
        <v>0</v>
      </c>
      <c r="R162" s="451">
        <v>169830209</v>
      </c>
      <c r="S162" s="452" t="s">
        <v>192</v>
      </c>
      <c r="T162" s="453" t="s">
        <v>787</v>
      </c>
      <c r="U162" s="454" t="s">
        <v>838</v>
      </c>
      <c r="V162" s="324"/>
      <c r="W162" s="325"/>
    </row>
    <row r="163" spans="1:23" s="197" customFormat="1" ht="12.75" x14ac:dyDescent="0.2">
      <c r="A163" s="446">
        <v>156</v>
      </c>
      <c r="B163" s="447" t="s">
        <v>195</v>
      </c>
      <c r="C163" s="448" t="s">
        <v>794</v>
      </c>
      <c r="D163" s="449" t="s">
        <v>1097</v>
      </c>
      <c r="E163" s="450" t="s">
        <v>724</v>
      </c>
      <c r="F163" s="451">
        <v>61846806</v>
      </c>
      <c r="G163" s="451">
        <v>666807</v>
      </c>
      <c r="H163" s="451">
        <v>0</v>
      </c>
      <c r="I163" s="451">
        <v>259196</v>
      </c>
      <c r="J163" s="451">
        <v>0</v>
      </c>
      <c r="K163" s="451">
        <v>259196</v>
      </c>
      <c r="L163" s="451">
        <v>0</v>
      </c>
      <c r="M163" s="451">
        <v>0</v>
      </c>
      <c r="N163" s="451">
        <v>0</v>
      </c>
      <c r="O163" s="451">
        <v>0</v>
      </c>
      <c r="P163" s="451">
        <v>0</v>
      </c>
      <c r="Q163" s="451">
        <v>0</v>
      </c>
      <c r="R163" s="451">
        <v>62254417</v>
      </c>
      <c r="S163" s="452" t="s">
        <v>724</v>
      </c>
      <c r="T163" s="453" t="s">
        <v>794</v>
      </c>
      <c r="U163" s="454" t="s">
        <v>796</v>
      </c>
      <c r="V163" s="324"/>
      <c r="W163" s="325"/>
    </row>
    <row r="164" spans="1:23" s="197" customFormat="1" ht="12.75" x14ac:dyDescent="0.2">
      <c r="A164" s="446">
        <v>157</v>
      </c>
      <c r="B164" s="447" t="s">
        <v>197</v>
      </c>
      <c r="C164" s="448" t="s">
        <v>1093</v>
      </c>
      <c r="D164" s="449" t="s">
        <v>1094</v>
      </c>
      <c r="E164" s="450" t="s">
        <v>196</v>
      </c>
      <c r="F164" s="451">
        <v>53320629</v>
      </c>
      <c r="G164" s="451">
        <v>0</v>
      </c>
      <c r="H164" s="451">
        <v>22637</v>
      </c>
      <c r="I164" s="451">
        <v>206754</v>
      </c>
      <c r="J164" s="451">
        <v>0</v>
      </c>
      <c r="K164" s="451">
        <v>206754</v>
      </c>
      <c r="L164" s="451">
        <v>0</v>
      </c>
      <c r="M164" s="451">
        <v>0</v>
      </c>
      <c r="N164" s="451">
        <v>0</v>
      </c>
      <c r="O164" s="451">
        <v>0</v>
      </c>
      <c r="P164" s="451">
        <v>0</v>
      </c>
      <c r="Q164" s="451">
        <v>0</v>
      </c>
      <c r="R164" s="451">
        <v>53091238</v>
      </c>
      <c r="S164" s="452" t="s">
        <v>196</v>
      </c>
      <c r="T164" s="453" t="s">
        <v>781</v>
      </c>
      <c r="U164" s="454" t="s">
        <v>782</v>
      </c>
      <c r="V164" s="324"/>
      <c r="W164" s="325"/>
    </row>
    <row r="165" spans="1:23" s="197" customFormat="1" ht="12.75" x14ac:dyDescent="0.2">
      <c r="A165" s="446">
        <v>158</v>
      </c>
      <c r="B165" s="447" t="s">
        <v>199</v>
      </c>
      <c r="C165" s="448" t="s">
        <v>1093</v>
      </c>
      <c r="D165" s="449" t="s">
        <v>1097</v>
      </c>
      <c r="E165" s="450" t="s">
        <v>198</v>
      </c>
      <c r="F165" s="451">
        <v>13139470</v>
      </c>
      <c r="G165" s="451">
        <v>57194</v>
      </c>
      <c r="H165" s="451">
        <v>0</v>
      </c>
      <c r="I165" s="451">
        <v>92237</v>
      </c>
      <c r="J165" s="451">
        <v>0</v>
      </c>
      <c r="K165" s="451">
        <v>92237</v>
      </c>
      <c r="L165" s="451">
        <v>0</v>
      </c>
      <c r="M165" s="451">
        <v>0</v>
      </c>
      <c r="N165" s="451">
        <v>0</v>
      </c>
      <c r="O165" s="451">
        <v>164760</v>
      </c>
      <c r="P165" s="451">
        <v>164760</v>
      </c>
      <c r="Q165" s="451">
        <v>0</v>
      </c>
      <c r="R165" s="451">
        <v>12939667</v>
      </c>
      <c r="S165" s="452" t="s">
        <v>198</v>
      </c>
      <c r="T165" s="453" t="s">
        <v>789</v>
      </c>
      <c r="U165" s="454" t="s">
        <v>790</v>
      </c>
      <c r="V165" s="324"/>
      <c r="W165" s="325"/>
    </row>
    <row r="166" spans="1:23" s="197" customFormat="1" ht="12.75" x14ac:dyDescent="0.2">
      <c r="A166" s="446">
        <v>159</v>
      </c>
      <c r="B166" s="447" t="s">
        <v>201</v>
      </c>
      <c r="C166" s="448" t="s">
        <v>1093</v>
      </c>
      <c r="D166" s="449" t="s">
        <v>1103</v>
      </c>
      <c r="E166" s="450" t="s">
        <v>1117</v>
      </c>
      <c r="F166" s="451">
        <v>13927524</v>
      </c>
      <c r="G166" s="451">
        <v>0</v>
      </c>
      <c r="H166" s="451">
        <v>20153</v>
      </c>
      <c r="I166" s="451">
        <v>107953</v>
      </c>
      <c r="J166" s="451">
        <v>0</v>
      </c>
      <c r="K166" s="451">
        <v>107953</v>
      </c>
      <c r="L166" s="451">
        <v>0</v>
      </c>
      <c r="M166" s="451">
        <v>0</v>
      </c>
      <c r="N166" s="451">
        <v>0</v>
      </c>
      <c r="O166" s="451">
        <v>0</v>
      </c>
      <c r="P166" s="451">
        <v>0</v>
      </c>
      <c r="Q166" s="451">
        <v>0</v>
      </c>
      <c r="R166" s="451">
        <v>13799418</v>
      </c>
      <c r="S166" s="452" t="s">
        <v>200</v>
      </c>
      <c r="T166" s="453" t="s">
        <v>810</v>
      </c>
      <c r="U166" s="454" t="s">
        <v>811</v>
      </c>
      <c r="V166" s="324"/>
      <c r="W166" s="325"/>
    </row>
    <row r="167" spans="1:23" s="197" customFormat="1" ht="12.75" x14ac:dyDescent="0.2">
      <c r="A167" s="446">
        <v>160</v>
      </c>
      <c r="B167" s="447" t="s">
        <v>203</v>
      </c>
      <c r="C167" s="448" t="s">
        <v>1100</v>
      </c>
      <c r="D167" s="449" t="s">
        <v>1095</v>
      </c>
      <c r="E167" s="450" t="s">
        <v>202</v>
      </c>
      <c r="F167" s="451">
        <v>203522894</v>
      </c>
      <c r="G167" s="451">
        <v>0</v>
      </c>
      <c r="H167" s="451">
        <v>3714488</v>
      </c>
      <c r="I167" s="451">
        <v>1108164</v>
      </c>
      <c r="J167" s="451">
        <v>0</v>
      </c>
      <c r="K167" s="451">
        <v>1108164</v>
      </c>
      <c r="L167" s="451">
        <v>0</v>
      </c>
      <c r="M167" s="451">
        <v>0</v>
      </c>
      <c r="N167" s="451">
        <v>0</v>
      </c>
      <c r="O167" s="451">
        <v>0</v>
      </c>
      <c r="P167" s="451">
        <v>0</v>
      </c>
      <c r="Q167" s="451">
        <v>0</v>
      </c>
      <c r="R167" s="451">
        <v>198700242</v>
      </c>
      <c r="S167" s="452" t="s">
        <v>202</v>
      </c>
      <c r="T167" s="453" t="s">
        <v>787</v>
      </c>
      <c r="U167" s="454" t="s">
        <v>801</v>
      </c>
      <c r="V167" s="324"/>
      <c r="W167" s="325"/>
    </row>
    <row r="168" spans="1:23" s="197" customFormat="1" ht="12.75" x14ac:dyDescent="0.2">
      <c r="A168" s="446">
        <v>161</v>
      </c>
      <c r="B168" s="447" t="s">
        <v>205</v>
      </c>
      <c r="C168" s="448" t="s">
        <v>1093</v>
      </c>
      <c r="D168" s="449" t="s">
        <v>1096</v>
      </c>
      <c r="E168" s="450" t="s">
        <v>204</v>
      </c>
      <c r="F168" s="451">
        <v>26601916</v>
      </c>
      <c r="G168" s="451">
        <v>0</v>
      </c>
      <c r="H168" s="451">
        <v>108596</v>
      </c>
      <c r="I168" s="451">
        <v>129143</v>
      </c>
      <c r="J168" s="451">
        <v>0</v>
      </c>
      <c r="K168" s="451">
        <v>129143</v>
      </c>
      <c r="L168" s="451">
        <v>0</v>
      </c>
      <c r="M168" s="451">
        <v>0</v>
      </c>
      <c r="N168" s="451">
        <v>0</v>
      </c>
      <c r="O168" s="451">
        <v>0</v>
      </c>
      <c r="P168" s="451">
        <v>0</v>
      </c>
      <c r="Q168" s="451">
        <v>0</v>
      </c>
      <c r="R168" s="451">
        <v>26364177</v>
      </c>
      <c r="S168" s="452" t="s">
        <v>204</v>
      </c>
      <c r="T168" s="453" t="s">
        <v>779</v>
      </c>
      <c r="U168" s="454" t="s">
        <v>780</v>
      </c>
      <c r="V168" s="324"/>
      <c r="W168" s="325"/>
    </row>
    <row r="169" spans="1:23" s="197" customFormat="1" ht="12.75" x14ac:dyDescent="0.2">
      <c r="A169" s="446">
        <v>162</v>
      </c>
      <c r="B169" s="447" t="s">
        <v>207</v>
      </c>
      <c r="C169" s="448" t="s">
        <v>794</v>
      </c>
      <c r="D169" s="449" t="s">
        <v>1094</v>
      </c>
      <c r="E169" s="450" t="s">
        <v>725</v>
      </c>
      <c r="F169" s="451">
        <v>75937831</v>
      </c>
      <c r="G169" s="451">
        <v>1537609</v>
      </c>
      <c r="H169" s="451">
        <v>0</v>
      </c>
      <c r="I169" s="451">
        <v>292567</v>
      </c>
      <c r="J169" s="451">
        <v>0</v>
      </c>
      <c r="K169" s="451">
        <v>292567</v>
      </c>
      <c r="L169" s="451">
        <v>0</v>
      </c>
      <c r="M169" s="451">
        <v>0</v>
      </c>
      <c r="N169" s="451">
        <v>0</v>
      </c>
      <c r="O169" s="451">
        <v>0</v>
      </c>
      <c r="P169" s="451">
        <v>0</v>
      </c>
      <c r="Q169" s="451">
        <v>0</v>
      </c>
      <c r="R169" s="451">
        <v>77182873</v>
      </c>
      <c r="S169" s="452" t="s">
        <v>725</v>
      </c>
      <c r="T169" s="453" t="s">
        <v>794</v>
      </c>
      <c r="U169" s="454" t="s">
        <v>782</v>
      </c>
      <c r="V169" s="324"/>
      <c r="W169" s="325"/>
    </row>
    <row r="170" spans="1:23" s="197" customFormat="1" ht="12.75" x14ac:dyDescent="0.2">
      <c r="A170" s="446">
        <v>163</v>
      </c>
      <c r="B170" s="447" t="s">
        <v>209</v>
      </c>
      <c r="C170" s="448" t="s">
        <v>1093</v>
      </c>
      <c r="D170" s="449" t="s">
        <v>1096</v>
      </c>
      <c r="E170" s="450" t="s">
        <v>208</v>
      </c>
      <c r="F170" s="451">
        <v>12177033</v>
      </c>
      <c r="G170" s="451">
        <v>59486</v>
      </c>
      <c r="H170" s="451">
        <v>0</v>
      </c>
      <c r="I170" s="451">
        <v>61924</v>
      </c>
      <c r="J170" s="451">
        <v>0</v>
      </c>
      <c r="K170" s="451">
        <v>61924</v>
      </c>
      <c r="L170" s="451">
        <v>0</v>
      </c>
      <c r="M170" s="451">
        <v>0</v>
      </c>
      <c r="N170" s="451">
        <v>0</v>
      </c>
      <c r="O170" s="451">
        <v>0</v>
      </c>
      <c r="P170" s="451">
        <v>0</v>
      </c>
      <c r="Q170" s="451">
        <v>0</v>
      </c>
      <c r="R170" s="451">
        <v>12174595</v>
      </c>
      <c r="S170" s="452" t="s">
        <v>208</v>
      </c>
      <c r="T170" s="453" t="s">
        <v>798</v>
      </c>
      <c r="U170" s="454" t="s">
        <v>799</v>
      </c>
      <c r="V170" s="324"/>
      <c r="W170" s="325"/>
    </row>
    <row r="171" spans="1:23" s="197" customFormat="1" ht="12.75" x14ac:dyDescent="0.2">
      <c r="A171" s="446">
        <v>164</v>
      </c>
      <c r="B171" s="447" t="s">
        <v>211</v>
      </c>
      <c r="C171" s="448" t="s">
        <v>1093</v>
      </c>
      <c r="D171" s="449" t="s">
        <v>1102</v>
      </c>
      <c r="E171" s="450" t="s">
        <v>210</v>
      </c>
      <c r="F171" s="451">
        <v>30928240</v>
      </c>
      <c r="G171" s="451">
        <v>0</v>
      </c>
      <c r="H171" s="451">
        <v>47178</v>
      </c>
      <c r="I171" s="451">
        <v>162142</v>
      </c>
      <c r="J171" s="451">
        <v>750</v>
      </c>
      <c r="K171" s="451">
        <v>162892</v>
      </c>
      <c r="L171" s="451">
        <v>0</v>
      </c>
      <c r="M171" s="451">
        <v>0</v>
      </c>
      <c r="N171" s="451">
        <v>0</v>
      </c>
      <c r="O171" s="451">
        <v>0</v>
      </c>
      <c r="P171" s="451">
        <v>0</v>
      </c>
      <c r="Q171" s="451">
        <v>0</v>
      </c>
      <c r="R171" s="451">
        <v>30718170</v>
      </c>
      <c r="S171" s="452" t="s">
        <v>210</v>
      </c>
      <c r="T171" s="453" t="s">
        <v>839</v>
      </c>
      <c r="U171" s="454" t="s">
        <v>828</v>
      </c>
      <c r="V171" s="324"/>
      <c r="W171" s="325"/>
    </row>
    <row r="172" spans="1:23" s="197" customFormat="1" ht="12.75" x14ac:dyDescent="0.2">
      <c r="A172" s="446">
        <v>165</v>
      </c>
      <c r="B172" s="447" t="s">
        <v>213</v>
      </c>
      <c r="C172" s="448" t="s">
        <v>1098</v>
      </c>
      <c r="D172" s="449" t="s">
        <v>1099</v>
      </c>
      <c r="E172" s="450" t="s">
        <v>212</v>
      </c>
      <c r="F172" s="451">
        <v>79583097</v>
      </c>
      <c r="G172" s="451">
        <v>0</v>
      </c>
      <c r="H172" s="451">
        <v>170662</v>
      </c>
      <c r="I172" s="451">
        <v>280580</v>
      </c>
      <c r="J172" s="451">
        <v>0</v>
      </c>
      <c r="K172" s="451">
        <v>280580</v>
      </c>
      <c r="L172" s="451">
        <v>0</v>
      </c>
      <c r="M172" s="451">
        <v>0</v>
      </c>
      <c r="N172" s="451">
        <v>0</v>
      </c>
      <c r="O172" s="451">
        <v>0</v>
      </c>
      <c r="P172" s="451">
        <v>0</v>
      </c>
      <c r="Q172" s="451">
        <v>0</v>
      </c>
      <c r="R172" s="451">
        <v>79131855</v>
      </c>
      <c r="S172" s="452" t="s">
        <v>212</v>
      </c>
      <c r="T172" s="453" t="s">
        <v>786</v>
      </c>
      <c r="U172" s="453" t="s">
        <v>774</v>
      </c>
      <c r="V172" s="324"/>
      <c r="W172" s="325"/>
    </row>
    <row r="173" spans="1:23" s="197" customFormat="1" ht="12.75" x14ac:dyDescent="0.2">
      <c r="A173" s="446">
        <v>166</v>
      </c>
      <c r="B173" s="447" t="s">
        <v>215</v>
      </c>
      <c r="C173" s="448" t="s">
        <v>1093</v>
      </c>
      <c r="D173" s="449" t="s">
        <v>1102</v>
      </c>
      <c r="E173" s="450" t="s">
        <v>214</v>
      </c>
      <c r="F173" s="451">
        <v>14399000</v>
      </c>
      <c r="G173" s="451">
        <v>77877</v>
      </c>
      <c r="H173" s="451">
        <v>0</v>
      </c>
      <c r="I173" s="451">
        <v>106404</v>
      </c>
      <c r="J173" s="451">
        <v>0</v>
      </c>
      <c r="K173" s="451">
        <v>106404</v>
      </c>
      <c r="L173" s="451">
        <v>0</v>
      </c>
      <c r="M173" s="451">
        <v>0</v>
      </c>
      <c r="N173" s="451">
        <v>0</v>
      </c>
      <c r="O173" s="451">
        <v>40779</v>
      </c>
      <c r="P173" s="451">
        <v>40779</v>
      </c>
      <c r="Q173" s="451">
        <v>0</v>
      </c>
      <c r="R173" s="451">
        <v>14329694</v>
      </c>
      <c r="S173" s="452" t="s">
        <v>214</v>
      </c>
      <c r="T173" s="453" t="s">
        <v>827</v>
      </c>
      <c r="U173" s="454" t="s">
        <v>828</v>
      </c>
      <c r="V173" s="324"/>
      <c r="W173" s="325"/>
    </row>
    <row r="174" spans="1:23" s="197" customFormat="1" ht="12.75" x14ac:dyDescent="0.2">
      <c r="A174" s="446">
        <v>167</v>
      </c>
      <c r="B174" s="447" t="s">
        <v>217</v>
      </c>
      <c r="C174" s="448" t="s">
        <v>1093</v>
      </c>
      <c r="D174" s="449" t="s">
        <v>1097</v>
      </c>
      <c r="E174" s="450" t="s">
        <v>216</v>
      </c>
      <c r="F174" s="451">
        <v>19964247</v>
      </c>
      <c r="G174" s="451">
        <v>0</v>
      </c>
      <c r="H174" s="451">
        <v>60981</v>
      </c>
      <c r="I174" s="451">
        <v>128540</v>
      </c>
      <c r="J174" s="451">
        <v>0</v>
      </c>
      <c r="K174" s="451">
        <v>128540</v>
      </c>
      <c r="L174" s="451">
        <v>0</v>
      </c>
      <c r="M174" s="451">
        <v>0</v>
      </c>
      <c r="N174" s="451">
        <v>0</v>
      </c>
      <c r="O174" s="451">
        <v>40762</v>
      </c>
      <c r="P174" s="451">
        <v>40762</v>
      </c>
      <c r="Q174" s="451">
        <v>0</v>
      </c>
      <c r="R174" s="451">
        <v>19733964</v>
      </c>
      <c r="S174" s="452" t="s">
        <v>216</v>
      </c>
      <c r="T174" s="453" t="s">
        <v>785</v>
      </c>
      <c r="U174" s="454" t="s">
        <v>775</v>
      </c>
      <c r="V174" s="324"/>
      <c r="W174" s="325"/>
    </row>
    <row r="175" spans="1:23" s="197" customFormat="1" ht="12.75" x14ac:dyDescent="0.2">
      <c r="A175" s="446">
        <v>168</v>
      </c>
      <c r="B175" s="447" t="s">
        <v>219</v>
      </c>
      <c r="C175" s="448" t="s">
        <v>1093</v>
      </c>
      <c r="D175" s="449" t="s">
        <v>1094</v>
      </c>
      <c r="E175" s="450" t="s">
        <v>218</v>
      </c>
      <c r="F175" s="451">
        <v>40082390</v>
      </c>
      <c r="G175" s="451">
        <v>0</v>
      </c>
      <c r="H175" s="451">
        <v>88143</v>
      </c>
      <c r="I175" s="451">
        <v>172028</v>
      </c>
      <c r="J175" s="451">
        <v>0</v>
      </c>
      <c r="K175" s="451">
        <v>172028</v>
      </c>
      <c r="L175" s="451">
        <v>0</v>
      </c>
      <c r="M175" s="451">
        <v>0</v>
      </c>
      <c r="N175" s="451">
        <v>0</v>
      </c>
      <c r="O175" s="451">
        <v>0</v>
      </c>
      <c r="P175" s="451">
        <v>0</v>
      </c>
      <c r="Q175" s="451">
        <v>0</v>
      </c>
      <c r="R175" s="451">
        <v>39822219</v>
      </c>
      <c r="S175" s="452" t="s">
        <v>218</v>
      </c>
      <c r="T175" s="453" t="s">
        <v>773</v>
      </c>
      <c r="U175" s="454" t="s">
        <v>775</v>
      </c>
      <c r="V175" s="324"/>
      <c r="W175" s="325"/>
    </row>
    <row r="176" spans="1:23" s="197" customFormat="1" ht="12.75" x14ac:dyDescent="0.2">
      <c r="A176" s="446">
        <v>169</v>
      </c>
      <c r="B176" s="447" t="s">
        <v>221</v>
      </c>
      <c r="C176" s="448" t="s">
        <v>794</v>
      </c>
      <c r="D176" s="449" t="s">
        <v>1105</v>
      </c>
      <c r="E176" s="450" t="s">
        <v>726</v>
      </c>
      <c r="F176" s="451">
        <v>35811582</v>
      </c>
      <c r="G176" s="451">
        <v>0</v>
      </c>
      <c r="H176" s="451">
        <v>505567</v>
      </c>
      <c r="I176" s="451">
        <v>179446</v>
      </c>
      <c r="J176" s="451">
        <v>0</v>
      </c>
      <c r="K176" s="451">
        <v>179446</v>
      </c>
      <c r="L176" s="451">
        <v>0</v>
      </c>
      <c r="M176" s="451">
        <v>0</v>
      </c>
      <c r="N176" s="451">
        <v>0</v>
      </c>
      <c r="O176" s="451">
        <v>0</v>
      </c>
      <c r="P176" s="451">
        <v>0</v>
      </c>
      <c r="Q176" s="451">
        <v>0</v>
      </c>
      <c r="R176" s="451">
        <v>35126569</v>
      </c>
      <c r="S176" s="452" t="s">
        <v>726</v>
      </c>
      <c r="T176" s="453" t="s">
        <v>794</v>
      </c>
      <c r="U176" s="454" t="s">
        <v>833</v>
      </c>
      <c r="V176" s="324"/>
      <c r="W176" s="325"/>
    </row>
    <row r="177" spans="1:23" s="197" customFormat="1" ht="12.75" x14ac:dyDescent="0.2">
      <c r="A177" s="446">
        <v>170</v>
      </c>
      <c r="B177" s="447" t="s">
        <v>223</v>
      </c>
      <c r="C177" s="448" t="s">
        <v>794</v>
      </c>
      <c r="D177" s="449" t="s">
        <v>1094</v>
      </c>
      <c r="E177" s="450" t="s">
        <v>727</v>
      </c>
      <c r="F177" s="451">
        <v>124174244</v>
      </c>
      <c r="G177" s="451">
        <v>0</v>
      </c>
      <c r="H177" s="451">
        <v>1945885</v>
      </c>
      <c r="I177" s="451">
        <v>373542</v>
      </c>
      <c r="J177" s="451">
        <v>0</v>
      </c>
      <c r="K177" s="451">
        <v>373542</v>
      </c>
      <c r="L177" s="451">
        <v>0</v>
      </c>
      <c r="M177" s="451">
        <v>0</v>
      </c>
      <c r="N177" s="451">
        <v>0</v>
      </c>
      <c r="O177" s="451">
        <v>0</v>
      </c>
      <c r="P177" s="451">
        <v>0</v>
      </c>
      <c r="Q177" s="451">
        <v>0</v>
      </c>
      <c r="R177" s="451">
        <v>121854817</v>
      </c>
      <c r="S177" s="452" t="s">
        <v>727</v>
      </c>
      <c r="T177" s="453" t="s">
        <v>794</v>
      </c>
      <c r="U177" s="454" t="s">
        <v>784</v>
      </c>
      <c r="V177" s="324"/>
      <c r="W177" s="325"/>
    </row>
    <row r="178" spans="1:23" s="197" customFormat="1" ht="12.75" x14ac:dyDescent="0.2">
      <c r="A178" s="446">
        <v>171</v>
      </c>
      <c r="B178" s="447" t="s">
        <v>225</v>
      </c>
      <c r="C178" s="448" t="s">
        <v>1093</v>
      </c>
      <c r="D178" s="449" t="s">
        <v>1094</v>
      </c>
      <c r="E178" s="450" t="s">
        <v>224</v>
      </c>
      <c r="F178" s="451">
        <v>34837788</v>
      </c>
      <c r="G178" s="451">
        <v>0</v>
      </c>
      <c r="H178" s="451">
        <v>134779</v>
      </c>
      <c r="I178" s="451">
        <v>152970</v>
      </c>
      <c r="J178" s="451">
        <v>0</v>
      </c>
      <c r="K178" s="451">
        <v>152970</v>
      </c>
      <c r="L178" s="451">
        <v>0</v>
      </c>
      <c r="M178" s="451">
        <v>0</v>
      </c>
      <c r="N178" s="451">
        <v>0</v>
      </c>
      <c r="O178" s="451">
        <v>0</v>
      </c>
      <c r="P178" s="451">
        <v>0</v>
      </c>
      <c r="Q178" s="451">
        <v>0</v>
      </c>
      <c r="R178" s="451">
        <v>34550039</v>
      </c>
      <c r="S178" s="452" t="s">
        <v>224</v>
      </c>
      <c r="T178" s="453" t="s">
        <v>831</v>
      </c>
      <c r="U178" s="454" t="s">
        <v>775</v>
      </c>
      <c r="V178" s="324"/>
      <c r="W178" s="325"/>
    </row>
    <row r="179" spans="1:23" s="197" customFormat="1" ht="12.75" x14ac:dyDescent="0.2">
      <c r="A179" s="446">
        <v>172</v>
      </c>
      <c r="B179" s="447" t="s">
        <v>227</v>
      </c>
      <c r="C179" s="448" t="s">
        <v>1093</v>
      </c>
      <c r="D179" s="449" t="s">
        <v>1094</v>
      </c>
      <c r="E179" s="450" t="s">
        <v>226</v>
      </c>
      <c r="F179" s="451">
        <v>54853878</v>
      </c>
      <c r="G179" s="451">
        <v>1158545</v>
      </c>
      <c r="H179" s="451">
        <v>0</v>
      </c>
      <c r="I179" s="451">
        <v>286160</v>
      </c>
      <c r="J179" s="451">
        <v>0</v>
      </c>
      <c r="K179" s="451">
        <v>286160</v>
      </c>
      <c r="L179" s="451">
        <v>0</v>
      </c>
      <c r="M179" s="451">
        <v>0</v>
      </c>
      <c r="N179" s="451">
        <v>0</v>
      </c>
      <c r="O179" s="451">
        <v>278</v>
      </c>
      <c r="P179" s="451">
        <v>278</v>
      </c>
      <c r="Q179" s="451">
        <v>0</v>
      </c>
      <c r="R179" s="451">
        <v>55725985</v>
      </c>
      <c r="S179" s="452" t="s">
        <v>226</v>
      </c>
      <c r="T179" s="453" t="s">
        <v>791</v>
      </c>
      <c r="U179" s="454" t="s">
        <v>792</v>
      </c>
      <c r="V179" s="324"/>
      <c r="W179" s="325"/>
    </row>
    <row r="180" spans="1:23" s="197" customFormat="1" ht="12.75" x14ac:dyDescent="0.2">
      <c r="A180" s="446">
        <v>173</v>
      </c>
      <c r="B180" s="447" t="s">
        <v>229</v>
      </c>
      <c r="C180" s="448" t="s">
        <v>1093</v>
      </c>
      <c r="D180" s="449" t="s">
        <v>1096</v>
      </c>
      <c r="E180" s="450" t="s">
        <v>728</v>
      </c>
      <c r="F180" s="451">
        <v>36683822</v>
      </c>
      <c r="G180" s="451">
        <v>0</v>
      </c>
      <c r="H180" s="451">
        <v>116574</v>
      </c>
      <c r="I180" s="451">
        <v>164324</v>
      </c>
      <c r="J180" s="451">
        <v>0</v>
      </c>
      <c r="K180" s="451">
        <v>164324</v>
      </c>
      <c r="L180" s="451">
        <v>0</v>
      </c>
      <c r="M180" s="451">
        <v>0</v>
      </c>
      <c r="N180" s="451">
        <v>0</v>
      </c>
      <c r="O180" s="451">
        <v>0</v>
      </c>
      <c r="P180" s="451">
        <v>0</v>
      </c>
      <c r="Q180" s="451">
        <v>0</v>
      </c>
      <c r="R180" s="451">
        <v>36402924</v>
      </c>
      <c r="S180" s="452" t="s">
        <v>728</v>
      </c>
      <c r="T180" s="453" t="s">
        <v>779</v>
      </c>
      <c r="U180" s="454" t="s">
        <v>780</v>
      </c>
      <c r="V180" s="324"/>
      <c r="W180" s="325"/>
    </row>
    <row r="181" spans="1:23" s="197" customFormat="1" ht="12.75" x14ac:dyDescent="0.2">
      <c r="A181" s="446">
        <v>174</v>
      </c>
      <c r="B181" s="447" t="s">
        <v>231</v>
      </c>
      <c r="C181" s="448" t="s">
        <v>1100</v>
      </c>
      <c r="D181" s="449" t="s">
        <v>1105</v>
      </c>
      <c r="E181" s="450" t="s">
        <v>1118</v>
      </c>
      <c r="F181" s="451">
        <v>130456794</v>
      </c>
      <c r="G181" s="451">
        <v>0</v>
      </c>
      <c r="H181" s="451">
        <v>112713</v>
      </c>
      <c r="I181" s="451">
        <v>461240</v>
      </c>
      <c r="J181" s="451">
        <v>0</v>
      </c>
      <c r="K181" s="451">
        <v>461240</v>
      </c>
      <c r="L181" s="451">
        <v>0</v>
      </c>
      <c r="M181" s="451">
        <v>258625</v>
      </c>
      <c r="N181" s="451">
        <v>1132971</v>
      </c>
      <c r="O181" s="451">
        <v>0</v>
      </c>
      <c r="P181" s="451">
        <v>0</v>
      </c>
      <c r="Q181" s="451">
        <v>0</v>
      </c>
      <c r="R181" s="451">
        <v>128491245</v>
      </c>
      <c r="S181" s="455" t="s">
        <v>230</v>
      </c>
      <c r="T181" s="453" t="s">
        <v>787</v>
      </c>
      <c r="U181" s="454" t="s">
        <v>832</v>
      </c>
      <c r="V181" s="324"/>
      <c r="W181" s="325"/>
    </row>
    <row r="182" spans="1:23" s="197" customFormat="1" ht="12.75" x14ac:dyDescent="0.2">
      <c r="A182" s="446">
        <v>175</v>
      </c>
      <c r="B182" s="447" t="s">
        <v>233</v>
      </c>
      <c r="C182" s="448" t="s">
        <v>1093</v>
      </c>
      <c r="D182" s="449" t="s">
        <v>1103</v>
      </c>
      <c r="E182" s="450" t="s">
        <v>232</v>
      </c>
      <c r="F182" s="451">
        <v>32360120</v>
      </c>
      <c r="G182" s="451">
        <v>76316</v>
      </c>
      <c r="H182" s="451">
        <v>0</v>
      </c>
      <c r="I182" s="451">
        <v>141676</v>
      </c>
      <c r="J182" s="451">
        <v>0</v>
      </c>
      <c r="K182" s="451">
        <v>141676</v>
      </c>
      <c r="L182" s="451">
        <v>0</v>
      </c>
      <c r="M182" s="451">
        <v>0</v>
      </c>
      <c r="N182" s="451">
        <v>0</v>
      </c>
      <c r="O182" s="451">
        <v>0</v>
      </c>
      <c r="P182" s="451">
        <v>0</v>
      </c>
      <c r="Q182" s="451">
        <v>0</v>
      </c>
      <c r="R182" s="451">
        <v>32294760</v>
      </c>
      <c r="S182" s="452" t="s">
        <v>232</v>
      </c>
      <c r="T182" s="453" t="s">
        <v>816</v>
      </c>
      <c r="U182" s="454" t="s">
        <v>817</v>
      </c>
      <c r="V182" s="324"/>
      <c r="W182" s="325"/>
    </row>
    <row r="183" spans="1:23" s="197" customFormat="1" ht="12.75" x14ac:dyDescent="0.2">
      <c r="A183" s="446">
        <v>176</v>
      </c>
      <c r="B183" s="447" t="s">
        <v>235</v>
      </c>
      <c r="C183" s="448" t="s">
        <v>1098</v>
      </c>
      <c r="D183" s="449" t="s">
        <v>1099</v>
      </c>
      <c r="E183" s="450" t="s">
        <v>234</v>
      </c>
      <c r="F183" s="451">
        <v>119327241</v>
      </c>
      <c r="G183" s="451">
        <v>385628</v>
      </c>
      <c r="H183" s="451">
        <v>0</v>
      </c>
      <c r="I183" s="451">
        <v>387053</v>
      </c>
      <c r="J183" s="451">
        <v>0</v>
      </c>
      <c r="K183" s="451">
        <v>387053</v>
      </c>
      <c r="L183" s="451">
        <v>0</v>
      </c>
      <c r="M183" s="451">
        <v>173688</v>
      </c>
      <c r="N183" s="451">
        <v>0</v>
      </c>
      <c r="O183" s="451">
        <v>0</v>
      </c>
      <c r="P183" s="451">
        <v>0</v>
      </c>
      <c r="Q183" s="451">
        <v>0</v>
      </c>
      <c r="R183" s="451">
        <v>119152128</v>
      </c>
      <c r="S183" s="452" t="s">
        <v>234</v>
      </c>
      <c r="T183" s="453" t="s">
        <v>786</v>
      </c>
      <c r="U183" s="453" t="s">
        <v>774</v>
      </c>
      <c r="V183" s="324"/>
      <c r="W183" s="325"/>
    </row>
    <row r="184" spans="1:23" s="197" customFormat="1" ht="12.75" x14ac:dyDescent="0.2">
      <c r="A184" s="446">
        <v>177</v>
      </c>
      <c r="B184" s="447" t="s">
        <v>237</v>
      </c>
      <c r="C184" s="448" t="s">
        <v>1093</v>
      </c>
      <c r="D184" s="449" t="s">
        <v>1102</v>
      </c>
      <c r="E184" s="450" t="s">
        <v>236</v>
      </c>
      <c r="F184" s="451">
        <v>30170430</v>
      </c>
      <c r="G184" s="451">
        <v>156576</v>
      </c>
      <c r="H184" s="451">
        <v>0</v>
      </c>
      <c r="I184" s="451">
        <v>202305</v>
      </c>
      <c r="J184" s="451">
        <v>0</v>
      </c>
      <c r="K184" s="451">
        <v>202305</v>
      </c>
      <c r="L184" s="451">
        <v>0</v>
      </c>
      <c r="M184" s="451">
        <v>0</v>
      </c>
      <c r="N184" s="451">
        <v>0</v>
      </c>
      <c r="O184" s="451">
        <v>0</v>
      </c>
      <c r="P184" s="451">
        <v>0</v>
      </c>
      <c r="Q184" s="451">
        <v>0</v>
      </c>
      <c r="R184" s="451">
        <v>30124701</v>
      </c>
      <c r="S184" s="452" t="s">
        <v>236</v>
      </c>
      <c r="T184" s="453" t="s">
        <v>827</v>
      </c>
      <c r="U184" s="454" t="s">
        <v>828</v>
      </c>
      <c r="V184" s="324"/>
      <c r="W184" s="325"/>
    </row>
    <row r="185" spans="1:23" s="197" customFormat="1" ht="12.75" x14ac:dyDescent="0.2">
      <c r="A185" s="446">
        <v>178</v>
      </c>
      <c r="B185" s="447" t="s">
        <v>239</v>
      </c>
      <c r="C185" s="448" t="s">
        <v>1093</v>
      </c>
      <c r="D185" s="449" t="s">
        <v>1102</v>
      </c>
      <c r="E185" s="450" t="s">
        <v>238</v>
      </c>
      <c r="F185" s="451">
        <v>12669515</v>
      </c>
      <c r="G185" s="451">
        <v>11382</v>
      </c>
      <c r="H185" s="451">
        <v>0</v>
      </c>
      <c r="I185" s="451">
        <v>91750</v>
      </c>
      <c r="J185" s="451">
        <v>0</v>
      </c>
      <c r="K185" s="451">
        <v>91750</v>
      </c>
      <c r="L185" s="451">
        <v>0</v>
      </c>
      <c r="M185" s="451">
        <v>0</v>
      </c>
      <c r="N185" s="451">
        <v>0</v>
      </c>
      <c r="O185" s="451">
        <v>0</v>
      </c>
      <c r="P185" s="451">
        <v>0</v>
      </c>
      <c r="Q185" s="451">
        <v>0</v>
      </c>
      <c r="R185" s="451">
        <v>12589147</v>
      </c>
      <c r="S185" s="452" t="s">
        <v>238</v>
      </c>
      <c r="T185" s="453" t="s">
        <v>821</v>
      </c>
      <c r="U185" s="454" t="s">
        <v>803</v>
      </c>
      <c r="V185" s="324" t="s">
        <v>1120</v>
      </c>
      <c r="W185" s="325"/>
    </row>
    <row r="186" spans="1:23" s="197" customFormat="1" ht="12.75" x14ac:dyDescent="0.2">
      <c r="A186" s="446">
        <v>179</v>
      </c>
      <c r="B186" s="447" t="s">
        <v>241</v>
      </c>
      <c r="C186" s="448" t="s">
        <v>1093</v>
      </c>
      <c r="D186" s="449" t="s">
        <v>1096</v>
      </c>
      <c r="E186" s="450" t="s">
        <v>240</v>
      </c>
      <c r="F186" s="451">
        <v>14532411</v>
      </c>
      <c r="G186" s="451">
        <v>39707</v>
      </c>
      <c r="H186" s="451">
        <v>0</v>
      </c>
      <c r="I186" s="451">
        <v>97498</v>
      </c>
      <c r="J186" s="451">
        <v>0</v>
      </c>
      <c r="K186" s="451">
        <v>97498</v>
      </c>
      <c r="L186" s="451">
        <v>0</v>
      </c>
      <c r="M186" s="451">
        <v>0</v>
      </c>
      <c r="N186" s="451">
        <v>0</v>
      </c>
      <c r="O186" s="451">
        <v>0</v>
      </c>
      <c r="P186" s="451">
        <v>0</v>
      </c>
      <c r="Q186" s="451">
        <v>0</v>
      </c>
      <c r="R186" s="451">
        <v>14474620</v>
      </c>
      <c r="S186" s="452" t="s">
        <v>240</v>
      </c>
      <c r="T186" s="453" t="s">
        <v>777</v>
      </c>
      <c r="U186" s="454" t="s">
        <v>778</v>
      </c>
      <c r="V186" s="324"/>
      <c r="W186" s="325"/>
    </row>
    <row r="187" spans="1:23" s="197" customFormat="1" ht="12.75" x14ac:dyDescent="0.2">
      <c r="A187" s="446">
        <v>180</v>
      </c>
      <c r="B187" s="447" t="s">
        <v>243</v>
      </c>
      <c r="C187" s="448" t="s">
        <v>794</v>
      </c>
      <c r="D187" s="449" t="s">
        <v>1101</v>
      </c>
      <c r="E187" s="450" t="s">
        <v>729</v>
      </c>
      <c r="F187" s="451">
        <v>59923637</v>
      </c>
      <c r="G187" s="451">
        <v>215192</v>
      </c>
      <c r="H187" s="451">
        <v>0</v>
      </c>
      <c r="I187" s="451">
        <v>241084</v>
      </c>
      <c r="J187" s="451">
        <v>0</v>
      </c>
      <c r="K187" s="451">
        <v>241084</v>
      </c>
      <c r="L187" s="451">
        <v>0</v>
      </c>
      <c r="M187" s="451">
        <v>0</v>
      </c>
      <c r="N187" s="451">
        <v>0</v>
      </c>
      <c r="O187" s="451">
        <v>0</v>
      </c>
      <c r="P187" s="451">
        <v>0</v>
      </c>
      <c r="Q187" s="451">
        <v>0</v>
      </c>
      <c r="R187" s="451">
        <v>59897745</v>
      </c>
      <c r="S187" s="452" t="s">
        <v>729</v>
      </c>
      <c r="T187" s="453" t="s">
        <v>794</v>
      </c>
      <c r="U187" s="454" t="s">
        <v>829</v>
      </c>
      <c r="V187" s="324"/>
      <c r="W187" s="325"/>
    </row>
    <row r="188" spans="1:23" s="197" customFormat="1" ht="12.75" x14ac:dyDescent="0.2">
      <c r="A188" s="446">
        <v>181</v>
      </c>
      <c r="B188" s="447" t="s">
        <v>245</v>
      </c>
      <c r="C188" s="448" t="s">
        <v>1093</v>
      </c>
      <c r="D188" s="449" t="s">
        <v>1097</v>
      </c>
      <c r="E188" s="450" t="s">
        <v>244</v>
      </c>
      <c r="F188" s="451">
        <v>35689821</v>
      </c>
      <c r="G188" s="451">
        <v>0</v>
      </c>
      <c r="H188" s="451">
        <v>353524</v>
      </c>
      <c r="I188" s="451">
        <v>182381</v>
      </c>
      <c r="J188" s="451">
        <v>0</v>
      </c>
      <c r="K188" s="451">
        <v>182381</v>
      </c>
      <c r="L188" s="451">
        <v>0</v>
      </c>
      <c r="M188" s="451">
        <v>0</v>
      </c>
      <c r="N188" s="451">
        <v>0</v>
      </c>
      <c r="O188" s="451">
        <v>0</v>
      </c>
      <c r="P188" s="451">
        <v>0</v>
      </c>
      <c r="Q188" s="451">
        <v>0</v>
      </c>
      <c r="R188" s="451">
        <v>35153916</v>
      </c>
      <c r="S188" s="452" t="s">
        <v>244</v>
      </c>
      <c r="T188" s="453" t="s">
        <v>812</v>
      </c>
      <c r="U188" s="454" t="s">
        <v>775</v>
      </c>
      <c r="V188" s="324"/>
      <c r="W188" s="325"/>
    </row>
    <row r="189" spans="1:23" s="197" customFormat="1" ht="12.75" x14ac:dyDescent="0.2">
      <c r="A189" s="446">
        <v>182</v>
      </c>
      <c r="B189" s="447" t="s">
        <v>247</v>
      </c>
      <c r="C189" s="448" t="s">
        <v>1093</v>
      </c>
      <c r="D189" s="449" t="s">
        <v>1096</v>
      </c>
      <c r="E189" s="450" t="s">
        <v>246</v>
      </c>
      <c r="F189" s="451">
        <v>21846815</v>
      </c>
      <c r="G189" s="451">
        <v>59353</v>
      </c>
      <c r="H189" s="451">
        <v>57605</v>
      </c>
      <c r="I189" s="451">
        <v>122912</v>
      </c>
      <c r="J189" s="451">
        <v>0</v>
      </c>
      <c r="K189" s="451">
        <v>122912</v>
      </c>
      <c r="L189" s="451">
        <v>0</v>
      </c>
      <c r="M189" s="451">
        <v>0</v>
      </c>
      <c r="N189" s="451">
        <v>0</v>
      </c>
      <c r="O189" s="451">
        <v>0</v>
      </c>
      <c r="P189" s="451">
        <v>0</v>
      </c>
      <c r="Q189" s="451">
        <v>0</v>
      </c>
      <c r="R189" s="451">
        <v>21725651</v>
      </c>
      <c r="S189" s="452" t="s">
        <v>246</v>
      </c>
      <c r="T189" s="453" t="s">
        <v>802</v>
      </c>
      <c r="U189" s="454" t="s">
        <v>775</v>
      </c>
      <c r="V189" s="324"/>
      <c r="W189" s="325"/>
    </row>
    <row r="190" spans="1:23" s="197" customFormat="1" ht="12.75" x14ac:dyDescent="0.2">
      <c r="A190" s="446">
        <v>183</v>
      </c>
      <c r="B190" s="447" t="s">
        <v>249</v>
      </c>
      <c r="C190" s="448" t="s">
        <v>794</v>
      </c>
      <c r="D190" s="449" t="s">
        <v>1101</v>
      </c>
      <c r="E190" s="450" t="s">
        <v>730</v>
      </c>
      <c r="F190" s="451">
        <v>78626246</v>
      </c>
      <c r="G190" s="451">
        <v>2787908</v>
      </c>
      <c r="H190" s="451">
        <v>0</v>
      </c>
      <c r="I190" s="451">
        <v>255809</v>
      </c>
      <c r="J190" s="451">
        <v>0</v>
      </c>
      <c r="K190" s="451">
        <v>255809</v>
      </c>
      <c r="L190" s="451">
        <v>0</v>
      </c>
      <c r="M190" s="451">
        <v>0</v>
      </c>
      <c r="N190" s="451">
        <v>0</v>
      </c>
      <c r="O190" s="451">
        <v>22179</v>
      </c>
      <c r="P190" s="451">
        <v>22179</v>
      </c>
      <c r="Q190" s="451">
        <v>0</v>
      </c>
      <c r="R190" s="451">
        <v>81136166</v>
      </c>
      <c r="S190" s="452" t="s">
        <v>730</v>
      </c>
      <c r="T190" s="453" t="s">
        <v>794</v>
      </c>
      <c r="U190" s="454" t="s">
        <v>829</v>
      </c>
      <c r="V190" s="324"/>
      <c r="W190" s="325"/>
    </row>
    <row r="191" spans="1:23" s="197" customFormat="1" ht="12.75" x14ac:dyDescent="0.2">
      <c r="A191" s="446">
        <v>184</v>
      </c>
      <c r="B191" s="447" t="s">
        <v>251</v>
      </c>
      <c r="C191" s="448" t="s">
        <v>1093</v>
      </c>
      <c r="D191" s="449" t="s">
        <v>1097</v>
      </c>
      <c r="E191" s="450" t="s">
        <v>250</v>
      </c>
      <c r="F191" s="451">
        <v>23296452</v>
      </c>
      <c r="G191" s="451">
        <v>273975</v>
      </c>
      <c r="H191" s="451">
        <v>0</v>
      </c>
      <c r="I191" s="451">
        <v>230177</v>
      </c>
      <c r="J191" s="451">
        <v>0</v>
      </c>
      <c r="K191" s="451">
        <v>230177</v>
      </c>
      <c r="L191" s="451">
        <v>0</v>
      </c>
      <c r="M191" s="451">
        <v>0</v>
      </c>
      <c r="N191" s="451">
        <v>0</v>
      </c>
      <c r="O191" s="451">
        <v>18840</v>
      </c>
      <c r="P191" s="451">
        <v>18840</v>
      </c>
      <c r="Q191" s="451">
        <v>0</v>
      </c>
      <c r="R191" s="451">
        <v>23321410</v>
      </c>
      <c r="S191" s="452" t="s">
        <v>250</v>
      </c>
      <c r="T191" s="453" t="s">
        <v>806</v>
      </c>
      <c r="U191" s="454" t="s">
        <v>775</v>
      </c>
      <c r="V191" s="324"/>
      <c r="W191" s="325"/>
    </row>
    <row r="192" spans="1:23" s="197" customFormat="1" ht="12.75" x14ac:dyDescent="0.2">
      <c r="A192" s="446">
        <v>185</v>
      </c>
      <c r="B192" s="447" t="s">
        <v>253</v>
      </c>
      <c r="C192" s="448" t="s">
        <v>794</v>
      </c>
      <c r="D192" s="449" t="s">
        <v>1102</v>
      </c>
      <c r="E192" s="450" t="s">
        <v>731</v>
      </c>
      <c r="F192" s="451">
        <v>54340219</v>
      </c>
      <c r="G192" s="451">
        <v>83764</v>
      </c>
      <c r="H192" s="451">
        <v>0</v>
      </c>
      <c r="I192" s="451">
        <v>259620</v>
      </c>
      <c r="J192" s="451">
        <v>0</v>
      </c>
      <c r="K192" s="451">
        <v>259620</v>
      </c>
      <c r="L192" s="451">
        <v>0</v>
      </c>
      <c r="M192" s="451">
        <v>0</v>
      </c>
      <c r="N192" s="451">
        <v>0</v>
      </c>
      <c r="O192" s="451">
        <v>4574</v>
      </c>
      <c r="P192" s="451">
        <v>4574</v>
      </c>
      <c r="Q192" s="451">
        <v>0</v>
      </c>
      <c r="R192" s="451">
        <v>54159789</v>
      </c>
      <c r="S192" s="452" t="s">
        <v>731</v>
      </c>
      <c r="T192" s="453" t="s">
        <v>794</v>
      </c>
      <c r="U192" s="454" t="s">
        <v>795</v>
      </c>
      <c r="V192" s="324"/>
      <c r="W192" s="325"/>
    </row>
    <row r="193" spans="1:23" s="197" customFormat="1" ht="12.75" x14ac:dyDescent="0.2">
      <c r="A193" s="446">
        <v>186</v>
      </c>
      <c r="B193" s="447" t="s">
        <v>255</v>
      </c>
      <c r="C193" s="448" t="s">
        <v>1100</v>
      </c>
      <c r="D193" s="449" t="s">
        <v>1105</v>
      </c>
      <c r="E193" s="450" t="s">
        <v>254</v>
      </c>
      <c r="F193" s="451">
        <v>53412046</v>
      </c>
      <c r="G193" s="451">
        <v>0</v>
      </c>
      <c r="H193" s="451">
        <v>176929</v>
      </c>
      <c r="I193" s="451">
        <v>228416</v>
      </c>
      <c r="J193" s="451">
        <v>0</v>
      </c>
      <c r="K193" s="451">
        <v>228416</v>
      </c>
      <c r="L193" s="451">
        <v>0</v>
      </c>
      <c r="M193" s="451">
        <v>0</v>
      </c>
      <c r="N193" s="451">
        <v>0</v>
      </c>
      <c r="O193" s="451">
        <v>0</v>
      </c>
      <c r="P193" s="451">
        <v>0</v>
      </c>
      <c r="Q193" s="451">
        <v>0</v>
      </c>
      <c r="R193" s="451">
        <v>53006701</v>
      </c>
      <c r="S193" s="452" t="s">
        <v>254</v>
      </c>
      <c r="T193" s="453" t="s">
        <v>787</v>
      </c>
      <c r="U193" s="454" t="s">
        <v>832</v>
      </c>
      <c r="V193" s="324"/>
      <c r="W193" s="325"/>
    </row>
    <row r="194" spans="1:23" s="197" customFormat="1" ht="12.75" x14ac:dyDescent="0.2">
      <c r="A194" s="446">
        <v>187</v>
      </c>
      <c r="B194" s="447" t="s">
        <v>257</v>
      </c>
      <c r="C194" s="448" t="s">
        <v>1093</v>
      </c>
      <c r="D194" s="449" t="s">
        <v>1103</v>
      </c>
      <c r="E194" s="450" t="s">
        <v>256</v>
      </c>
      <c r="F194" s="451">
        <v>38486976</v>
      </c>
      <c r="G194" s="451">
        <v>0</v>
      </c>
      <c r="H194" s="451">
        <v>916150</v>
      </c>
      <c r="I194" s="451">
        <v>110454</v>
      </c>
      <c r="J194" s="451">
        <v>0</v>
      </c>
      <c r="K194" s="451">
        <v>110454</v>
      </c>
      <c r="L194" s="451">
        <v>0</v>
      </c>
      <c r="M194" s="451">
        <v>0</v>
      </c>
      <c r="N194" s="451">
        <v>0</v>
      </c>
      <c r="O194" s="451">
        <v>0</v>
      </c>
      <c r="P194" s="451">
        <v>0</v>
      </c>
      <c r="Q194" s="451">
        <v>0</v>
      </c>
      <c r="R194" s="451">
        <v>37460372</v>
      </c>
      <c r="S194" s="452" t="s">
        <v>256</v>
      </c>
      <c r="T194" s="453" t="s">
        <v>840</v>
      </c>
      <c r="U194" s="454" t="s">
        <v>775</v>
      </c>
      <c r="V194" s="324"/>
      <c r="W194" s="325"/>
    </row>
    <row r="195" spans="1:23" s="197" customFormat="1" ht="12.75" x14ac:dyDescent="0.2">
      <c r="A195" s="446">
        <v>188</v>
      </c>
      <c r="B195" s="447" t="s">
        <v>259</v>
      </c>
      <c r="C195" s="448" t="s">
        <v>1093</v>
      </c>
      <c r="D195" s="449" t="s">
        <v>1096</v>
      </c>
      <c r="E195" s="450" t="s">
        <v>258</v>
      </c>
      <c r="F195" s="451">
        <v>44683551</v>
      </c>
      <c r="G195" s="451">
        <v>138468</v>
      </c>
      <c r="H195" s="451">
        <v>0</v>
      </c>
      <c r="I195" s="451">
        <v>145672</v>
      </c>
      <c r="J195" s="451">
        <v>0</v>
      </c>
      <c r="K195" s="451">
        <v>145672</v>
      </c>
      <c r="L195" s="451">
        <v>0</v>
      </c>
      <c r="M195" s="451">
        <v>0</v>
      </c>
      <c r="N195" s="451">
        <v>0</v>
      </c>
      <c r="O195" s="451">
        <v>0</v>
      </c>
      <c r="P195" s="451">
        <v>0</v>
      </c>
      <c r="Q195" s="451">
        <v>0</v>
      </c>
      <c r="R195" s="451">
        <v>44676347</v>
      </c>
      <c r="S195" s="452" t="s">
        <v>258</v>
      </c>
      <c r="T195" s="453" t="s">
        <v>798</v>
      </c>
      <c r="U195" s="454" t="s">
        <v>799</v>
      </c>
      <c r="V195" s="324"/>
      <c r="W195" s="325"/>
    </row>
    <row r="196" spans="1:23" s="197" customFormat="1" ht="12.75" x14ac:dyDescent="0.2">
      <c r="A196" s="446">
        <v>189</v>
      </c>
      <c r="B196" s="447" t="s">
        <v>261</v>
      </c>
      <c r="C196" s="448" t="s">
        <v>1093</v>
      </c>
      <c r="D196" s="449" t="s">
        <v>1096</v>
      </c>
      <c r="E196" s="450" t="s">
        <v>260</v>
      </c>
      <c r="F196" s="451">
        <v>94435354</v>
      </c>
      <c r="G196" s="451">
        <v>0</v>
      </c>
      <c r="H196" s="451">
        <v>2871159</v>
      </c>
      <c r="I196" s="451">
        <v>301115</v>
      </c>
      <c r="J196" s="451">
        <v>0</v>
      </c>
      <c r="K196" s="451">
        <v>301115</v>
      </c>
      <c r="L196" s="451">
        <v>0</v>
      </c>
      <c r="M196" s="451">
        <v>535861</v>
      </c>
      <c r="N196" s="451">
        <v>0</v>
      </c>
      <c r="O196" s="451">
        <v>0</v>
      </c>
      <c r="P196" s="451">
        <v>0</v>
      </c>
      <c r="Q196" s="451">
        <v>0</v>
      </c>
      <c r="R196" s="451">
        <v>90727219</v>
      </c>
      <c r="S196" s="452" t="s">
        <v>260</v>
      </c>
      <c r="T196" s="453" t="s">
        <v>823</v>
      </c>
      <c r="U196" s="454" t="s">
        <v>775</v>
      </c>
      <c r="V196" s="324"/>
      <c r="W196" s="325"/>
    </row>
    <row r="197" spans="1:23" s="197" customFormat="1" ht="12.75" x14ac:dyDescent="0.2">
      <c r="A197" s="446">
        <v>190</v>
      </c>
      <c r="B197" s="447" t="s">
        <v>263</v>
      </c>
      <c r="C197" s="448" t="s">
        <v>794</v>
      </c>
      <c r="D197" s="449" t="s">
        <v>1105</v>
      </c>
      <c r="E197" s="450" t="s">
        <v>262</v>
      </c>
      <c r="F197" s="451">
        <v>68897979</v>
      </c>
      <c r="G197" s="451">
        <v>441443</v>
      </c>
      <c r="H197" s="451">
        <v>0</v>
      </c>
      <c r="I197" s="451">
        <v>474143</v>
      </c>
      <c r="J197" s="451">
        <v>0</v>
      </c>
      <c r="K197" s="451">
        <v>474143</v>
      </c>
      <c r="L197" s="451">
        <v>0</v>
      </c>
      <c r="M197" s="451">
        <v>0</v>
      </c>
      <c r="N197" s="451">
        <v>0</v>
      </c>
      <c r="O197" s="451">
        <v>390530</v>
      </c>
      <c r="P197" s="451">
        <v>390530</v>
      </c>
      <c r="Q197" s="451">
        <v>0</v>
      </c>
      <c r="R197" s="451">
        <v>68474749</v>
      </c>
      <c r="S197" s="452" t="s">
        <v>262</v>
      </c>
      <c r="T197" s="453" t="s">
        <v>794</v>
      </c>
      <c r="U197" s="454" t="s">
        <v>775</v>
      </c>
      <c r="V197" s="324"/>
      <c r="W197" s="325"/>
    </row>
    <row r="198" spans="1:23" s="197" customFormat="1" ht="12.75" x14ac:dyDescent="0.2">
      <c r="A198" s="446">
        <v>191</v>
      </c>
      <c r="B198" s="447" t="s">
        <v>265</v>
      </c>
      <c r="C198" s="448" t="s">
        <v>1093</v>
      </c>
      <c r="D198" s="449" t="s">
        <v>1097</v>
      </c>
      <c r="E198" s="450" t="s">
        <v>264</v>
      </c>
      <c r="F198" s="451">
        <v>75221829</v>
      </c>
      <c r="G198" s="451">
        <v>0</v>
      </c>
      <c r="H198" s="451">
        <v>943899</v>
      </c>
      <c r="I198" s="451">
        <v>268738</v>
      </c>
      <c r="J198" s="451">
        <v>0</v>
      </c>
      <c r="K198" s="451">
        <v>268738</v>
      </c>
      <c r="L198" s="451">
        <v>0</v>
      </c>
      <c r="M198" s="451">
        <v>0</v>
      </c>
      <c r="N198" s="451">
        <v>0</v>
      </c>
      <c r="O198" s="451">
        <v>0</v>
      </c>
      <c r="P198" s="451">
        <v>0</v>
      </c>
      <c r="Q198" s="451">
        <v>0</v>
      </c>
      <c r="R198" s="451">
        <v>74009192</v>
      </c>
      <c r="S198" s="452" t="s">
        <v>264</v>
      </c>
      <c r="T198" s="453" t="s">
        <v>806</v>
      </c>
      <c r="U198" s="454" t="s">
        <v>775</v>
      </c>
      <c r="V198" s="324"/>
      <c r="W198" s="325"/>
    </row>
    <row r="199" spans="1:23" s="197" customFormat="1" ht="12.75" x14ac:dyDescent="0.2">
      <c r="A199" s="446">
        <v>192</v>
      </c>
      <c r="B199" s="447" t="s">
        <v>267</v>
      </c>
      <c r="C199" s="448" t="s">
        <v>794</v>
      </c>
      <c r="D199" s="449" t="s">
        <v>1096</v>
      </c>
      <c r="E199" s="450" t="s">
        <v>732</v>
      </c>
      <c r="F199" s="451">
        <v>115531643</v>
      </c>
      <c r="G199" s="451">
        <v>0</v>
      </c>
      <c r="H199" s="451">
        <v>784104</v>
      </c>
      <c r="I199" s="451">
        <v>497329</v>
      </c>
      <c r="J199" s="451">
        <v>1000</v>
      </c>
      <c r="K199" s="451">
        <v>498329</v>
      </c>
      <c r="L199" s="451">
        <v>0</v>
      </c>
      <c r="M199" s="451">
        <v>0</v>
      </c>
      <c r="N199" s="451">
        <v>0</v>
      </c>
      <c r="O199" s="451">
        <v>0</v>
      </c>
      <c r="P199" s="451">
        <v>0</v>
      </c>
      <c r="Q199" s="451">
        <v>0</v>
      </c>
      <c r="R199" s="451">
        <v>114249210</v>
      </c>
      <c r="S199" s="452" t="s">
        <v>732</v>
      </c>
      <c r="T199" s="453" t="s">
        <v>794</v>
      </c>
      <c r="U199" s="454" t="s">
        <v>780</v>
      </c>
      <c r="V199" s="324"/>
      <c r="W199" s="325"/>
    </row>
    <row r="200" spans="1:23" s="197" customFormat="1" ht="12.75" x14ac:dyDescent="0.2">
      <c r="A200" s="446">
        <v>193</v>
      </c>
      <c r="B200" s="447" t="s">
        <v>269</v>
      </c>
      <c r="C200" s="448" t="s">
        <v>1093</v>
      </c>
      <c r="D200" s="449" t="s">
        <v>1103</v>
      </c>
      <c r="E200" s="450" t="s">
        <v>733</v>
      </c>
      <c r="F200" s="451">
        <v>31843769</v>
      </c>
      <c r="G200" s="451">
        <v>0</v>
      </c>
      <c r="H200" s="451">
        <v>167046</v>
      </c>
      <c r="I200" s="451">
        <v>136145</v>
      </c>
      <c r="J200" s="451">
        <v>0</v>
      </c>
      <c r="K200" s="451">
        <v>136145</v>
      </c>
      <c r="L200" s="451">
        <v>0</v>
      </c>
      <c r="M200" s="451">
        <v>0</v>
      </c>
      <c r="N200" s="451">
        <v>0</v>
      </c>
      <c r="O200" s="451">
        <v>0</v>
      </c>
      <c r="P200" s="451">
        <v>0</v>
      </c>
      <c r="Q200" s="451">
        <v>0</v>
      </c>
      <c r="R200" s="451">
        <v>31540578</v>
      </c>
      <c r="S200" s="452" t="s">
        <v>733</v>
      </c>
      <c r="T200" s="453" t="s">
        <v>840</v>
      </c>
      <c r="U200" s="454" t="s">
        <v>775</v>
      </c>
      <c r="V200" s="324"/>
      <c r="W200" s="325"/>
    </row>
    <row r="201" spans="1:23" s="197" customFormat="1" ht="12.75" x14ac:dyDescent="0.2">
      <c r="A201" s="446">
        <v>194</v>
      </c>
      <c r="B201" s="447" t="s">
        <v>271</v>
      </c>
      <c r="C201" s="448" t="s">
        <v>1093</v>
      </c>
      <c r="D201" s="449" t="s">
        <v>1096</v>
      </c>
      <c r="E201" s="450" t="s">
        <v>734</v>
      </c>
      <c r="F201" s="451">
        <v>10970838</v>
      </c>
      <c r="G201" s="451">
        <v>3795</v>
      </c>
      <c r="H201" s="451">
        <v>0</v>
      </c>
      <c r="I201" s="451">
        <v>56189</v>
      </c>
      <c r="J201" s="451">
        <v>0</v>
      </c>
      <c r="K201" s="451">
        <v>56189</v>
      </c>
      <c r="L201" s="451">
        <v>0</v>
      </c>
      <c r="M201" s="451">
        <v>0</v>
      </c>
      <c r="N201" s="451">
        <v>0</v>
      </c>
      <c r="O201" s="451">
        <v>0</v>
      </c>
      <c r="P201" s="451">
        <v>0</v>
      </c>
      <c r="Q201" s="451">
        <v>0</v>
      </c>
      <c r="R201" s="451">
        <v>10918444</v>
      </c>
      <c r="S201" s="452" t="s">
        <v>734</v>
      </c>
      <c r="T201" s="453" t="s">
        <v>798</v>
      </c>
      <c r="U201" s="454" t="s">
        <v>799</v>
      </c>
      <c r="V201" s="324"/>
      <c r="W201" s="325"/>
    </row>
    <row r="202" spans="1:23" s="197" customFormat="1" ht="12.75" x14ac:dyDescent="0.2">
      <c r="A202" s="446">
        <v>195</v>
      </c>
      <c r="B202" s="447" t="s">
        <v>273</v>
      </c>
      <c r="C202" s="448" t="s">
        <v>1100</v>
      </c>
      <c r="D202" s="449" t="s">
        <v>1095</v>
      </c>
      <c r="E202" s="450" t="s">
        <v>272</v>
      </c>
      <c r="F202" s="451">
        <v>52568510</v>
      </c>
      <c r="G202" s="451">
        <v>0</v>
      </c>
      <c r="H202" s="451">
        <v>356936</v>
      </c>
      <c r="I202" s="451">
        <v>309623</v>
      </c>
      <c r="J202" s="451">
        <v>0</v>
      </c>
      <c r="K202" s="451">
        <v>309623</v>
      </c>
      <c r="L202" s="451">
        <v>0</v>
      </c>
      <c r="M202" s="451">
        <v>0</v>
      </c>
      <c r="N202" s="451">
        <v>0</v>
      </c>
      <c r="O202" s="451">
        <v>0</v>
      </c>
      <c r="P202" s="451">
        <v>0</v>
      </c>
      <c r="Q202" s="451">
        <v>0</v>
      </c>
      <c r="R202" s="451">
        <v>51901951</v>
      </c>
      <c r="S202" s="452" t="s">
        <v>272</v>
      </c>
      <c r="T202" s="453" t="s">
        <v>787</v>
      </c>
      <c r="U202" s="454" t="s">
        <v>801</v>
      </c>
      <c r="V202" s="324"/>
      <c r="W202" s="325"/>
    </row>
    <row r="203" spans="1:23" s="197" customFormat="1" ht="12.75" x14ac:dyDescent="0.2">
      <c r="A203" s="446">
        <v>196</v>
      </c>
      <c r="B203" s="447" t="s">
        <v>275</v>
      </c>
      <c r="C203" s="448" t="s">
        <v>1093</v>
      </c>
      <c r="D203" s="449" t="s">
        <v>1094</v>
      </c>
      <c r="E203" s="450" t="s">
        <v>274</v>
      </c>
      <c r="F203" s="451">
        <v>79792236</v>
      </c>
      <c r="G203" s="451">
        <v>0</v>
      </c>
      <c r="H203" s="451">
        <v>313709</v>
      </c>
      <c r="I203" s="451">
        <v>220001</v>
      </c>
      <c r="J203" s="451">
        <v>0</v>
      </c>
      <c r="K203" s="451">
        <v>220001</v>
      </c>
      <c r="L203" s="451">
        <v>0</v>
      </c>
      <c r="M203" s="451">
        <v>0</v>
      </c>
      <c r="N203" s="451">
        <v>0</v>
      </c>
      <c r="O203" s="451">
        <v>0</v>
      </c>
      <c r="P203" s="451">
        <v>0</v>
      </c>
      <c r="Q203" s="451">
        <v>0</v>
      </c>
      <c r="R203" s="451">
        <v>79258526</v>
      </c>
      <c r="S203" s="452" t="s">
        <v>274</v>
      </c>
      <c r="T203" s="453" t="s">
        <v>819</v>
      </c>
      <c r="U203" s="454" t="s">
        <v>775</v>
      </c>
      <c r="V203" s="324"/>
      <c r="W203" s="325"/>
    </row>
    <row r="204" spans="1:23" s="197" customFormat="1" ht="12.75" x14ac:dyDescent="0.2">
      <c r="A204" s="446">
        <v>197</v>
      </c>
      <c r="B204" s="447" t="s">
        <v>277</v>
      </c>
      <c r="C204" s="448" t="s">
        <v>1093</v>
      </c>
      <c r="D204" s="449" t="s">
        <v>1095</v>
      </c>
      <c r="E204" s="450" t="s">
        <v>276</v>
      </c>
      <c r="F204" s="451">
        <v>17083450</v>
      </c>
      <c r="G204" s="451">
        <v>65103</v>
      </c>
      <c r="H204" s="451">
        <v>0</v>
      </c>
      <c r="I204" s="451">
        <v>137523</v>
      </c>
      <c r="J204" s="451">
        <v>0</v>
      </c>
      <c r="K204" s="451">
        <v>137523</v>
      </c>
      <c r="L204" s="451">
        <v>0</v>
      </c>
      <c r="M204" s="451">
        <v>0</v>
      </c>
      <c r="N204" s="451">
        <v>0</v>
      </c>
      <c r="O204" s="451">
        <v>0</v>
      </c>
      <c r="P204" s="451">
        <v>0</v>
      </c>
      <c r="Q204" s="451">
        <v>0</v>
      </c>
      <c r="R204" s="451">
        <v>17011030</v>
      </c>
      <c r="S204" s="452" t="s">
        <v>276</v>
      </c>
      <c r="T204" s="453" t="s">
        <v>813</v>
      </c>
      <c r="U204" s="454" t="s">
        <v>800</v>
      </c>
      <c r="V204" s="324"/>
      <c r="W204" s="325"/>
    </row>
    <row r="205" spans="1:23" s="197" customFormat="1" ht="12.75" x14ac:dyDescent="0.2">
      <c r="A205" s="446">
        <v>198</v>
      </c>
      <c r="B205" s="447" t="s">
        <v>279</v>
      </c>
      <c r="C205" s="448" t="s">
        <v>794</v>
      </c>
      <c r="D205" s="449" t="s">
        <v>1097</v>
      </c>
      <c r="E205" s="450" t="s">
        <v>735</v>
      </c>
      <c r="F205" s="451">
        <v>82717672</v>
      </c>
      <c r="G205" s="451">
        <v>1163119</v>
      </c>
      <c r="H205" s="451">
        <v>0</v>
      </c>
      <c r="I205" s="451">
        <v>275537</v>
      </c>
      <c r="J205" s="451">
        <v>0</v>
      </c>
      <c r="K205" s="451">
        <v>275537</v>
      </c>
      <c r="L205" s="451">
        <v>0</v>
      </c>
      <c r="M205" s="451">
        <v>0</v>
      </c>
      <c r="N205" s="451">
        <v>0</v>
      </c>
      <c r="O205" s="451">
        <v>0</v>
      </c>
      <c r="P205" s="451">
        <v>0</v>
      </c>
      <c r="Q205" s="451">
        <v>0</v>
      </c>
      <c r="R205" s="451">
        <v>83605254</v>
      </c>
      <c r="S205" s="452" t="s">
        <v>735</v>
      </c>
      <c r="T205" s="453" t="s">
        <v>794</v>
      </c>
      <c r="U205" s="454" t="s">
        <v>815</v>
      </c>
      <c r="V205" s="324" t="s">
        <v>1120</v>
      </c>
      <c r="W205" s="325"/>
    </row>
    <row r="206" spans="1:23" s="197" customFormat="1" ht="12.75" x14ac:dyDescent="0.2">
      <c r="A206" s="446">
        <v>199</v>
      </c>
      <c r="B206" s="447" t="s">
        <v>281</v>
      </c>
      <c r="C206" s="448" t="s">
        <v>794</v>
      </c>
      <c r="D206" s="449" t="s">
        <v>1102</v>
      </c>
      <c r="E206" s="450" t="s">
        <v>736</v>
      </c>
      <c r="F206" s="451">
        <v>86343753</v>
      </c>
      <c r="G206" s="451">
        <v>0</v>
      </c>
      <c r="H206" s="451">
        <v>622892</v>
      </c>
      <c r="I206" s="451">
        <v>310279</v>
      </c>
      <c r="J206" s="451">
        <v>0</v>
      </c>
      <c r="K206" s="451">
        <v>310279</v>
      </c>
      <c r="L206" s="451">
        <v>0</v>
      </c>
      <c r="M206" s="451">
        <v>0</v>
      </c>
      <c r="N206" s="451">
        <v>0</v>
      </c>
      <c r="O206" s="451">
        <v>0</v>
      </c>
      <c r="P206" s="451">
        <v>0</v>
      </c>
      <c r="Q206" s="451">
        <v>0</v>
      </c>
      <c r="R206" s="451">
        <v>85410582</v>
      </c>
      <c r="S206" s="452" t="s">
        <v>736</v>
      </c>
      <c r="T206" s="453" t="s">
        <v>794</v>
      </c>
      <c r="U206" s="454" t="s">
        <v>828</v>
      </c>
      <c r="V206" s="324"/>
      <c r="W206" s="325"/>
    </row>
    <row r="207" spans="1:23" s="197" customFormat="1" ht="12.75" x14ac:dyDescent="0.2">
      <c r="A207" s="446">
        <v>200</v>
      </c>
      <c r="B207" s="447" t="s">
        <v>283</v>
      </c>
      <c r="C207" s="448" t="s">
        <v>794</v>
      </c>
      <c r="D207" s="449" t="s">
        <v>1102</v>
      </c>
      <c r="E207" s="450" t="s">
        <v>737</v>
      </c>
      <c r="F207" s="451">
        <v>57616436</v>
      </c>
      <c r="G207" s="451">
        <v>0</v>
      </c>
      <c r="H207" s="451">
        <v>612037</v>
      </c>
      <c r="I207" s="451">
        <v>239641</v>
      </c>
      <c r="J207" s="451">
        <v>0</v>
      </c>
      <c r="K207" s="451">
        <v>239641</v>
      </c>
      <c r="L207" s="451">
        <v>0</v>
      </c>
      <c r="M207" s="451">
        <v>0</v>
      </c>
      <c r="N207" s="451">
        <v>0</v>
      </c>
      <c r="O207" s="451">
        <v>0</v>
      </c>
      <c r="P207" s="451">
        <v>0</v>
      </c>
      <c r="Q207" s="451">
        <v>0</v>
      </c>
      <c r="R207" s="451">
        <v>56764758</v>
      </c>
      <c r="S207" s="452" t="s">
        <v>737</v>
      </c>
      <c r="T207" s="453" t="s">
        <v>794</v>
      </c>
      <c r="U207" s="454" t="s">
        <v>803</v>
      </c>
      <c r="V207" s="324"/>
      <c r="W207" s="325"/>
    </row>
    <row r="208" spans="1:23" s="197" customFormat="1" ht="12.75" x14ac:dyDescent="0.2">
      <c r="A208" s="446">
        <v>201</v>
      </c>
      <c r="B208" s="447" t="s">
        <v>285</v>
      </c>
      <c r="C208" s="448" t="s">
        <v>794</v>
      </c>
      <c r="D208" s="449" t="s">
        <v>1094</v>
      </c>
      <c r="E208" s="450" t="s">
        <v>738</v>
      </c>
      <c r="F208" s="451">
        <v>66304543</v>
      </c>
      <c r="G208" s="451">
        <v>0</v>
      </c>
      <c r="H208" s="451">
        <v>2514444</v>
      </c>
      <c r="I208" s="451">
        <v>280689</v>
      </c>
      <c r="J208" s="451">
        <v>0</v>
      </c>
      <c r="K208" s="451">
        <v>280689</v>
      </c>
      <c r="L208" s="451">
        <v>0</v>
      </c>
      <c r="M208" s="451">
        <v>0</v>
      </c>
      <c r="N208" s="451">
        <v>0</v>
      </c>
      <c r="O208" s="451">
        <v>0</v>
      </c>
      <c r="P208" s="451">
        <v>0</v>
      </c>
      <c r="Q208" s="451">
        <v>0</v>
      </c>
      <c r="R208" s="451">
        <v>63509410</v>
      </c>
      <c r="S208" s="452" t="s">
        <v>738</v>
      </c>
      <c r="T208" s="453" t="s">
        <v>794</v>
      </c>
      <c r="U208" s="454" t="s">
        <v>792</v>
      </c>
      <c r="V208" s="324"/>
      <c r="W208" s="325"/>
    </row>
    <row r="209" spans="1:23" s="197" customFormat="1" ht="12.75" x14ac:dyDescent="0.2">
      <c r="A209" s="446">
        <v>202</v>
      </c>
      <c r="B209" s="447" t="s">
        <v>287</v>
      </c>
      <c r="C209" s="448" t="s">
        <v>1093</v>
      </c>
      <c r="D209" s="449" t="s">
        <v>1095</v>
      </c>
      <c r="E209" s="450" t="s">
        <v>286</v>
      </c>
      <c r="F209" s="451">
        <v>59986344</v>
      </c>
      <c r="G209" s="451">
        <v>0</v>
      </c>
      <c r="H209" s="451">
        <v>453135</v>
      </c>
      <c r="I209" s="451">
        <v>239401</v>
      </c>
      <c r="J209" s="451">
        <v>0</v>
      </c>
      <c r="K209" s="451">
        <v>239401</v>
      </c>
      <c r="L209" s="451">
        <v>0</v>
      </c>
      <c r="M209" s="451">
        <v>0</v>
      </c>
      <c r="N209" s="451">
        <v>0</v>
      </c>
      <c r="O209" s="451">
        <v>0</v>
      </c>
      <c r="P209" s="451">
        <v>0</v>
      </c>
      <c r="Q209" s="451">
        <v>0</v>
      </c>
      <c r="R209" s="451">
        <v>59293808</v>
      </c>
      <c r="S209" s="452" t="s">
        <v>286</v>
      </c>
      <c r="T209" s="453" t="s">
        <v>813</v>
      </c>
      <c r="U209" s="454" t="s">
        <v>800</v>
      </c>
      <c r="V209" s="324"/>
      <c r="W209" s="325"/>
    </row>
    <row r="210" spans="1:23" s="197" customFormat="1" ht="12.75" x14ac:dyDescent="0.2">
      <c r="A210" s="446">
        <v>203</v>
      </c>
      <c r="B210" s="447" t="s">
        <v>289</v>
      </c>
      <c r="C210" s="448" t="s">
        <v>1093</v>
      </c>
      <c r="D210" s="449" t="s">
        <v>1102</v>
      </c>
      <c r="E210" s="450" t="s">
        <v>288</v>
      </c>
      <c r="F210" s="451">
        <v>17225721</v>
      </c>
      <c r="G210" s="451">
        <v>145531</v>
      </c>
      <c r="H210" s="451">
        <v>0</v>
      </c>
      <c r="I210" s="451">
        <v>93946</v>
      </c>
      <c r="J210" s="451">
        <v>0</v>
      </c>
      <c r="K210" s="451">
        <v>93946</v>
      </c>
      <c r="L210" s="451">
        <v>0</v>
      </c>
      <c r="M210" s="451">
        <v>0</v>
      </c>
      <c r="N210" s="451">
        <v>0</v>
      </c>
      <c r="O210" s="451">
        <v>0</v>
      </c>
      <c r="P210" s="451">
        <v>0</v>
      </c>
      <c r="Q210" s="451">
        <v>0</v>
      </c>
      <c r="R210" s="451">
        <v>17277306</v>
      </c>
      <c r="S210" s="452" t="s">
        <v>288</v>
      </c>
      <c r="T210" s="453" t="s">
        <v>821</v>
      </c>
      <c r="U210" s="454" t="s">
        <v>803</v>
      </c>
      <c r="V210" s="324"/>
      <c r="W210" s="325"/>
    </row>
    <row r="211" spans="1:23" s="197" customFormat="1" ht="12.75" x14ac:dyDescent="0.2">
      <c r="A211" s="446">
        <v>204</v>
      </c>
      <c r="B211" s="447" t="s">
        <v>291</v>
      </c>
      <c r="C211" s="448" t="s">
        <v>794</v>
      </c>
      <c r="D211" s="449" t="s">
        <v>1094</v>
      </c>
      <c r="E211" s="450" t="s">
        <v>739</v>
      </c>
      <c r="F211" s="451">
        <v>89196654</v>
      </c>
      <c r="G211" s="451">
        <v>346195</v>
      </c>
      <c r="H211" s="451">
        <v>0</v>
      </c>
      <c r="I211" s="451">
        <v>269167</v>
      </c>
      <c r="J211" s="451">
        <v>0</v>
      </c>
      <c r="K211" s="451">
        <v>269167</v>
      </c>
      <c r="L211" s="451">
        <v>0</v>
      </c>
      <c r="M211" s="451">
        <v>0</v>
      </c>
      <c r="N211" s="451">
        <v>0</v>
      </c>
      <c r="O211" s="451">
        <v>0</v>
      </c>
      <c r="P211" s="451">
        <v>0</v>
      </c>
      <c r="Q211" s="451">
        <v>0</v>
      </c>
      <c r="R211" s="451">
        <v>89273682</v>
      </c>
      <c r="S211" s="452" t="s">
        <v>739</v>
      </c>
      <c r="T211" s="453" t="s">
        <v>794</v>
      </c>
      <c r="U211" s="454" t="s">
        <v>804</v>
      </c>
      <c r="V211" s="324"/>
      <c r="W211" s="325"/>
    </row>
    <row r="212" spans="1:23" s="197" customFormat="1" ht="12.75" x14ac:dyDescent="0.2">
      <c r="A212" s="446">
        <v>205</v>
      </c>
      <c r="B212" s="447" t="s">
        <v>293</v>
      </c>
      <c r="C212" s="448" t="s">
        <v>1098</v>
      </c>
      <c r="D212" s="449" t="s">
        <v>1099</v>
      </c>
      <c r="E212" s="450" t="s">
        <v>292</v>
      </c>
      <c r="F212" s="451">
        <v>51013251</v>
      </c>
      <c r="G212" s="451">
        <v>161769</v>
      </c>
      <c r="H212" s="451">
        <v>0</v>
      </c>
      <c r="I212" s="451">
        <v>278679</v>
      </c>
      <c r="J212" s="451">
        <v>0</v>
      </c>
      <c r="K212" s="451">
        <v>278679</v>
      </c>
      <c r="L212" s="451">
        <v>0</v>
      </c>
      <c r="M212" s="451">
        <v>0</v>
      </c>
      <c r="N212" s="451">
        <v>0</v>
      </c>
      <c r="O212" s="451">
        <v>0</v>
      </c>
      <c r="P212" s="451">
        <v>0</v>
      </c>
      <c r="Q212" s="451">
        <v>0</v>
      </c>
      <c r="R212" s="451">
        <v>50896341</v>
      </c>
      <c r="S212" s="452" t="s">
        <v>292</v>
      </c>
      <c r="T212" s="453" t="s">
        <v>786</v>
      </c>
      <c r="U212" s="453" t="s">
        <v>774</v>
      </c>
      <c r="V212" s="324"/>
      <c r="W212" s="325"/>
    </row>
    <row r="213" spans="1:23" s="197" customFormat="1" ht="12.75" x14ac:dyDescent="0.2">
      <c r="A213" s="446">
        <v>206</v>
      </c>
      <c r="B213" s="447" t="s">
        <v>295</v>
      </c>
      <c r="C213" s="448" t="s">
        <v>794</v>
      </c>
      <c r="D213" s="449" t="s">
        <v>1105</v>
      </c>
      <c r="E213" s="450" t="s">
        <v>740</v>
      </c>
      <c r="F213" s="451">
        <v>46508814</v>
      </c>
      <c r="G213" s="451">
        <v>528467</v>
      </c>
      <c r="H213" s="451">
        <v>0</v>
      </c>
      <c r="I213" s="451">
        <v>171732</v>
      </c>
      <c r="J213" s="451">
        <v>0</v>
      </c>
      <c r="K213" s="451">
        <v>171732</v>
      </c>
      <c r="L213" s="451">
        <v>0</v>
      </c>
      <c r="M213" s="451">
        <v>11720</v>
      </c>
      <c r="N213" s="451">
        <v>0</v>
      </c>
      <c r="O213" s="451">
        <v>0</v>
      </c>
      <c r="P213" s="451">
        <v>0</v>
      </c>
      <c r="Q213" s="451">
        <v>0</v>
      </c>
      <c r="R213" s="451">
        <v>46853829</v>
      </c>
      <c r="S213" s="452" t="s">
        <v>740</v>
      </c>
      <c r="T213" s="453" t="s">
        <v>794</v>
      </c>
      <c r="U213" s="454" t="s">
        <v>833</v>
      </c>
      <c r="V213" s="324"/>
      <c r="W213" s="325"/>
    </row>
    <row r="214" spans="1:23" s="197" customFormat="1" ht="12.75" x14ac:dyDescent="0.2">
      <c r="A214" s="446">
        <v>207</v>
      </c>
      <c r="B214" s="447" t="s">
        <v>297</v>
      </c>
      <c r="C214" s="448" t="s">
        <v>1093</v>
      </c>
      <c r="D214" s="449" t="s">
        <v>1103</v>
      </c>
      <c r="E214" s="450" t="s">
        <v>296</v>
      </c>
      <c r="F214" s="451">
        <v>32919135</v>
      </c>
      <c r="G214" s="451">
        <v>0</v>
      </c>
      <c r="H214" s="451">
        <v>318238</v>
      </c>
      <c r="I214" s="451">
        <v>111657</v>
      </c>
      <c r="J214" s="451">
        <v>0</v>
      </c>
      <c r="K214" s="451">
        <v>111657</v>
      </c>
      <c r="L214" s="451">
        <v>0</v>
      </c>
      <c r="M214" s="451">
        <v>0</v>
      </c>
      <c r="N214" s="451">
        <v>0</v>
      </c>
      <c r="O214" s="451">
        <v>0</v>
      </c>
      <c r="P214" s="451">
        <v>0</v>
      </c>
      <c r="Q214" s="451">
        <v>0</v>
      </c>
      <c r="R214" s="451">
        <v>32489240</v>
      </c>
      <c r="S214" s="452" t="s">
        <v>296</v>
      </c>
      <c r="T214" s="453" t="s">
        <v>810</v>
      </c>
      <c r="U214" s="454" t="s">
        <v>811</v>
      </c>
      <c r="V214" s="324"/>
      <c r="W214" s="325"/>
    </row>
    <row r="215" spans="1:23" s="197" customFormat="1" ht="12.75" x14ac:dyDescent="0.2">
      <c r="A215" s="446">
        <v>208</v>
      </c>
      <c r="B215" s="447" t="s">
        <v>299</v>
      </c>
      <c r="C215" s="448" t="s">
        <v>1093</v>
      </c>
      <c r="D215" s="449" t="s">
        <v>1094</v>
      </c>
      <c r="E215" s="450" t="s">
        <v>741</v>
      </c>
      <c r="F215" s="451">
        <v>47631530</v>
      </c>
      <c r="G215" s="451">
        <v>0</v>
      </c>
      <c r="H215" s="451">
        <v>64141</v>
      </c>
      <c r="I215" s="451">
        <v>177701</v>
      </c>
      <c r="J215" s="451">
        <v>0</v>
      </c>
      <c r="K215" s="451">
        <v>177701</v>
      </c>
      <c r="L215" s="451">
        <v>0</v>
      </c>
      <c r="M215" s="451">
        <v>0</v>
      </c>
      <c r="N215" s="451">
        <v>0</v>
      </c>
      <c r="O215" s="451">
        <v>0</v>
      </c>
      <c r="P215" s="451">
        <v>0</v>
      </c>
      <c r="Q215" s="451">
        <v>0</v>
      </c>
      <c r="R215" s="451">
        <v>47389688</v>
      </c>
      <c r="S215" s="452" t="s">
        <v>741</v>
      </c>
      <c r="T215" s="453" t="s">
        <v>831</v>
      </c>
      <c r="U215" s="454" t="s">
        <v>775</v>
      </c>
      <c r="V215" s="324"/>
      <c r="W215" s="325"/>
    </row>
    <row r="216" spans="1:23" s="197" customFormat="1" ht="12.75" x14ac:dyDescent="0.2">
      <c r="A216" s="446">
        <v>209</v>
      </c>
      <c r="B216" s="447" t="s">
        <v>301</v>
      </c>
      <c r="C216" s="448" t="s">
        <v>1093</v>
      </c>
      <c r="D216" s="449" t="s">
        <v>1095</v>
      </c>
      <c r="E216" s="450" t="s">
        <v>300</v>
      </c>
      <c r="F216" s="451">
        <v>13511023</v>
      </c>
      <c r="G216" s="451">
        <v>0</v>
      </c>
      <c r="H216" s="451">
        <v>12207</v>
      </c>
      <c r="I216" s="451">
        <v>85946</v>
      </c>
      <c r="J216" s="451">
        <v>0</v>
      </c>
      <c r="K216" s="451">
        <v>85946</v>
      </c>
      <c r="L216" s="451">
        <v>0</v>
      </c>
      <c r="M216" s="451">
        <v>2997</v>
      </c>
      <c r="N216" s="451">
        <v>0</v>
      </c>
      <c r="O216" s="451">
        <v>0</v>
      </c>
      <c r="P216" s="451">
        <v>0</v>
      </c>
      <c r="Q216" s="451">
        <v>0</v>
      </c>
      <c r="R216" s="451">
        <v>13409873</v>
      </c>
      <c r="S216" s="452" t="s">
        <v>300</v>
      </c>
      <c r="T216" s="453" t="s">
        <v>813</v>
      </c>
      <c r="U216" s="454" t="s">
        <v>800</v>
      </c>
      <c r="V216" s="324"/>
      <c r="W216" s="325"/>
    </row>
    <row r="217" spans="1:23" s="197" customFormat="1" ht="12.75" x14ac:dyDescent="0.2">
      <c r="A217" s="446">
        <v>210</v>
      </c>
      <c r="B217" s="447" t="s">
        <v>303</v>
      </c>
      <c r="C217" s="448" t="s">
        <v>1098</v>
      </c>
      <c r="D217" s="449" t="s">
        <v>1099</v>
      </c>
      <c r="E217" s="450" t="s">
        <v>302</v>
      </c>
      <c r="F217" s="451">
        <v>76899714</v>
      </c>
      <c r="G217" s="451">
        <v>13655</v>
      </c>
      <c r="H217" s="451">
        <v>0</v>
      </c>
      <c r="I217" s="451">
        <v>304564</v>
      </c>
      <c r="J217" s="451">
        <v>0</v>
      </c>
      <c r="K217" s="451">
        <v>304564</v>
      </c>
      <c r="L217" s="451">
        <v>0</v>
      </c>
      <c r="M217" s="451">
        <v>0</v>
      </c>
      <c r="N217" s="451">
        <v>0</v>
      </c>
      <c r="O217" s="451">
        <v>0</v>
      </c>
      <c r="P217" s="451">
        <v>0</v>
      </c>
      <c r="Q217" s="451">
        <v>0</v>
      </c>
      <c r="R217" s="451">
        <v>76608805</v>
      </c>
      <c r="S217" s="455" t="s">
        <v>841</v>
      </c>
      <c r="T217" s="453" t="s">
        <v>786</v>
      </c>
      <c r="U217" s="453" t="s">
        <v>774</v>
      </c>
      <c r="V217" s="324"/>
      <c r="W217" s="325"/>
    </row>
    <row r="218" spans="1:23" s="197" customFormat="1" ht="12.75" x14ac:dyDescent="0.2">
      <c r="A218" s="446">
        <v>211</v>
      </c>
      <c r="B218" s="447" t="s">
        <v>305</v>
      </c>
      <c r="C218" s="448" t="s">
        <v>1093</v>
      </c>
      <c r="D218" s="449" t="s">
        <v>1101</v>
      </c>
      <c r="E218" s="450" t="s">
        <v>304</v>
      </c>
      <c r="F218" s="451">
        <v>11465922</v>
      </c>
      <c r="G218" s="451">
        <v>0</v>
      </c>
      <c r="H218" s="451">
        <v>62950</v>
      </c>
      <c r="I218" s="451">
        <v>96435</v>
      </c>
      <c r="J218" s="451">
        <v>0</v>
      </c>
      <c r="K218" s="451">
        <v>96435</v>
      </c>
      <c r="L218" s="451">
        <v>0</v>
      </c>
      <c r="M218" s="451">
        <v>0</v>
      </c>
      <c r="N218" s="451">
        <v>0</v>
      </c>
      <c r="O218" s="451">
        <v>0</v>
      </c>
      <c r="P218" s="451">
        <v>0</v>
      </c>
      <c r="Q218" s="451">
        <v>0</v>
      </c>
      <c r="R218" s="451">
        <v>11306537</v>
      </c>
      <c r="S218" s="452" t="s">
        <v>304</v>
      </c>
      <c r="T218" s="453" t="s">
        <v>824</v>
      </c>
      <c r="U218" s="454" t="s">
        <v>825</v>
      </c>
      <c r="V218" s="324"/>
      <c r="W218" s="325"/>
    </row>
    <row r="219" spans="1:23" s="197" customFormat="1" ht="12.75" x14ac:dyDescent="0.2">
      <c r="A219" s="446">
        <v>212</v>
      </c>
      <c r="B219" s="447" t="s">
        <v>307</v>
      </c>
      <c r="C219" s="448" t="s">
        <v>1100</v>
      </c>
      <c r="D219" s="449" t="s">
        <v>1095</v>
      </c>
      <c r="E219" s="450" t="s">
        <v>306</v>
      </c>
      <c r="F219" s="451">
        <v>58681429</v>
      </c>
      <c r="G219" s="451">
        <v>0</v>
      </c>
      <c r="H219" s="451">
        <v>897851</v>
      </c>
      <c r="I219" s="451">
        <v>285612</v>
      </c>
      <c r="J219" s="451">
        <v>0</v>
      </c>
      <c r="K219" s="451">
        <v>285612</v>
      </c>
      <c r="L219" s="451">
        <v>0</v>
      </c>
      <c r="M219" s="451">
        <v>0</v>
      </c>
      <c r="N219" s="451">
        <v>0</v>
      </c>
      <c r="O219" s="451">
        <v>0</v>
      </c>
      <c r="P219" s="451">
        <v>0</v>
      </c>
      <c r="Q219" s="451">
        <v>0</v>
      </c>
      <c r="R219" s="451">
        <v>57497966</v>
      </c>
      <c r="S219" s="452" t="s">
        <v>306</v>
      </c>
      <c r="T219" s="453" t="s">
        <v>787</v>
      </c>
      <c r="U219" s="454" t="s">
        <v>801</v>
      </c>
      <c r="V219" s="324"/>
      <c r="W219" s="325"/>
    </row>
    <row r="220" spans="1:23" s="197" customFormat="1" ht="12.75" x14ac:dyDescent="0.2">
      <c r="A220" s="446">
        <v>213</v>
      </c>
      <c r="B220" s="447" t="s">
        <v>309</v>
      </c>
      <c r="C220" s="448" t="s">
        <v>1093</v>
      </c>
      <c r="D220" s="449" t="s">
        <v>1097</v>
      </c>
      <c r="E220" s="450" t="s">
        <v>308</v>
      </c>
      <c r="F220" s="451">
        <v>15354126</v>
      </c>
      <c r="G220" s="451">
        <v>0</v>
      </c>
      <c r="H220" s="451">
        <v>64513</v>
      </c>
      <c r="I220" s="451">
        <v>85320</v>
      </c>
      <c r="J220" s="451">
        <v>0</v>
      </c>
      <c r="K220" s="451">
        <v>85320</v>
      </c>
      <c r="L220" s="451">
        <v>0</v>
      </c>
      <c r="M220" s="451">
        <v>0</v>
      </c>
      <c r="N220" s="451">
        <v>0</v>
      </c>
      <c r="O220" s="451">
        <v>0</v>
      </c>
      <c r="P220" s="451">
        <v>0</v>
      </c>
      <c r="Q220" s="451">
        <v>0</v>
      </c>
      <c r="R220" s="451">
        <v>15204293</v>
      </c>
      <c r="S220" s="452" t="s">
        <v>308</v>
      </c>
      <c r="T220" s="453" t="s">
        <v>789</v>
      </c>
      <c r="U220" s="454" t="s">
        <v>790</v>
      </c>
      <c r="V220" s="324"/>
      <c r="W220" s="325"/>
    </row>
    <row r="221" spans="1:23" s="197" customFormat="1" ht="12.75" x14ac:dyDescent="0.2">
      <c r="A221" s="446">
        <v>214</v>
      </c>
      <c r="B221" s="447" t="s">
        <v>311</v>
      </c>
      <c r="C221" s="448" t="s">
        <v>1093</v>
      </c>
      <c r="D221" s="449" t="s">
        <v>1095</v>
      </c>
      <c r="E221" s="450" t="s">
        <v>310</v>
      </c>
      <c r="F221" s="451">
        <v>12224767</v>
      </c>
      <c r="G221" s="451">
        <v>665</v>
      </c>
      <c r="H221" s="451">
        <v>0</v>
      </c>
      <c r="I221" s="451">
        <v>101007</v>
      </c>
      <c r="J221" s="451">
        <v>0</v>
      </c>
      <c r="K221" s="451">
        <v>101007</v>
      </c>
      <c r="L221" s="451">
        <v>0</v>
      </c>
      <c r="M221" s="451">
        <v>0</v>
      </c>
      <c r="N221" s="451">
        <v>0</v>
      </c>
      <c r="O221" s="451">
        <v>0</v>
      </c>
      <c r="P221" s="451">
        <v>0</v>
      </c>
      <c r="Q221" s="451">
        <v>0</v>
      </c>
      <c r="R221" s="451">
        <v>12124425</v>
      </c>
      <c r="S221" s="452" t="s">
        <v>310</v>
      </c>
      <c r="T221" s="453" t="s">
        <v>813</v>
      </c>
      <c r="U221" s="454" t="s">
        <v>800</v>
      </c>
      <c r="V221" s="324"/>
      <c r="W221" s="325"/>
    </row>
    <row r="222" spans="1:23" s="197" customFormat="1" ht="12.75" x14ac:dyDescent="0.2">
      <c r="A222" s="446">
        <v>215</v>
      </c>
      <c r="B222" s="447" t="s">
        <v>313</v>
      </c>
      <c r="C222" s="448" t="s">
        <v>1093</v>
      </c>
      <c r="D222" s="449" t="s">
        <v>1094</v>
      </c>
      <c r="E222" s="450" t="s">
        <v>312</v>
      </c>
      <c r="F222" s="451">
        <v>15325269</v>
      </c>
      <c r="G222" s="451">
        <v>17555</v>
      </c>
      <c r="H222" s="451">
        <v>0</v>
      </c>
      <c r="I222" s="451">
        <v>136326</v>
      </c>
      <c r="J222" s="451">
        <v>0</v>
      </c>
      <c r="K222" s="451">
        <v>136326</v>
      </c>
      <c r="L222" s="451">
        <v>0</v>
      </c>
      <c r="M222" s="451">
        <v>0</v>
      </c>
      <c r="N222" s="451">
        <v>0</v>
      </c>
      <c r="O222" s="451">
        <v>0</v>
      </c>
      <c r="P222" s="451">
        <v>0</v>
      </c>
      <c r="Q222" s="451">
        <v>0</v>
      </c>
      <c r="R222" s="451">
        <v>15206498</v>
      </c>
      <c r="S222" s="452" t="s">
        <v>312</v>
      </c>
      <c r="T222" s="453" t="s">
        <v>830</v>
      </c>
      <c r="U222" s="454" t="s">
        <v>808</v>
      </c>
      <c r="V222" s="324"/>
      <c r="W222" s="325"/>
    </row>
    <row r="223" spans="1:23" s="197" customFormat="1" ht="12.75" x14ac:dyDescent="0.2">
      <c r="A223" s="446">
        <v>216</v>
      </c>
      <c r="B223" s="447" t="s">
        <v>315</v>
      </c>
      <c r="C223" s="448" t="s">
        <v>1100</v>
      </c>
      <c r="D223" s="449" t="s">
        <v>1101</v>
      </c>
      <c r="E223" s="450" t="s">
        <v>314</v>
      </c>
      <c r="F223" s="451">
        <v>65457055</v>
      </c>
      <c r="G223" s="451">
        <v>0</v>
      </c>
      <c r="H223" s="451">
        <v>671977</v>
      </c>
      <c r="I223" s="451">
        <v>310277</v>
      </c>
      <c r="J223" s="451">
        <v>0</v>
      </c>
      <c r="K223" s="451">
        <v>310277</v>
      </c>
      <c r="L223" s="451">
        <v>0</v>
      </c>
      <c r="M223" s="451">
        <v>0</v>
      </c>
      <c r="N223" s="451">
        <v>0</v>
      </c>
      <c r="O223" s="451">
        <v>115440</v>
      </c>
      <c r="P223" s="451">
        <v>115440</v>
      </c>
      <c r="Q223" s="451">
        <v>0</v>
      </c>
      <c r="R223" s="451">
        <v>64359361</v>
      </c>
      <c r="S223" s="452" t="s">
        <v>314</v>
      </c>
      <c r="T223" s="453" t="s">
        <v>787</v>
      </c>
      <c r="U223" s="454" t="s">
        <v>788</v>
      </c>
      <c r="V223" s="324"/>
      <c r="W223" s="325"/>
    </row>
    <row r="224" spans="1:23" s="197" customFormat="1" ht="12.75" x14ac:dyDescent="0.2">
      <c r="A224" s="446">
        <v>217</v>
      </c>
      <c r="B224" s="447" t="s">
        <v>317</v>
      </c>
      <c r="C224" s="448" t="s">
        <v>1093</v>
      </c>
      <c r="D224" s="449" t="s">
        <v>1103</v>
      </c>
      <c r="E224" s="450" t="s">
        <v>316</v>
      </c>
      <c r="F224" s="451">
        <v>38028544</v>
      </c>
      <c r="G224" s="451">
        <v>0</v>
      </c>
      <c r="H224" s="451">
        <v>213094</v>
      </c>
      <c r="I224" s="451">
        <v>135187</v>
      </c>
      <c r="J224" s="451">
        <v>0</v>
      </c>
      <c r="K224" s="451">
        <v>135187</v>
      </c>
      <c r="L224" s="451">
        <v>0</v>
      </c>
      <c r="M224" s="451">
        <v>0</v>
      </c>
      <c r="N224" s="451">
        <v>0</v>
      </c>
      <c r="O224" s="451">
        <v>0</v>
      </c>
      <c r="P224" s="451">
        <v>0</v>
      </c>
      <c r="Q224" s="451">
        <v>0</v>
      </c>
      <c r="R224" s="451">
        <v>37680263</v>
      </c>
      <c r="S224" s="452" t="s">
        <v>316</v>
      </c>
      <c r="T224" s="453" t="s">
        <v>840</v>
      </c>
      <c r="U224" s="454" t="s">
        <v>775</v>
      </c>
      <c r="V224" s="324"/>
      <c r="W224" s="325"/>
    </row>
    <row r="225" spans="1:23" s="197" customFormat="1" ht="12.75" x14ac:dyDescent="0.2">
      <c r="A225" s="446">
        <v>218</v>
      </c>
      <c r="B225" s="447" t="s">
        <v>319</v>
      </c>
      <c r="C225" s="448" t="s">
        <v>1093</v>
      </c>
      <c r="D225" s="449" t="s">
        <v>1094</v>
      </c>
      <c r="E225" s="450" t="s">
        <v>318</v>
      </c>
      <c r="F225" s="451">
        <v>40549594</v>
      </c>
      <c r="G225" s="451">
        <v>0</v>
      </c>
      <c r="H225" s="451">
        <v>63672</v>
      </c>
      <c r="I225" s="451">
        <v>128572</v>
      </c>
      <c r="J225" s="451">
        <v>0</v>
      </c>
      <c r="K225" s="451">
        <v>128572</v>
      </c>
      <c r="L225" s="451">
        <v>0</v>
      </c>
      <c r="M225" s="451">
        <v>0</v>
      </c>
      <c r="N225" s="451">
        <v>0</v>
      </c>
      <c r="O225" s="451">
        <v>0</v>
      </c>
      <c r="P225" s="451">
        <v>0</v>
      </c>
      <c r="Q225" s="451">
        <v>0</v>
      </c>
      <c r="R225" s="451">
        <v>40357350</v>
      </c>
      <c r="S225" s="452" t="s">
        <v>318</v>
      </c>
      <c r="T225" s="453" t="s">
        <v>831</v>
      </c>
      <c r="U225" s="454" t="s">
        <v>775</v>
      </c>
      <c r="V225" s="324"/>
      <c r="W225" s="325"/>
    </row>
    <row r="226" spans="1:23" s="197" customFormat="1" ht="12.75" x14ac:dyDescent="0.2">
      <c r="A226" s="446">
        <v>219</v>
      </c>
      <c r="B226" s="447" t="s">
        <v>321</v>
      </c>
      <c r="C226" s="448" t="s">
        <v>1093</v>
      </c>
      <c r="D226" s="449" t="s">
        <v>1096</v>
      </c>
      <c r="E226" s="450" t="s">
        <v>320</v>
      </c>
      <c r="F226" s="451">
        <v>23570667</v>
      </c>
      <c r="G226" s="451">
        <v>1360413</v>
      </c>
      <c r="H226" s="451">
        <v>0</v>
      </c>
      <c r="I226" s="451">
        <v>110790</v>
      </c>
      <c r="J226" s="451">
        <v>0</v>
      </c>
      <c r="K226" s="451">
        <v>110790</v>
      </c>
      <c r="L226" s="451">
        <v>0</v>
      </c>
      <c r="M226" s="451">
        <v>0</v>
      </c>
      <c r="N226" s="451">
        <v>0</v>
      </c>
      <c r="O226" s="451">
        <v>0</v>
      </c>
      <c r="P226" s="451">
        <v>0</v>
      </c>
      <c r="Q226" s="451">
        <v>0</v>
      </c>
      <c r="R226" s="451">
        <v>24820290</v>
      </c>
      <c r="S226" s="452" t="s">
        <v>320</v>
      </c>
      <c r="T226" s="453" t="s">
        <v>779</v>
      </c>
      <c r="U226" s="454" t="s">
        <v>780</v>
      </c>
      <c r="V226" s="324"/>
      <c r="W226" s="325"/>
    </row>
    <row r="227" spans="1:23" s="197" customFormat="1" ht="12.75" x14ac:dyDescent="0.2">
      <c r="A227" s="446">
        <v>220</v>
      </c>
      <c r="B227" s="447" t="s">
        <v>323</v>
      </c>
      <c r="C227" s="448" t="s">
        <v>1093</v>
      </c>
      <c r="D227" s="449" t="s">
        <v>1094</v>
      </c>
      <c r="E227" s="450" t="s">
        <v>322</v>
      </c>
      <c r="F227" s="451">
        <v>33098462</v>
      </c>
      <c r="G227" s="451">
        <v>0</v>
      </c>
      <c r="H227" s="451">
        <v>656362</v>
      </c>
      <c r="I227" s="451">
        <v>124561</v>
      </c>
      <c r="J227" s="451">
        <v>0</v>
      </c>
      <c r="K227" s="451">
        <v>124561</v>
      </c>
      <c r="L227" s="451">
        <v>0</v>
      </c>
      <c r="M227" s="451">
        <v>0</v>
      </c>
      <c r="N227" s="451">
        <v>0</v>
      </c>
      <c r="O227" s="451">
        <v>0</v>
      </c>
      <c r="P227" s="451">
        <v>0</v>
      </c>
      <c r="Q227" s="451">
        <v>0</v>
      </c>
      <c r="R227" s="451">
        <v>32317539</v>
      </c>
      <c r="S227" s="452" t="s">
        <v>322</v>
      </c>
      <c r="T227" s="453" t="s">
        <v>791</v>
      </c>
      <c r="U227" s="454" t="s">
        <v>792</v>
      </c>
      <c r="V227" s="324"/>
      <c r="W227" s="325"/>
    </row>
    <row r="228" spans="1:23" s="197" customFormat="1" ht="12.75" x14ac:dyDescent="0.2">
      <c r="A228" s="446">
        <v>221</v>
      </c>
      <c r="B228" s="447" t="s">
        <v>325</v>
      </c>
      <c r="C228" s="448" t="s">
        <v>794</v>
      </c>
      <c r="D228" s="449" t="s">
        <v>1096</v>
      </c>
      <c r="E228" s="450" t="s">
        <v>742</v>
      </c>
      <c r="F228" s="451">
        <v>9306104</v>
      </c>
      <c r="G228" s="451">
        <v>0</v>
      </c>
      <c r="H228" s="451">
        <v>48050</v>
      </c>
      <c r="I228" s="451">
        <v>53206</v>
      </c>
      <c r="J228" s="451">
        <v>0</v>
      </c>
      <c r="K228" s="451">
        <v>53206</v>
      </c>
      <c r="L228" s="451">
        <v>0</v>
      </c>
      <c r="M228" s="451">
        <v>0</v>
      </c>
      <c r="N228" s="451">
        <v>0</v>
      </c>
      <c r="O228" s="451">
        <v>0</v>
      </c>
      <c r="P228" s="451">
        <v>0</v>
      </c>
      <c r="Q228" s="451">
        <v>0</v>
      </c>
      <c r="R228" s="451">
        <v>9204848</v>
      </c>
      <c r="S228" s="452" t="s">
        <v>742</v>
      </c>
      <c r="T228" s="453" t="s">
        <v>794</v>
      </c>
      <c r="U228" s="454" t="s">
        <v>799</v>
      </c>
      <c r="V228" s="324"/>
      <c r="W228" s="325"/>
    </row>
    <row r="229" spans="1:23" s="197" customFormat="1" ht="12.75" x14ac:dyDescent="0.2">
      <c r="A229" s="446">
        <v>222</v>
      </c>
      <c r="B229" s="447" t="s">
        <v>327</v>
      </c>
      <c r="C229" s="448" t="s">
        <v>1093</v>
      </c>
      <c r="D229" s="449" t="s">
        <v>1101</v>
      </c>
      <c r="E229" s="450" t="s">
        <v>326</v>
      </c>
      <c r="F229" s="451">
        <v>13854144</v>
      </c>
      <c r="G229" s="451">
        <v>114565</v>
      </c>
      <c r="H229" s="451">
        <v>0</v>
      </c>
      <c r="I229" s="451">
        <v>111364</v>
      </c>
      <c r="J229" s="451">
        <v>0</v>
      </c>
      <c r="K229" s="451">
        <v>111364</v>
      </c>
      <c r="L229" s="451">
        <v>0</v>
      </c>
      <c r="M229" s="451">
        <v>0</v>
      </c>
      <c r="N229" s="451">
        <v>0</v>
      </c>
      <c r="O229" s="451">
        <v>0</v>
      </c>
      <c r="P229" s="451">
        <v>0</v>
      </c>
      <c r="Q229" s="451">
        <v>0</v>
      </c>
      <c r="R229" s="451">
        <v>13857345</v>
      </c>
      <c r="S229" s="452" t="s">
        <v>326</v>
      </c>
      <c r="T229" s="453" t="s">
        <v>824</v>
      </c>
      <c r="U229" s="454" t="s">
        <v>825</v>
      </c>
      <c r="V229" s="324"/>
      <c r="W229" s="325"/>
    </row>
    <row r="230" spans="1:23" s="197" customFormat="1" ht="12.75" x14ac:dyDescent="0.2">
      <c r="A230" s="446">
        <v>223</v>
      </c>
      <c r="B230" s="447" t="s">
        <v>329</v>
      </c>
      <c r="C230" s="448" t="s">
        <v>1100</v>
      </c>
      <c r="D230" s="449" t="s">
        <v>1095</v>
      </c>
      <c r="E230" s="450" t="s">
        <v>328</v>
      </c>
      <c r="F230" s="451">
        <v>89609793</v>
      </c>
      <c r="G230" s="451">
        <v>0</v>
      </c>
      <c r="H230" s="451">
        <v>1026779</v>
      </c>
      <c r="I230" s="451">
        <v>439400</v>
      </c>
      <c r="J230" s="451">
        <v>0</v>
      </c>
      <c r="K230" s="451">
        <v>439400</v>
      </c>
      <c r="L230" s="451">
        <v>0</v>
      </c>
      <c r="M230" s="451">
        <v>0</v>
      </c>
      <c r="N230" s="451">
        <v>0</v>
      </c>
      <c r="O230" s="451">
        <v>0</v>
      </c>
      <c r="P230" s="451">
        <v>0</v>
      </c>
      <c r="Q230" s="451">
        <v>0</v>
      </c>
      <c r="R230" s="451">
        <v>88143614</v>
      </c>
      <c r="S230" s="452" t="s">
        <v>328</v>
      </c>
      <c r="T230" s="453" t="s">
        <v>787</v>
      </c>
      <c r="U230" s="454" t="s">
        <v>801</v>
      </c>
      <c r="V230" s="324"/>
      <c r="W230" s="325"/>
    </row>
    <row r="231" spans="1:23" s="197" customFormat="1" ht="12.75" x14ac:dyDescent="0.2">
      <c r="A231" s="446">
        <v>224</v>
      </c>
      <c r="B231" s="447" t="s">
        <v>331</v>
      </c>
      <c r="C231" s="448" t="s">
        <v>1100</v>
      </c>
      <c r="D231" s="449" t="s">
        <v>1103</v>
      </c>
      <c r="E231" s="450" t="s">
        <v>330</v>
      </c>
      <c r="F231" s="451">
        <v>95815755</v>
      </c>
      <c r="G231" s="451">
        <v>0</v>
      </c>
      <c r="H231" s="451">
        <v>471369</v>
      </c>
      <c r="I231" s="451">
        <v>438871</v>
      </c>
      <c r="J231" s="451">
        <v>0</v>
      </c>
      <c r="K231" s="451">
        <v>438871</v>
      </c>
      <c r="L231" s="451">
        <v>0</v>
      </c>
      <c r="M231" s="451">
        <v>0</v>
      </c>
      <c r="N231" s="451">
        <v>0</v>
      </c>
      <c r="O231" s="451">
        <v>0</v>
      </c>
      <c r="P231" s="451">
        <v>0</v>
      </c>
      <c r="Q231" s="451">
        <v>0</v>
      </c>
      <c r="R231" s="451">
        <v>94905515</v>
      </c>
      <c r="S231" s="452" t="s">
        <v>330</v>
      </c>
      <c r="T231" s="453" t="s">
        <v>787</v>
      </c>
      <c r="U231" s="454" t="s">
        <v>797</v>
      </c>
      <c r="V231" s="324"/>
      <c r="W231" s="325"/>
    </row>
    <row r="232" spans="1:23" s="197" customFormat="1" ht="12.75" x14ac:dyDescent="0.2">
      <c r="A232" s="446">
        <v>225</v>
      </c>
      <c r="B232" s="447" t="s">
        <v>333</v>
      </c>
      <c r="C232" s="448" t="s">
        <v>1093</v>
      </c>
      <c r="D232" s="449" t="s">
        <v>1101</v>
      </c>
      <c r="E232" s="450" t="s">
        <v>332</v>
      </c>
      <c r="F232" s="451">
        <v>29890866</v>
      </c>
      <c r="G232" s="451">
        <v>0</v>
      </c>
      <c r="H232" s="451">
        <v>594071</v>
      </c>
      <c r="I232" s="451">
        <v>247588</v>
      </c>
      <c r="J232" s="451">
        <v>0</v>
      </c>
      <c r="K232" s="451">
        <v>247588</v>
      </c>
      <c r="L232" s="451">
        <v>0</v>
      </c>
      <c r="M232" s="451">
        <v>0</v>
      </c>
      <c r="N232" s="451">
        <v>0</v>
      </c>
      <c r="O232" s="451">
        <v>0</v>
      </c>
      <c r="P232" s="451">
        <v>0</v>
      </c>
      <c r="Q232" s="451">
        <v>0</v>
      </c>
      <c r="R232" s="451">
        <v>29049207</v>
      </c>
      <c r="S232" s="452" t="s">
        <v>332</v>
      </c>
      <c r="T232" s="453" t="s">
        <v>824</v>
      </c>
      <c r="U232" s="454" t="s">
        <v>825</v>
      </c>
      <c r="V232" s="324"/>
      <c r="W232" s="325"/>
    </row>
    <row r="233" spans="1:23" s="197" customFormat="1" ht="12.75" x14ac:dyDescent="0.2">
      <c r="A233" s="446">
        <v>226</v>
      </c>
      <c r="B233" s="447" t="s">
        <v>335</v>
      </c>
      <c r="C233" s="448" t="s">
        <v>1093</v>
      </c>
      <c r="D233" s="449" t="s">
        <v>1102</v>
      </c>
      <c r="E233" s="450" t="s">
        <v>334</v>
      </c>
      <c r="F233" s="451">
        <v>31842500</v>
      </c>
      <c r="G233" s="451">
        <v>0</v>
      </c>
      <c r="H233" s="451">
        <v>57356</v>
      </c>
      <c r="I233" s="451">
        <v>162353</v>
      </c>
      <c r="J233" s="451">
        <v>0</v>
      </c>
      <c r="K233" s="451">
        <v>162353</v>
      </c>
      <c r="L233" s="451">
        <v>0</v>
      </c>
      <c r="M233" s="451">
        <v>0</v>
      </c>
      <c r="N233" s="451">
        <v>0</v>
      </c>
      <c r="O233" s="451">
        <v>507</v>
      </c>
      <c r="P233" s="451">
        <v>507</v>
      </c>
      <c r="Q233" s="451">
        <v>0</v>
      </c>
      <c r="R233" s="451">
        <v>31622284</v>
      </c>
      <c r="S233" s="452" t="s">
        <v>334</v>
      </c>
      <c r="T233" s="453" t="s">
        <v>839</v>
      </c>
      <c r="U233" s="454" t="s">
        <v>828</v>
      </c>
      <c r="V233" s="324"/>
      <c r="W233" s="325"/>
    </row>
    <row r="234" spans="1:23" s="197" customFormat="1" ht="12.75" x14ac:dyDescent="0.2">
      <c r="A234" s="446">
        <v>227</v>
      </c>
      <c r="B234" s="447" t="s">
        <v>337</v>
      </c>
      <c r="C234" s="448" t="s">
        <v>1100</v>
      </c>
      <c r="D234" s="449" t="s">
        <v>1095</v>
      </c>
      <c r="E234" s="450" t="s">
        <v>336</v>
      </c>
      <c r="F234" s="451">
        <v>60369734</v>
      </c>
      <c r="G234" s="451">
        <v>1956890</v>
      </c>
      <c r="H234" s="451">
        <v>0</v>
      </c>
      <c r="I234" s="451">
        <v>322252</v>
      </c>
      <c r="J234" s="451">
        <v>0</v>
      </c>
      <c r="K234" s="451">
        <v>322252</v>
      </c>
      <c r="L234" s="451">
        <v>0</v>
      </c>
      <c r="M234" s="451">
        <v>0</v>
      </c>
      <c r="N234" s="451">
        <v>0</v>
      </c>
      <c r="O234" s="451">
        <v>0</v>
      </c>
      <c r="P234" s="451">
        <v>0</v>
      </c>
      <c r="Q234" s="451">
        <v>0</v>
      </c>
      <c r="R234" s="451">
        <v>62004372</v>
      </c>
      <c r="S234" s="452" t="s">
        <v>336</v>
      </c>
      <c r="T234" s="453" t="s">
        <v>787</v>
      </c>
      <c r="U234" s="454" t="s">
        <v>838</v>
      </c>
      <c r="V234" s="324"/>
      <c r="W234" s="325"/>
    </row>
    <row r="235" spans="1:23" s="197" customFormat="1" ht="12.75" x14ac:dyDescent="0.2">
      <c r="A235" s="446">
        <v>228</v>
      </c>
      <c r="B235" s="447" t="s">
        <v>339</v>
      </c>
      <c r="C235" s="448" t="s">
        <v>1093</v>
      </c>
      <c r="D235" s="449" t="s">
        <v>1101</v>
      </c>
      <c r="E235" s="450" t="s">
        <v>338</v>
      </c>
      <c r="F235" s="451">
        <v>40415770</v>
      </c>
      <c r="G235" s="451">
        <v>0</v>
      </c>
      <c r="H235" s="451">
        <v>4196466</v>
      </c>
      <c r="I235" s="451">
        <v>120601</v>
      </c>
      <c r="J235" s="451">
        <v>0</v>
      </c>
      <c r="K235" s="451">
        <v>120601</v>
      </c>
      <c r="L235" s="451">
        <v>0</v>
      </c>
      <c r="M235" s="451">
        <v>0</v>
      </c>
      <c r="N235" s="451">
        <v>0</v>
      </c>
      <c r="O235" s="451">
        <v>9186</v>
      </c>
      <c r="P235" s="451">
        <v>9186</v>
      </c>
      <c r="Q235" s="451">
        <v>0</v>
      </c>
      <c r="R235" s="451">
        <v>36089517</v>
      </c>
      <c r="S235" s="452" t="s">
        <v>338</v>
      </c>
      <c r="T235" s="453" t="s">
        <v>824</v>
      </c>
      <c r="U235" s="454" t="s">
        <v>825</v>
      </c>
      <c r="V235" s="324"/>
      <c r="W235" s="325"/>
    </row>
    <row r="236" spans="1:23" s="197" customFormat="1" ht="12.75" x14ac:dyDescent="0.2">
      <c r="A236" s="446">
        <v>229</v>
      </c>
      <c r="B236" s="447" t="s">
        <v>341</v>
      </c>
      <c r="C236" s="448" t="s">
        <v>1093</v>
      </c>
      <c r="D236" s="449" t="s">
        <v>1094</v>
      </c>
      <c r="E236" s="450" t="s">
        <v>340</v>
      </c>
      <c r="F236" s="451">
        <v>32413742</v>
      </c>
      <c r="G236" s="451">
        <v>0</v>
      </c>
      <c r="H236" s="451">
        <v>53164</v>
      </c>
      <c r="I236" s="451">
        <v>170087</v>
      </c>
      <c r="J236" s="451">
        <v>0</v>
      </c>
      <c r="K236" s="451">
        <v>170087</v>
      </c>
      <c r="L236" s="451">
        <v>0</v>
      </c>
      <c r="M236" s="451">
        <v>0</v>
      </c>
      <c r="N236" s="451">
        <v>0</v>
      </c>
      <c r="O236" s="451">
        <v>0</v>
      </c>
      <c r="P236" s="451">
        <v>0</v>
      </c>
      <c r="Q236" s="451">
        <v>0</v>
      </c>
      <c r="R236" s="451">
        <v>32190491</v>
      </c>
      <c r="S236" s="452" t="s">
        <v>340</v>
      </c>
      <c r="T236" s="453" t="s">
        <v>781</v>
      </c>
      <c r="U236" s="454" t="s">
        <v>782</v>
      </c>
      <c r="V236" s="324"/>
      <c r="W236" s="325"/>
    </row>
    <row r="237" spans="1:23" s="197" customFormat="1" ht="12.75" x14ac:dyDescent="0.2">
      <c r="A237" s="446">
        <v>230</v>
      </c>
      <c r="B237" s="447" t="s">
        <v>343</v>
      </c>
      <c r="C237" s="448" t="s">
        <v>1100</v>
      </c>
      <c r="D237" s="449" t="s">
        <v>1101</v>
      </c>
      <c r="E237" s="450" t="s">
        <v>342</v>
      </c>
      <c r="F237" s="451">
        <v>199233129</v>
      </c>
      <c r="G237" s="451">
        <v>0</v>
      </c>
      <c r="H237" s="451">
        <v>1346063</v>
      </c>
      <c r="I237" s="451">
        <v>774873</v>
      </c>
      <c r="J237" s="451">
        <v>0</v>
      </c>
      <c r="K237" s="451">
        <v>774873</v>
      </c>
      <c r="L237" s="451">
        <v>0</v>
      </c>
      <c r="M237" s="451">
        <v>0</v>
      </c>
      <c r="N237" s="451">
        <v>0</v>
      </c>
      <c r="O237" s="451">
        <v>0</v>
      </c>
      <c r="P237" s="451">
        <v>0</v>
      </c>
      <c r="Q237" s="451">
        <v>0</v>
      </c>
      <c r="R237" s="451">
        <v>197112193</v>
      </c>
      <c r="S237" s="452" t="s">
        <v>342</v>
      </c>
      <c r="T237" s="453" t="s">
        <v>787</v>
      </c>
      <c r="U237" s="454" t="s">
        <v>788</v>
      </c>
      <c r="V237" s="324"/>
      <c r="W237" s="325"/>
    </row>
    <row r="238" spans="1:23" s="197" customFormat="1" ht="12.75" x14ac:dyDescent="0.2">
      <c r="A238" s="446">
        <v>231</v>
      </c>
      <c r="B238" s="447" t="s">
        <v>345</v>
      </c>
      <c r="C238" s="448" t="s">
        <v>1093</v>
      </c>
      <c r="D238" s="449" t="s">
        <v>1094</v>
      </c>
      <c r="E238" s="450" t="s">
        <v>344</v>
      </c>
      <c r="F238" s="451">
        <v>25806321</v>
      </c>
      <c r="G238" s="451">
        <v>0</v>
      </c>
      <c r="H238" s="451">
        <v>218207</v>
      </c>
      <c r="I238" s="451">
        <v>152929</v>
      </c>
      <c r="J238" s="451">
        <v>0</v>
      </c>
      <c r="K238" s="451">
        <v>152929</v>
      </c>
      <c r="L238" s="451">
        <v>0</v>
      </c>
      <c r="M238" s="451">
        <v>0</v>
      </c>
      <c r="N238" s="451">
        <v>0</v>
      </c>
      <c r="O238" s="451">
        <v>0</v>
      </c>
      <c r="P238" s="451">
        <v>0</v>
      </c>
      <c r="Q238" s="451">
        <v>0</v>
      </c>
      <c r="R238" s="451">
        <v>25435185</v>
      </c>
      <c r="S238" s="452" t="s">
        <v>344</v>
      </c>
      <c r="T238" s="453" t="s">
        <v>781</v>
      </c>
      <c r="U238" s="454" t="s">
        <v>782</v>
      </c>
      <c r="V238" s="324"/>
      <c r="W238" s="325"/>
    </row>
    <row r="239" spans="1:23" s="197" customFormat="1" ht="12.75" x14ac:dyDescent="0.2">
      <c r="A239" s="446">
        <v>232</v>
      </c>
      <c r="B239" s="447" t="s">
        <v>347</v>
      </c>
      <c r="C239" s="448" t="s">
        <v>794</v>
      </c>
      <c r="D239" s="449" t="s">
        <v>1103</v>
      </c>
      <c r="E239" s="450" t="s">
        <v>346</v>
      </c>
      <c r="F239" s="451">
        <v>73905648</v>
      </c>
      <c r="G239" s="451">
        <v>0</v>
      </c>
      <c r="H239" s="451">
        <v>48381</v>
      </c>
      <c r="I239" s="451">
        <v>463653</v>
      </c>
      <c r="J239" s="451">
        <v>0</v>
      </c>
      <c r="K239" s="451">
        <v>463653</v>
      </c>
      <c r="L239" s="451">
        <v>0</v>
      </c>
      <c r="M239" s="451">
        <v>0</v>
      </c>
      <c r="N239" s="451">
        <v>0</v>
      </c>
      <c r="O239" s="451">
        <v>0</v>
      </c>
      <c r="P239" s="451">
        <v>0</v>
      </c>
      <c r="Q239" s="451">
        <v>0</v>
      </c>
      <c r="R239" s="451">
        <v>73393614</v>
      </c>
      <c r="S239" s="452" t="s">
        <v>346</v>
      </c>
      <c r="T239" s="453" t="s">
        <v>794</v>
      </c>
      <c r="U239" s="454" t="s">
        <v>842</v>
      </c>
      <c r="V239" s="324"/>
      <c r="W239" s="325"/>
    </row>
    <row r="240" spans="1:23" s="197" customFormat="1" ht="12.75" x14ac:dyDescent="0.2">
      <c r="A240" s="446">
        <v>233</v>
      </c>
      <c r="B240" s="447" t="s">
        <v>349</v>
      </c>
      <c r="C240" s="448" t="s">
        <v>794</v>
      </c>
      <c r="D240" s="449" t="s">
        <v>1094</v>
      </c>
      <c r="E240" s="450" t="s">
        <v>743</v>
      </c>
      <c r="F240" s="451">
        <v>90244355</v>
      </c>
      <c r="G240" s="451">
        <v>0</v>
      </c>
      <c r="H240" s="451">
        <v>976141</v>
      </c>
      <c r="I240" s="451">
        <v>210291</v>
      </c>
      <c r="J240" s="451">
        <v>0</v>
      </c>
      <c r="K240" s="451">
        <v>210291</v>
      </c>
      <c r="L240" s="451">
        <v>0</v>
      </c>
      <c r="M240" s="451">
        <v>0</v>
      </c>
      <c r="N240" s="451">
        <v>0</v>
      </c>
      <c r="O240" s="451">
        <v>0</v>
      </c>
      <c r="P240" s="451">
        <v>0</v>
      </c>
      <c r="Q240" s="451">
        <v>0</v>
      </c>
      <c r="R240" s="451">
        <v>89057923</v>
      </c>
      <c r="S240" s="452" t="s">
        <v>743</v>
      </c>
      <c r="T240" s="453" t="s">
        <v>794</v>
      </c>
      <c r="U240" s="454" t="s">
        <v>804</v>
      </c>
      <c r="V240" s="324"/>
      <c r="W240" s="325"/>
    </row>
    <row r="241" spans="1:23" s="197" customFormat="1" ht="12.75" x14ac:dyDescent="0.2">
      <c r="A241" s="446">
        <v>234</v>
      </c>
      <c r="B241" s="447" t="s">
        <v>351</v>
      </c>
      <c r="C241" s="448" t="s">
        <v>1100</v>
      </c>
      <c r="D241" s="449" t="s">
        <v>1103</v>
      </c>
      <c r="E241" s="450" t="s">
        <v>350</v>
      </c>
      <c r="F241" s="451">
        <v>101967449</v>
      </c>
      <c r="G241" s="451">
        <v>0</v>
      </c>
      <c r="H241" s="451">
        <v>869847</v>
      </c>
      <c r="I241" s="451">
        <v>242567</v>
      </c>
      <c r="J241" s="451">
        <v>0</v>
      </c>
      <c r="K241" s="451">
        <v>242567</v>
      </c>
      <c r="L241" s="451">
        <v>0</v>
      </c>
      <c r="M241" s="451">
        <v>0</v>
      </c>
      <c r="N241" s="451">
        <v>0</v>
      </c>
      <c r="O241" s="451">
        <v>0</v>
      </c>
      <c r="P241" s="451">
        <v>0</v>
      </c>
      <c r="Q241" s="451">
        <v>0</v>
      </c>
      <c r="R241" s="451">
        <v>100855035</v>
      </c>
      <c r="S241" s="452" t="s">
        <v>350</v>
      </c>
      <c r="T241" s="453" t="s">
        <v>787</v>
      </c>
      <c r="U241" s="454" t="s">
        <v>797</v>
      </c>
      <c r="V241" s="324"/>
      <c r="W241" s="325"/>
    </row>
    <row r="242" spans="1:23" s="197" customFormat="1" ht="12.75" x14ac:dyDescent="0.2">
      <c r="A242" s="446">
        <v>235</v>
      </c>
      <c r="B242" s="447" t="s">
        <v>353</v>
      </c>
      <c r="C242" s="448" t="s">
        <v>1093</v>
      </c>
      <c r="D242" s="449" t="s">
        <v>1094</v>
      </c>
      <c r="E242" s="450" t="s">
        <v>352</v>
      </c>
      <c r="F242" s="451">
        <v>27107287</v>
      </c>
      <c r="G242" s="451">
        <v>126551</v>
      </c>
      <c r="H242" s="451">
        <v>0</v>
      </c>
      <c r="I242" s="451">
        <v>99868</v>
      </c>
      <c r="J242" s="451">
        <v>0</v>
      </c>
      <c r="K242" s="451">
        <v>99868</v>
      </c>
      <c r="L242" s="451">
        <v>0</v>
      </c>
      <c r="M242" s="451">
        <v>0</v>
      </c>
      <c r="N242" s="451">
        <v>0</v>
      </c>
      <c r="O242" s="451">
        <v>0</v>
      </c>
      <c r="P242" s="451">
        <v>0</v>
      </c>
      <c r="Q242" s="451">
        <v>0</v>
      </c>
      <c r="R242" s="451">
        <v>27133970</v>
      </c>
      <c r="S242" s="452" t="s">
        <v>352</v>
      </c>
      <c r="T242" s="453" t="s">
        <v>783</v>
      </c>
      <c r="U242" s="454" t="s">
        <v>784</v>
      </c>
      <c r="V242" s="324"/>
      <c r="W242" s="325"/>
    </row>
    <row r="243" spans="1:23" s="197" customFormat="1" ht="12.75" x14ac:dyDescent="0.2">
      <c r="A243" s="446">
        <v>236</v>
      </c>
      <c r="B243" s="447" t="s">
        <v>355</v>
      </c>
      <c r="C243" s="448" t="s">
        <v>1093</v>
      </c>
      <c r="D243" s="449" t="s">
        <v>1097</v>
      </c>
      <c r="E243" s="450" t="s">
        <v>354</v>
      </c>
      <c r="F243" s="451">
        <v>62992731</v>
      </c>
      <c r="G243" s="451">
        <v>0</v>
      </c>
      <c r="H243" s="451">
        <v>201379</v>
      </c>
      <c r="I243" s="451">
        <v>218656</v>
      </c>
      <c r="J243" s="451">
        <v>0</v>
      </c>
      <c r="K243" s="451">
        <v>218656</v>
      </c>
      <c r="L243" s="451">
        <v>0</v>
      </c>
      <c r="M243" s="451">
        <v>0</v>
      </c>
      <c r="N243" s="451">
        <v>0</v>
      </c>
      <c r="O243" s="451">
        <v>0</v>
      </c>
      <c r="P243" s="451">
        <v>0</v>
      </c>
      <c r="Q243" s="451">
        <v>0</v>
      </c>
      <c r="R243" s="451">
        <v>62572696</v>
      </c>
      <c r="S243" s="452" t="s">
        <v>354</v>
      </c>
      <c r="T243" s="453" t="s">
        <v>814</v>
      </c>
      <c r="U243" s="454" t="s">
        <v>815</v>
      </c>
      <c r="V243" s="324"/>
      <c r="W243" s="325"/>
    </row>
    <row r="244" spans="1:23" s="197" customFormat="1" ht="12.75" x14ac:dyDescent="0.2">
      <c r="A244" s="446">
        <v>237</v>
      </c>
      <c r="B244" s="447" t="s">
        <v>357</v>
      </c>
      <c r="C244" s="448" t="s">
        <v>1093</v>
      </c>
      <c r="D244" s="449" t="s">
        <v>1096</v>
      </c>
      <c r="E244" s="450" t="s">
        <v>356</v>
      </c>
      <c r="F244" s="451">
        <v>19819302</v>
      </c>
      <c r="G244" s="451">
        <v>115268</v>
      </c>
      <c r="H244" s="451">
        <v>0</v>
      </c>
      <c r="I244" s="451">
        <v>90901</v>
      </c>
      <c r="J244" s="451">
        <v>0</v>
      </c>
      <c r="K244" s="451">
        <v>90901</v>
      </c>
      <c r="L244" s="451">
        <v>0</v>
      </c>
      <c r="M244" s="451">
        <v>0</v>
      </c>
      <c r="N244" s="451">
        <v>0</v>
      </c>
      <c r="O244" s="451">
        <v>0</v>
      </c>
      <c r="P244" s="451">
        <v>0</v>
      </c>
      <c r="Q244" s="451">
        <v>0</v>
      </c>
      <c r="R244" s="451">
        <v>19843669</v>
      </c>
      <c r="S244" s="452" t="s">
        <v>356</v>
      </c>
      <c r="T244" s="453" t="s">
        <v>777</v>
      </c>
      <c r="U244" s="454" t="s">
        <v>778</v>
      </c>
      <c r="V244" s="324"/>
      <c r="W244" s="325"/>
    </row>
    <row r="245" spans="1:23" s="197" customFormat="1" ht="12.75" x14ac:dyDescent="0.2">
      <c r="A245" s="446">
        <v>238</v>
      </c>
      <c r="B245" s="447" t="s">
        <v>359</v>
      </c>
      <c r="C245" s="448" t="s">
        <v>794</v>
      </c>
      <c r="D245" s="449" t="s">
        <v>1102</v>
      </c>
      <c r="E245" s="450" t="s">
        <v>744</v>
      </c>
      <c r="F245" s="451">
        <v>126254615</v>
      </c>
      <c r="G245" s="451">
        <v>83182</v>
      </c>
      <c r="H245" s="451">
        <v>0</v>
      </c>
      <c r="I245" s="451">
        <v>330468</v>
      </c>
      <c r="J245" s="451">
        <v>0</v>
      </c>
      <c r="K245" s="451">
        <v>330468</v>
      </c>
      <c r="L245" s="451">
        <v>0</v>
      </c>
      <c r="M245" s="451">
        <v>0</v>
      </c>
      <c r="N245" s="451">
        <v>0</v>
      </c>
      <c r="O245" s="451">
        <v>0</v>
      </c>
      <c r="P245" s="451">
        <v>0</v>
      </c>
      <c r="Q245" s="451">
        <v>0</v>
      </c>
      <c r="R245" s="451">
        <v>126007329</v>
      </c>
      <c r="S245" s="452" t="s">
        <v>744</v>
      </c>
      <c r="T245" s="453" t="s">
        <v>794</v>
      </c>
      <c r="U245" s="454" t="s">
        <v>795</v>
      </c>
      <c r="V245" s="324"/>
      <c r="W245" s="325"/>
    </row>
    <row r="246" spans="1:23" s="197" customFormat="1" ht="12.75" x14ac:dyDescent="0.2">
      <c r="A246" s="446">
        <v>239</v>
      </c>
      <c r="B246" s="447" t="s">
        <v>361</v>
      </c>
      <c r="C246" s="448" t="s">
        <v>1093</v>
      </c>
      <c r="D246" s="449" t="s">
        <v>1102</v>
      </c>
      <c r="E246" s="450" t="s">
        <v>360</v>
      </c>
      <c r="F246" s="451">
        <v>26619575</v>
      </c>
      <c r="G246" s="451">
        <v>2432313</v>
      </c>
      <c r="H246" s="451">
        <v>0</v>
      </c>
      <c r="I246" s="451">
        <v>206226</v>
      </c>
      <c r="J246" s="451">
        <v>0</v>
      </c>
      <c r="K246" s="451">
        <v>206226</v>
      </c>
      <c r="L246" s="451">
        <v>0</v>
      </c>
      <c r="M246" s="451">
        <v>0</v>
      </c>
      <c r="N246" s="451">
        <v>0</v>
      </c>
      <c r="O246" s="451">
        <v>0</v>
      </c>
      <c r="P246" s="451">
        <v>0</v>
      </c>
      <c r="Q246" s="451">
        <v>0</v>
      </c>
      <c r="R246" s="451">
        <v>28845662</v>
      </c>
      <c r="S246" s="452" t="s">
        <v>360</v>
      </c>
      <c r="T246" s="453" t="s">
        <v>827</v>
      </c>
      <c r="U246" s="454" t="s">
        <v>828</v>
      </c>
      <c r="V246" s="324"/>
      <c r="W246" s="325"/>
    </row>
    <row r="247" spans="1:23" s="197" customFormat="1" ht="12.75" x14ac:dyDescent="0.2">
      <c r="A247" s="446">
        <v>240</v>
      </c>
      <c r="B247" s="447" t="s">
        <v>363</v>
      </c>
      <c r="C247" s="448" t="s">
        <v>1093</v>
      </c>
      <c r="D247" s="449" t="s">
        <v>1096</v>
      </c>
      <c r="E247" s="450" t="s">
        <v>362</v>
      </c>
      <c r="F247" s="451">
        <v>21751664</v>
      </c>
      <c r="G247" s="451">
        <v>1466305</v>
      </c>
      <c r="H247" s="451">
        <v>0</v>
      </c>
      <c r="I247" s="451">
        <v>113511</v>
      </c>
      <c r="J247" s="451">
        <v>0</v>
      </c>
      <c r="K247" s="451">
        <v>113511</v>
      </c>
      <c r="L247" s="451">
        <v>0</v>
      </c>
      <c r="M247" s="451">
        <v>0</v>
      </c>
      <c r="N247" s="451">
        <v>0</v>
      </c>
      <c r="O247" s="451">
        <v>193097</v>
      </c>
      <c r="P247" s="451">
        <v>193097</v>
      </c>
      <c r="Q247" s="451">
        <v>0</v>
      </c>
      <c r="R247" s="451">
        <v>22911361</v>
      </c>
      <c r="S247" s="452" t="s">
        <v>362</v>
      </c>
      <c r="T247" s="453" t="s">
        <v>802</v>
      </c>
      <c r="U247" s="454" t="s">
        <v>775</v>
      </c>
      <c r="V247" s="324"/>
      <c r="W247" s="325"/>
    </row>
    <row r="248" spans="1:23" s="197" customFormat="1" ht="12.75" x14ac:dyDescent="0.2">
      <c r="A248" s="446">
        <v>241</v>
      </c>
      <c r="B248" s="447" t="s">
        <v>365</v>
      </c>
      <c r="C248" s="448" t="s">
        <v>1093</v>
      </c>
      <c r="D248" s="449" t="s">
        <v>1096</v>
      </c>
      <c r="E248" s="450" t="s">
        <v>364</v>
      </c>
      <c r="F248" s="451">
        <v>37658951</v>
      </c>
      <c r="G248" s="451">
        <v>0</v>
      </c>
      <c r="H248" s="451">
        <v>51936</v>
      </c>
      <c r="I248" s="451">
        <v>179287</v>
      </c>
      <c r="J248" s="451">
        <v>0</v>
      </c>
      <c r="K248" s="451">
        <v>179287</v>
      </c>
      <c r="L248" s="451">
        <v>0</v>
      </c>
      <c r="M248" s="451">
        <v>0</v>
      </c>
      <c r="N248" s="451">
        <v>0</v>
      </c>
      <c r="O248" s="451">
        <v>0</v>
      </c>
      <c r="P248" s="451">
        <v>0</v>
      </c>
      <c r="Q248" s="451">
        <v>0</v>
      </c>
      <c r="R248" s="451">
        <v>37427728</v>
      </c>
      <c r="S248" s="452" t="s">
        <v>364</v>
      </c>
      <c r="T248" s="453" t="s">
        <v>802</v>
      </c>
      <c r="U248" s="454" t="s">
        <v>775</v>
      </c>
      <c r="V248" s="324"/>
      <c r="W248" s="325"/>
    </row>
    <row r="249" spans="1:23" s="197" customFormat="1" ht="12.75" x14ac:dyDescent="0.2">
      <c r="A249" s="446">
        <v>242</v>
      </c>
      <c r="B249" s="447" t="s">
        <v>367</v>
      </c>
      <c r="C249" s="448" t="s">
        <v>1093</v>
      </c>
      <c r="D249" s="449" t="s">
        <v>1095</v>
      </c>
      <c r="E249" s="450" t="s">
        <v>366</v>
      </c>
      <c r="F249" s="451">
        <v>37725012</v>
      </c>
      <c r="G249" s="451">
        <v>0</v>
      </c>
      <c r="H249" s="451">
        <v>101258</v>
      </c>
      <c r="I249" s="451">
        <v>296593</v>
      </c>
      <c r="J249" s="451">
        <v>0</v>
      </c>
      <c r="K249" s="451">
        <v>296593</v>
      </c>
      <c r="L249" s="451">
        <v>0</v>
      </c>
      <c r="M249" s="451">
        <v>0</v>
      </c>
      <c r="N249" s="451">
        <v>0</v>
      </c>
      <c r="O249" s="451">
        <v>0</v>
      </c>
      <c r="P249" s="451">
        <v>0</v>
      </c>
      <c r="Q249" s="451">
        <v>0</v>
      </c>
      <c r="R249" s="451">
        <v>37327161</v>
      </c>
      <c r="S249" s="452" t="s">
        <v>366</v>
      </c>
      <c r="T249" s="453" t="s">
        <v>776</v>
      </c>
      <c r="U249" s="454" t="s">
        <v>775</v>
      </c>
      <c r="V249" s="324"/>
      <c r="W249" s="325"/>
    </row>
    <row r="250" spans="1:23" s="197" customFormat="1" ht="12.75" x14ac:dyDescent="0.2">
      <c r="A250" s="446">
        <v>243</v>
      </c>
      <c r="B250" s="447" t="s">
        <v>369</v>
      </c>
      <c r="C250" s="448" t="s">
        <v>1093</v>
      </c>
      <c r="D250" s="449" t="s">
        <v>1097</v>
      </c>
      <c r="E250" s="450" t="s">
        <v>368</v>
      </c>
      <c r="F250" s="451">
        <v>26983862</v>
      </c>
      <c r="G250" s="451">
        <v>80154</v>
      </c>
      <c r="H250" s="451">
        <v>0</v>
      </c>
      <c r="I250" s="451">
        <v>148821</v>
      </c>
      <c r="J250" s="451">
        <v>0</v>
      </c>
      <c r="K250" s="451">
        <v>148821</v>
      </c>
      <c r="L250" s="451">
        <v>0</v>
      </c>
      <c r="M250" s="451">
        <v>0</v>
      </c>
      <c r="N250" s="451">
        <v>0</v>
      </c>
      <c r="O250" s="451">
        <v>0</v>
      </c>
      <c r="P250" s="451">
        <v>0</v>
      </c>
      <c r="Q250" s="451">
        <v>0</v>
      </c>
      <c r="R250" s="451">
        <v>26915195</v>
      </c>
      <c r="S250" s="452" t="s">
        <v>368</v>
      </c>
      <c r="T250" s="453" t="s">
        <v>806</v>
      </c>
      <c r="U250" s="454" t="s">
        <v>775</v>
      </c>
      <c r="V250" s="324"/>
      <c r="W250" s="325"/>
    </row>
    <row r="251" spans="1:23" s="197" customFormat="1" ht="12.75" x14ac:dyDescent="0.2">
      <c r="A251" s="446">
        <v>244</v>
      </c>
      <c r="B251" s="447" t="s">
        <v>371</v>
      </c>
      <c r="C251" s="448" t="s">
        <v>1093</v>
      </c>
      <c r="D251" s="449" t="s">
        <v>1096</v>
      </c>
      <c r="E251" s="450" t="s">
        <v>370</v>
      </c>
      <c r="F251" s="451">
        <v>19331575</v>
      </c>
      <c r="G251" s="451">
        <v>0</v>
      </c>
      <c r="H251" s="451">
        <v>131973</v>
      </c>
      <c r="I251" s="451">
        <v>106988</v>
      </c>
      <c r="J251" s="451">
        <v>0</v>
      </c>
      <c r="K251" s="451">
        <v>106988</v>
      </c>
      <c r="L251" s="451">
        <v>0</v>
      </c>
      <c r="M251" s="451">
        <v>0</v>
      </c>
      <c r="N251" s="451">
        <v>0</v>
      </c>
      <c r="O251" s="451">
        <v>0</v>
      </c>
      <c r="P251" s="451">
        <v>0</v>
      </c>
      <c r="Q251" s="451">
        <v>0</v>
      </c>
      <c r="R251" s="451">
        <v>19092614</v>
      </c>
      <c r="S251" s="452" t="s">
        <v>370</v>
      </c>
      <c r="T251" s="453" t="s">
        <v>823</v>
      </c>
      <c r="U251" s="454" t="s">
        <v>775</v>
      </c>
      <c r="V251" s="324"/>
      <c r="W251" s="325"/>
    </row>
    <row r="252" spans="1:23" s="197" customFormat="1" ht="12.75" x14ac:dyDescent="0.2">
      <c r="A252" s="446">
        <v>245</v>
      </c>
      <c r="B252" s="447" t="s">
        <v>373</v>
      </c>
      <c r="C252" s="448" t="s">
        <v>1093</v>
      </c>
      <c r="D252" s="449" t="s">
        <v>1094</v>
      </c>
      <c r="E252" s="450" t="s">
        <v>372</v>
      </c>
      <c r="F252" s="451">
        <v>40159029</v>
      </c>
      <c r="G252" s="451">
        <v>0</v>
      </c>
      <c r="H252" s="451">
        <v>171783</v>
      </c>
      <c r="I252" s="451">
        <v>186629</v>
      </c>
      <c r="J252" s="451">
        <v>0</v>
      </c>
      <c r="K252" s="451">
        <v>186629</v>
      </c>
      <c r="L252" s="451">
        <v>0</v>
      </c>
      <c r="M252" s="451">
        <v>0</v>
      </c>
      <c r="N252" s="451">
        <v>0</v>
      </c>
      <c r="O252" s="451">
        <v>0</v>
      </c>
      <c r="P252" s="451">
        <v>0</v>
      </c>
      <c r="Q252" s="451">
        <v>0</v>
      </c>
      <c r="R252" s="451">
        <v>39800617</v>
      </c>
      <c r="S252" s="452" t="s">
        <v>372</v>
      </c>
      <c r="T252" s="453" t="s">
        <v>819</v>
      </c>
      <c r="U252" s="454" t="s">
        <v>775</v>
      </c>
      <c r="V252" s="324"/>
      <c r="W252" s="325"/>
    </row>
    <row r="253" spans="1:23" s="197" customFormat="1" ht="12.75" x14ac:dyDescent="0.2">
      <c r="A253" s="446">
        <v>246</v>
      </c>
      <c r="B253" s="447" t="s">
        <v>375</v>
      </c>
      <c r="C253" s="448" t="s">
        <v>1093</v>
      </c>
      <c r="D253" s="449" t="s">
        <v>1095</v>
      </c>
      <c r="E253" s="450" t="s">
        <v>374</v>
      </c>
      <c r="F253" s="451">
        <v>32609634</v>
      </c>
      <c r="G253" s="451">
        <v>0</v>
      </c>
      <c r="H253" s="451">
        <v>234202</v>
      </c>
      <c r="I253" s="451">
        <v>124367</v>
      </c>
      <c r="J253" s="451">
        <v>0</v>
      </c>
      <c r="K253" s="451">
        <v>124367</v>
      </c>
      <c r="L253" s="451">
        <v>0</v>
      </c>
      <c r="M253" s="451">
        <v>0</v>
      </c>
      <c r="N253" s="451">
        <v>0</v>
      </c>
      <c r="O253" s="451">
        <v>0</v>
      </c>
      <c r="P253" s="451">
        <v>0</v>
      </c>
      <c r="Q253" s="451">
        <v>0</v>
      </c>
      <c r="R253" s="451">
        <v>32251065</v>
      </c>
      <c r="S253" s="452" t="s">
        <v>374</v>
      </c>
      <c r="T253" s="453" t="s">
        <v>813</v>
      </c>
      <c r="U253" s="454" t="s">
        <v>800</v>
      </c>
      <c r="V253" s="324"/>
      <c r="W253" s="325"/>
    </row>
    <row r="254" spans="1:23" s="197" customFormat="1" ht="12.75" x14ac:dyDescent="0.2">
      <c r="A254" s="446">
        <v>247</v>
      </c>
      <c r="B254" s="447" t="s">
        <v>377</v>
      </c>
      <c r="C254" s="448" t="s">
        <v>1093</v>
      </c>
      <c r="D254" s="449" t="s">
        <v>1102</v>
      </c>
      <c r="E254" s="450" t="s">
        <v>376</v>
      </c>
      <c r="F254" s="451">
        <v>39888323</v>
      </c>
      <c r="G254" s="451">
        <v>0</v>
      </c>
      <c r="H254" s="451">
        <v>18904</v>
      </c>
      <c r="I254" s="451">
        <v>223390</v>
      </c>
      <c r="J254" s="451">
        <v>0</v>
      </c>
      <c r="K254" s="451">
        <v>223390</v>
      </c>
      <c r="L254" s="451">
        <v>0</v>
      </c>
      <c r="M254" s="451">
        <v>0</v>
      </c>
      <c r="N254" s="451">
        <v>0</v>
      </c>
      <c r="O254" s="451">
        <v>8101</v>
      </c>
      <c r="P254" s="451">
        <v>8101</v>
      </c>
      <c r="Q254" s="451">
        <v>0</v>
      </c>
      <c r="R254" s="451">
        <v>39637928</v>
      </c>
      <c r="S254" s="452" t="s">
        <v>376</v>
      </c>
      <c r="T254" s="453" t="s">
        <v>839</v>
      </c>
      <c r="U254" s="454" t="s">
        <v>828</v>
      </c>
      <c r="V254" s="324"/>
      <c r="W254" s="325"/>
    </row>
    <row r="255" spans="1:23" s="197" customFormat="1" ht="12.75" x14ac:dyDescent="0.2">
      <c r="A255" s="446">
        <v>248</v>
      </c>
      <c r="B255" s="447" t="s">
        <v>379</v>
      </c>
      <c r="C255" s="448" t="s">
        <v>1093</v>
      </c>
      <c r="D255" s="449" t="s">
        <v>1103</v>
      </c>
      <c r="E255" s="450" t="s">
        <v>378</v>
      </c>
      <c r="F255" s="451">
        <v>19713413</v>
      </c>
      <c r="G255" s="451">
        <v>33278</v>
      </c>
      <c r="H255" s="451">
        <v>0</v>
      </c>
      <c r="I255" s="451">
        <v>103528</v>
      </c>
      <c r="J255" s="451">
        <v>0</v>
      </c>
      <c r="K255" s="451">
        <v>103528</v>
      </c>
      <c r="L255" s="451">
        <v>0</v>
      </c>
      <c r="M255" s="451">
        <v>494143</v>
      </c>
      <c r="N255" s="451">
        <v>0</v>
      </c>
      <c r="O255" s="451">
        <v>0</v>
      </c>
      <c r="P255" s="451">
        <v>0</v>
      </c>
      <c r="Q255" s="451">
        <v>0</v>
      </c>
      <c r="R255" s="451">
        <v>19149020</v>
      </c>
      <c r="S255" s="452" t="s">
        <v>378</v>
      </c>
      <c r="T255" s="453" t="s">
        <v>816</v>
      </c>
      <c r="U255" s="454" t="s">
        <v>817</v>
      </c>
      <c r="V255" s="324"/>
      <c r="W255" s="325"/>
    </row>
    <row r="256" spans="1:23" s="197" customFormat="1" ht="12.75" x14ac:dyDescent="0.2">
      <c r="A256" s="446">
        <v>249</v>
      </c>
      <c r="B256" s="447" t="s">
        <v>381</v>
      </c>
      <c r="C256" s="448" t="s">
        <v>1100</v>
      </c>
      <c r="D256" s="449" t="s">
        <v>1105</v>
      </c>
      <c r="E256" s="450" t="s">
        <v>380</v>
      </c>
      <c r="F256" s="451">
        <v>28584008</v>
      </c>
      <c r="G256" s="451">
        <v>0</v>
      </c>
      <c r="H256" s="451">
        <v>322318</v>
      </c>
      <c r="I256" s="451">
        <v>150312</v>
      </c>
      <c r="J256" s="451">
        <v>0</v>
      </c>
      <c r="K256" s="451">
        <v>150312</v>
      </c>
      <c r="L256" s="451">
        <v>0</v>
      </c>
      <c r="M256" s="451">
        <v>0</v>
      </c>
      <c r="N256" s="451">
        <v>0</v>
      </c>
      <c r="O256" s="451">
        <v>0</v>
      </c>
      <c r="P256" s="451">
        <v>0</v>
      </c>
      <c r="Q256" s="451">
        <v>0</v>
      </c>
      <c r="R256" s="451">
        <v>28111378</v>
      </c>
      <c r="S256" s="452" t="s">
        <v>380</v>
      </c>
      <c r="T256" s="453" t="s">
        <v>787</v>
      </c>
      <c r="U256" s="454" t="s">
        <v>832</v>
      </c>
      <c r="V256" s="324"/>
      <c r="W256" s="325"/>
    </row>
    <row r="257" spans="1:23" s="197" customFormat="1" ht="12.75" x14ac:dyDescent="0.2">
      <c r="A257" s="446">
        <v>250</v>
      </c>
      <c r="B257" s="447" t="s">
        <v>383</v>
      </c>
      <c r="C257" s="448" t="s">
        <v>794</v>
      </c>
      <c r="D257" s="449" t="s">
        <v>1094</v>
      </c>
      <c r="E257" s="450" t="s">
        <v>745</v>
      </c>
      <c r="F257" s="451">
        <v>84753531</v>
      </c>
      <c r="G257" s="451">
        <v>0</v>
      </c>
      <c r="H257" s="451">
        <v>1142902</v>
      </c>
      <c r="I257" s="451">
        <v>321850</v>
      </c>
      <c r="J257" s="451">
        <v>0</v>
      </c>
      <c r="K257" s="451">
        <v>321850</v>
      </c>
      <c r="L257" s="451">
        <v>0</v>
      </c>
      <c r="M257" s="451">
        <v>0</v>
      </c>
      <c r="N257" s="451">
        <v>0</v>
      </c>
      <c r="O257" s="451">
        <v>0</v>
      </c>
      <c r="P257" s="451">
        <v>0</v>
      </c>
      <c r="Q257" s="451">
        <v>0</v>
      </c>
      <c r="R257" s="451">
        <v>83288779</v>
      </c>
      <c r="S257" s="452" t="s">
        <v>745</v>
      </c>
      <c r="T257" s="453" t="s">
        <v>794</v>
      </c>
      <c r="U257" s="454" t="s">
        <v>792</v>
      </c>
      <c r="V257" s="324"/>
      <c r="W257" s="325"/>
    </row>
    <row r="258" spans="1:23" s="197" customFormat="1" ht="12.75" x14ac:dyDescent="0.2">
      <c r="A258" s="446">
        <v>251</v>
      </c>
      <c r="B258" s="447" t="s">
        <v>385</v>
      </c>
      <c r="C258" s="448" t="s">
        <v>794</v>
      </c>
      <c r="D258" s="449" t="s">
        <v>1097</v>
      </c>
      <c r="E258" s="450" t="s">
        <v>746</v>
      </c>
      <c r="F258" s="451">
        <v>43608315</v>
      </c>
      <c r="G258" s="451">
        <v>50182</v>
      </c>
      <c r="H258" s="451">
        <v>0</v>
      </c>
      <c r="I258" s="451">
        <v>238667</v>
      </c>
      <c r="J258" s="451">
        <v>0</v>
      </c>
      <c r="K258" s="451">
        <v>238667</v>
      </c>
      <c r="L258" s="451">
        <v>0</v>
      </c>
      <c r="M258" s="451">
        <v>0</v>
      </c>
      <c r="N258" s="451">
        <v>0</v>
      </c>
      <c r="O258" s="451">
        <v>0</v>
      </c>
      <c r="P258" s="451">
        <v>0</v>
      </c>
      <c r="Q258" s="451">
        <v>0</v>
      </c>
      <c r="R258" s="451">
        <v>43419830</v>
      </c>
      <c r="S258" s="452" t="s">
        <v>746</v>
      </c>
      <c r="T258" s="453" t="s">
        <v>794</v>
      </c>
      <c r="U258" s="454" t="s">
        <v>790</v>
      </c>
      <c r="V258" s="324"/>
      <c r="W258" s="325"/>
    </row>
    <row r="259" spans="1:23" s="197" customFormat="1" ht="12.75" x14ac:dyDescent="0.2">
      <c r="A259" s="446">
        <v>252</v>
      </c>
      <c r="B259" s="447" t="s">
        <v>387</v>
      </c>
      <c r="C259" s="448" t="s">
        <v>1104</v>
      </c>
      <c r="D259" s="449" t="s">
        <v>1099</v>
      </c>
      <c r="E259" s="450" t="s">
        <v>386</v>
      </c>
      <c r="F259" s="451">
        <v>156268057</v>
      </c>
      <c r="G259" s="451">
        <v>0</v>
      </c>
      <c r="H259" s="451">
        <v>1321488</v>
      </c>
      <c r="I259" s="451">
        <v>655771</v>
      </c>
      <c r="J259" s="451">
        <v>0</v>
      </c>
      <c r="K259" s="451">
        <v>655771</v>
      </c>
      <c r="L259" s="451">
        <v>0</v>
      </c>
      <c r="M259" s="451">
        <v>0</v>
      </c>
      <c r="N259" s="451">
        <v>0</v>
      </c>
      <c r="O259" s="451">
        <v>0</v>
      </c>
      <c r="P259" s="451">
        <v>0</v>
      </c>
      <c r="Q259" s="451">
        <v>0</v>
      </c>
      <c r="R259" s="451">
        <v>154290798</v>
      </c>
      <c r="S259" s="452" t="s">
        <v>386</v>
      </c>
      <c r="T259" s="453" t="s">
        <v>786</v>
      </c>
      <c r="U259" s="453" t="s">
        <v>774</v>
      </c>
      <c r="V259" s="324"/>
      <c r="W259" s="325"/>
    </row>
    <row r="260" spans="1:23" s="197" customFormat="1" ht="12.75" x14ac:dyDescent="0.2">
      <c r="A260" s="446">
        <v>253</v>
      </c>
      <c r="B260" s="447" t="s">
        <v>389</v>
      </c>
      <c r="C260" s="448" t="s">
        <v>1093</v>
      </c>
      <c r="D260" s="449" t="s">
        <v>1094</v>
      </c>
      <c r="E260" s="450" t="s">
        <v>388</v>
      </c>
      <c r="F260" s="451">
        <v>37679584</v>
      </c>
      <c r="G260" s="451">
        <v>171644</v>
      </c>
      <c r="H260" s="451">
        <v>0</v>
      </c>
      <c r="I260" s="451">
        <v>132328</v>
      </c>
      <c r="J260" s="451">
        <v>0</v>
      </c>
      <c r="K260" s="451">
        <v>132328</v>
      </c>
      <c r="L260" s="451">
        <v>0</v>
      </c>
      <c r="M260" s="451">
        <v>0</v>
      </c>
      <c r="N260" s="451">
        <v>0</v>
      </c>
      <c r="O260" s="451">
        <v>0</v>
      </c>
      <c r="P260" s="451">
        <v>0</v>
      </c>
      <c r="Q260" s="451">
        <v>0</v>
      </c>
      <c r="R260" s="451">
        <v>37718900</v>
      </c>
      <c r="S260" s="452" t="s">
        <v>388</v>
      </c>
      <c r="T260" s="453" t="s">
        <v>831</v>
      </c>
      <c r="U260" s="454" t="s">
        <v>775</v>
      </c>
      <c r="V260" s="324"/>
      <c r="W260" s="325"/>
    </row>
    <row r="261" spans="1:23" s="197" customFormat="1" ht="12.75" x14ac:dyDescent="0.2">
      <c r="A261" s="446">
        <v>254</v>
      </c>
      <c r="B261" s="447" t="s">
        <v>391</v>
      </c>
      <c r="C261" s="448" t="s">
        <v>1093</v>
      </c>
      <c r="D261" s="449" t="s">
        <v>1097</v>
      </c>
      <c r="E261" s="450" t="s">
        <v>390</v>
      </c>
      <c r="F261" s="451">
        <v>58500476</v>
      </c>
      <c r="G261" s="451">
        <v>0</v>
      </c>
      <c r="H261" s="451">
        <v>134339</v>
      </c>
      <c r="I261" s="451">
        <v>197970</v>
      </c>
      <c r="J261" s="451">
        <v>0</v>
      </c>
      <c r="K261" s="451">
        <v>197970</v>
      </c>
      <c r="L261" s="451">
        <v>0</v>
      </c>
      <c r="M261" s="451">
        <v>0</v>
      </c>
      <c r="N261" s="451">
        <v>0</v>
      </c>
      <c r="O261" s="451">
        <v>0</v>
      </c>
      <c r="P261" s="451">
        <v>0</v>
      </c>
      <c r="Q261" s="451">
        <v>0</v>
      </c>
      <c r="R261" s="451">
        <v>58168167</v>
      </c>
      <c r="S261" s="452" t="s">
        <v>390</v>
      </c>
      <c r="T261" s="453" t="s">
        <v>812</v>
      </c>
      <c r="U261" s="454" t="s">
        <v>775</v>
      </c>
      <c r="V261" s="324"/>
      <c r="W261" s="325"/>
    </row>
    <row r="262" spans="1:23" s="197" customFormat="1" ht="12.75" x14ac:dyDescent="0.2">
      <c r="A262" s="446">
        <v>255</v>
      </c>
      <c r="B262" s="447" t="s">
        <v>393</v>
      </c>
      <c r="C262" s="448" t="s">
        <v>1093</v>
      </c>
      <c r="D262" s="449" t="s">
        <v>1097</v>
      </c>
      <c r="E262" s="450" t="s">
        <v>392</v>
      </c>
      <c r="F262" s="451">
        <v>43779016</v>
      </c>
      <c r="G262" s="451">
        <v>0</v>
      </c>
      <c r="H262" s="451">
        <v>13178</v>
      </c>
      <c r="I262" s="451">
        <v>164145</v>
      </c>
      <c r="J262" s="451">
        <v>0</v>
      </c>
      <c r="K262" s="451">
        <v>164145</v>
      </c>
      <c r="L262" s="451">
        <v>0</v>
      </c>
      <c r="M262" s="451">
        <v>0</v>
      </c>
      <c r="N262" s="451">
        <v>0</v>
      </c>
      <c r="O262" s="451">
        <v>35841</v>
      </c>
      <c r="P262" s="451">
        <v>35841</v>
      </c>
      <c r="Q262" s="451">
        <v>0</v>
      </c>
      <c r="R262" s="451">
        <v>43565852</v>
      </c>
      <c r="S262" s="452" t="s">
        <v>392</v>
      </c>
      <c r="T262" s="453" t="s">
        <v>785</v>
      </c>
      <c r="U262" s="454" t="s">
        <v>775</v>
      </c>
      <c r="V262" s="324"/>
      <c r="W262" s="325"/>
    </row>
    <row r="263" spans="1:23" s="197" customFormat="1" ht="12.75" x14ac:dyDescent="0.2">
      <c r="A263" s="446">
        <v>256</v>
      </c>
      <c r="B263" s="447" t="s">
        <v>395</v>
      </c>
      <c r="C263" s="448" t="s">
        <v>1100</v>
      </c>
      <c r="D263" s="449" t="s">
        <v>1095</v>
      </c>
      <c r="E263" s="450" t="s">
        <v>394</v>
      </c>
      <c r="F263" s="451">
        <v>48452097</v>
      </c>
      <c r="G263" s="451">
        <v>0</v>
      </c>
      <c r="H263" s="451">
        <v>289676</v>
      </c>
      <c r="I263" s="451">
        <v>195142</v>
      </c>
      <c r="J263" s="451">
        <v>0</v>
      </c>
      <c r="K263" s="451">
        <v>195142</v>
      </c>
      <c r="L263" s="451">
        <v>0</v>
      </c>
      <c r="M263" s="451">
        <v>0</v>
      </c>
      <c r="N263" s="451">
        <v>0</v>
      </c>
      <c r="O263" s="451">
        <v>0</v>
      </c>
      <c r="P263" s="451">
        <v>0</v>
      </c>
      <c r="Q263" s="451">
        <v>0</v>
      </c>
      <c r="R263" s="451">
        <v>47967279</v>
      </c>
      <c r="S263" s="452" t="s">
        <v>394</v>
      </c>
      <c r="T263" s="453" t="s">
        <v>787</v>
      </c>
      <c r="U263" s="454" t="s">
        <v>838</v>
      </c>
      <c r="V263" s="324"/>
      <c r="W263" s="325"/>
    </row>
    <row r="264" spans="1:23" s="197" customFormat="1" ht="12.75" x14ac:dyDescent="0.2">
      <c r="A264" s="446">
        <v>257</v>
      </c>
      <c r="B264" s="447" t="s">
        <v>397</v>
      </c>
      <c r="C264" s="448" t="s">
        <v>1093</v>
      </c>
      <c r="D264" s="449" t="s">
        <v>1103</v>
      </c>
      <c r="E264" s="450" t="s">
        <v>396</v>
      </c>
      <c r="F264" s="451">
        <v>41994468</v>
      </c>
      <c r="G264" s="451">
        <v>0</v>
      </c>
      <c r="H264" s="451">
        <v>32202</v>
      </c>
      <c r="I264" s="451">
        <v>172645</v>
      </c>
      <c r="J264" s="451">
        <v>0</v>
      </c>
      <c r="K264" s="451">
        <v>172645</v>
      </c>
      <c r="L264" s="451">
        <v>0</v>
      </c>
      <c r="M264" s="451">
        <v>0</v>
      </c>
      <c r="N264" s="451">
        <v>0</v>
      </c>
      <c r="O264" s="451">
        <v>0</v>
      </c>
      <c r="P264" s="451">
        <v>0</v>
      </c>
      <c r="Q264" s="451">
        <v>0</v>
      </c>
      <c r="R264" s="451">
        <v>41789621</v>
      </c>
      <c r="S264" s="452" t="s">
        <v>396</v>
      </c>
      <c r="T264" s="453" t="s">
        <v>816</v>
      </c>
      <c r="U264" s="454" t="s">
        <v>817</v>
      </c>
      <c r="V264" s="324"/>
      <c r="W264" s="325"/>
    </row>
    <row r="265" spans="1:23" s="197" customFormat="1" ht="12.75" x14ac:dyDescent="0.2">
      <c r="A265" s="446">
        <v>258</v>
      </c>
      <c r="B265" s="447" t="s">
        <v>399</v>
      </c>
      <c r="C265" s="448" t="s">
        <v>1093</v>
      </c>
      <c r="D265" s="449" t="s">
        <v>1103</v>
      </c>
      <c r="E265" s="450" t="s">
        <v>398</v>
      </c>
      <c r="F265" s="451">
        <v>17284333</v>
      </c>
      <c r="G265" s="451">
        <v>29872</v>
      </c>
      <c r="H265" s="451">
        <v>0</v>
      </c>
      <c r="I265" s="451">
        <v>116953</v>
      </c>
      <c r="J265" s="451">
        <v>0</v>
      </c>
      <c r="K265" s="451">
        <v>116953</v>
      </c>
      <c r="L265" s="451">
        <v>0</v>
      </c>
      <c r="M265" s="451">
        <v>0</v>
      </c>
      <c r="N265" s="451">
        <v>0</v>
      </c>
      <c r="O265" s="451">
        <v>0</v>
      </c>
      <c r="P265" s="451">
        <v>0</v>
      </c>
      <c r="Q265" s="451">
        <v>0</v>
      </c>
      <c r="R265" s="451">
        <v>17197252</v>
      </c>
      <c r="S265" s="452" t="s">
        <v>398</v>
      </c>
      <c r="T265" s="453" t="s">
        <v>816</v>
      </c>
      <c r="U265" s="454" t="s">
        <v>817</v>
      </c>
      <c r="V265" s="324"/>
      <c r="W265" s="325"/>
    </row>
    <row r="266" spans="1:23" s="197" customFormat="1" ht="12.75" x14ac:dyDescent="0.2">
      <c r="A266" s="446">
        <v>259</v>
      </c>
      <c r="B266" s="447" t="s">
        <v>401</v>
      </c>
      <c r="C266" s="448" t="s">
        <v>1093</v>
      </c>
      <c r="D266" s="449" t="s">
        <v>1097</v>
      </c>
      <c r="E266" s="450" t="s">
        <v>400</v>
      </c>
      <c r="F266" s="451">
        <v>44638657</v>
      </c>
      <c r="G266" s="451">
        <v>0</v>
      </c>
      <c r="H266" s="451">
        <v>432364</v>
      </c>
      <c r="I266" s="451">
        <v>113077</v>
      </c>
      <c r="J266" s="451">
        <v>0</v>
      </c>
      <c r="K266" s="451">
        <v>113077</v>
      </c>
      <c r="L266" s="451">
        <v>0</v>
      </c>
      <c r="M266" s="451">
        <v>0</v>
      </c>
      <c r="N266" s="451">
        <v>0</v>
      </c>
      <c r="O266" s="451">
        <v>0</v>
      </c>
      <c r="P266" s="451">
        <v>0</v>
      </c>
      <c r="Q266" s="451">
        <v>0</v>
      </c>
      <c r="R266" s="451">
        <v>44093216</v>
      </c>
      <c r="S266" s="452" t="s">
        <v>400</v>
      </c>
      <c r="T266" s="453" t="s">
        <v>812</v>
      </c>
      <c r="U266" s="454" t="s">
        <v>775</v>
      </c>
      <c r="V266" s="324"/>
      <c r="W266" s="325"/>
    </row>
    <row r="267" spans="1:23" s="197" customFormat="1" ht="12.75" x14ac:dyDescent="0.2">
      <c r="A267" s="446">
        <v>260</v>
      </c>
      <c r="B267" s="447" t="s">
        <v>403</v>
      </c>
      <c r="C267" s="448" t="s">
        <v>1100</v>
      </c>
      <c r="D267" s="449" t="s">
        <v>1095</v>
      </c>
      <c r="E267" s="450" t="s">
        <v>402</v>
      </c>
      <c r="F267" s="451">
        <v>85207107</v>
      </c>
      <c r="G267" s="451">
        <v>0</v>
      </c>
      <c r="H267" s="451">
        <v>741246</v>
      </c>
      <c r="I267" s="451">
        <v>429417</v>
      </c>
      <c r="J267" s="451">
        <v>0</v>
      </c>
      <c r="K267" s="451">
        <v>429417</v>
      </c>
      <c r="L267" s="451">
        <v>0</v>
      </c>
      <c r="M267" s="451">
        <v>0</v>
      </c>
      <c r="N267" s="451">
        <v>0</v>
      </c>
      <c r="O267" s="451">
        <v>0</v>
      </c>
      <c r="P267" s="451">
        <v>0</v>
      </c>
      <c r="Q267" s="451">
        <v>0</v>
      </c>
      <c r="R267" s="451">
        <v>84036444</v>
      </c>
      <c r="S267" s="452" t="s">
        <v>402</v>
      </c>
      <c r="T267" s="453" t="s">
        <v>787</v>
      </c>
      <c r="U267" s="454" t="s">
        <v>801</v>
      </c>
      <c r="V267" s="324"/>
      <c r="W267" s="325"/>
    </row>
    <row r="268" spans="1:23" s="197" customFormat="1" ht="12.75" x14ac:dyDescent="0.2">
      <c r="A268" s="446">
        <v>261</v>
      </c>
      <c r="B268" s="447" t="s">
        <v>405</v>
      </c>
      <c r="C268" s="448" t="s">
        <v>794</v>
      </c>
      <c r="D268" s="449" t="s">
        <v>1105</v>
      </c>
      <c r="E268" s="450" t="s">
        <v>747</v>
      </c>
      <c r="F268" s="451">
        <v>77472474</v>
      </c>
      <c r="G268" s="451">
        <v>0</v>
      </c>
      <c r="H268" s="451">
        <v>521430</v>
      </c>
      <c r="I268" s="451">
        <v>236341</v>
      </c>
      <c r="J268" s="451">
        <v>0</v>
      </c>
      <c r="K268" s="451">
        <v>236341</v>
      </c>
      <c r="L268" s="451">
        <v>0</v>
      </c>
      <c r="M268" s="451">
        <v>0</v>
      </c>
      <c r="N268" s="451">
        <v>0</v>
      </c>
      <c r="O268" s="451">
        <v>0</v>
      </c>
      <c r="P268" s="451">
        <v>0</v>
      </c>
      <c r="Q268" s="451">
        <v>0</v>
      </c>
      <c r="R268" s="451">
        <v>76714703</v>
      </c>
      <c r="S268" s="452" t="s">
        <v>747</v>
      </c>
      <c r="T268" s="453" t="s">
        <v>794</v>
      </c>
      <c r="U268" s="454" t="s">
        <v>833</v>
      </c>
      <c r="V268" s="324"/>
      <c r="W268" s="325"/>
    </row>
    <row r="269" spans="1:23" s="197" customFormat="1" ht="12.75" x14ac:dyDescent="0.2">
      <c r="A269" s="446">
        <v>262</v>
      </c>
      <c r="B269" s="447" t="s">
        <v>407</v>
      </c>
      <c r="C269" s="448" t="s">
        <v>794</v>
      </c>
      <c r="D269" s="449" t="s">
        <v>1103</v>
      </c>
      <c r="E269" s="450" t="s">
        <v>748</v>
      </c>
      <c r="F269" s="451">
        <v>75786834</v>
      </c>
      <c r="G269" s="451">
        <v>0</v>
      </c>
      <c r="H269" s="451">
        <v>545795</v>
      </c>
      <c r="I269" s="451">
        <v>366370</v>
      </c>
      <c r="J269" s="451">
        <v>0</v>
      </c>
      <c r="K269" s="451">
        <v>366370</v>
      </c>
      <c r="L269" s="451">
        <v>0</v>
      </c>
      <c r="M269" s="451">
        <v>0</v>
      </c>
      <c r="N269" s="451">
        <v>0</v>
      </c>
      <c r="O269" s="451">
        <v>0</v>
      </c>
      <c r="P269" s="451">
        <v>0</v>
      </c>
      <c r="Q269" s="451">
        <v>0</v>
      </c>
      <c r="R269" s="451">
        <v>74874669</v>
      </c>
      <c r="S269" s="452" t="s">
        <v>748</v>
      </c>
      <c r="T269" s="453" t="s">
        <v>794</v>
      </c>
      <c r="U269" s="454" t="s">
        <v>817</v>
      </c>
      <c r="V269" s="324"/>
      <c r="W269" s="325"/>
    </row>
    <row r="270" spans="1:23" s="197" customFormat="1" ht="12.75" x14ac:dyDescent="0.2">
      <c r="A270" s="446">
        <v>263</v>
      </c>
      <c r="B270" s="447" t="s">
        <v>409</v>
      </c>
      <c r="C270" s="448" t="s">
        <v>1093</v>
      </c>
      <c r="D270" s="449" t="s">
        <v>1103</v>
      </c>
      <c r="E270" s="450" t="s">
        <v>408</v>
      </c>
      <c r="F270" s="451">
        <v>48693149</v>
      </c>
      <c r="G270" s="451">
        <v>153640</v>
      </c>
      <c r="H270" s="451">
        <v>0</v>
      </c>
      <c r="I270" s="451">
        <v>217406</v>
      </c>
      <c r="J270" s="451">
        <v>0</v>
      </c>
      <c r="K270" s="451">
        <v>217406</v>
      </c>
      <c r="L270" s="451">
        <v>0</v>
      </c>
      <c r="M270" s="451">
        <v>0</v>
      </c>
      <c r="N270" s="451">
        <v>0</v>
      </c>
      <c r="O270" s="451">
        <v>0</v>
      </c>
      <c r="P270" s="451">
        <v>0</v>
      </c>
      <c r="Q270" s="451">
        <v>0</v>
      </c>
      <c r="R270" s="451">
        <v>48629383</v>
      </c>
      <c r="S270" s="452" t="s">
        <v>408</v>
      </c>
      <c r="T270" s="453" t="s">
        <v>840</v>
      </c>
      <c r="U270" s="454" t="s">
        <v>775</v>
      </c>
      <c r="V270" s="324"/>
      <c r="W270" s="325"/>
    </row>
    <row r="271" spans="1:23" s="197" customFormat="1" ht="12.75" x14ac:dyDescent="0.2">
      <c r="A271" s="446">
        <v>264</v>
      </c>
      <c r="B271" s="447" t="s">
        <v>411</v>
      </c>
      <c r="C271" s="448" t="s">
        <v>1093</v>
      </c>
      <c r="D271" s="449" t="s">
        <v>1102</v>
      </c>
      <c r="E271" s="450" t="s">
        <v>410</v>
      </c>
      <c r="F271" s="451">
        <v>23464628</v>
      </c>
      <c r="G271" s="451">
        <v>0</v>
      </c>
      <c r="H271" s="451">
        <v>181189</v>
      </c>
      <c r="I271" s="451">
        <v>157553</v>
      </c>
      <c r="J271" s="451">
        <v>0</v>
      </c>
      <c r="K271" s="451">
        <v>157553</v>
      </c>
      <c r="L271" s="451">
        <v>0</v>
      </c>
      <c r="M271" s="451">
        <v>0</v>
      </c>
      <c r="N271" s="451">
        <v>0</v>
      </c>
      <c r="O271" s="451">
        <v>550</v>
      </c>
      <c r="P271" s="451">
        <v>550</v>
      </c>
      <c r="Q271" s="451">
        <v>0</v>
      </c>
      <c r="R271" s="451">
        <v>23125336</v>
      </c>
      <c r="S271" s="452" t="s">
        <v>410</v>
      </c>
      <c r="T271" s="453" t="s">
        <v>818</v>
      </c>
      <c r="U271" s="454" t="s">
        <v>775</v>
      </c>
      <c r="V271" s="324"/>
      <c r="W271" s="325"/>
    </row>
    <row r="272" spans="1:23" s="197" customFormat="1" ht="12.75" x14ac:dyDescent="0.2">
      <c r="A272" s="446">
        <v>265</v>
      </c>
      <c r="B272" s="447" t="s">
        <v>413</v>
      </c>
      <c r="C272" s="448" t="s">
        <v>1093</v>
      </c>
      <c r="D272" s="449" t="s">
        <v>1097</v>
      </c>
      <c r="E272" s="450" t="s">
        <v>412</v>
      </c>
      <c r="F272" s="451">
        <v>30396989</v>
      </c>
      <c r="G272" s="451">
        <v>18701887</v>
      </c>
      <c r="H272" s="451">
        <v>0</v>
      </c>
      <c r="I272" s="451">
        <v>277838</v>
      </c>
      <c r="J272" s="451">
        <v>0</v>
      </c>
      <c r="K272" s="451">
        <v>277838</v>
      </c>
      <c r="L272" s="451">
        <v>0</v>
      </c>
      <c r="M272" s="451">
        <v>0</v>
      </c>
      <c r="N272" s="451">
        <v>0</v>
      </c>
      <c r="O272" s="451">
        <v>0</v>
      </c>
      <c r="P272" s="451">
        <v>0</v>
      </c>
      <c r="Q272" s="451">
        <v>0</v>
      </c>
      <c r="R272" s="451">
        <v>48821038</v>
      </c>
      <c r="S272" s="452" t="s">
        <v>412</v>
      </c>
      <c r="T272" s="453" t="s">
        <v>785</v>
      </c>
      <c r="U272" s="454" t="s">
        <v>775</v>
      </c>
      <c r="V272" s="324" t="s">
        <v>1120</v>
      </c>
      <c r="W272" s="325"/>
    </row>
    <row r="273" spans="1:23" s="197" customFormat="1" ht="12.75" x14ac:dyDescent="0.2">
      <c r="A273" s="446">
        <v>266</v>
      </c>
      <c r="B273" s="447" t="s">
        <v>415</v>
      </c>
      <c r="C273" s="448" t="s">
        <v>1100</v>
      </c>
      <c r="D273" s="449" t="s">
        <v>1105</v>
      </c>
      <c r="E273" s="450" t="s">
        <v>414</v>
      </c>
      <c r="F273" s="451">
        <v>81137988</v>
      </c>
      <c r="G273" s="451">
        <v>0</v>
      </c>
      <c r="H273" s="451">
        <v>44993</v>
      </c>
      <c r="I273" s="451">
        <v>333443</v>
      </c>
      <c r="J273" s="451">
        <v>0</v>
      </c>
      <c r="K273" s="451">
        <v>333443</v>
      </c>
      <c r="L273" s="451">
        <v>0</v>
      </c>
      <c r="M273" s="451">
        <v>570350</v>
      </c>
      <c r="N273" s="451">
        <v>0</v>
      </c>
      <c r="O273" s="451">
        <v>0</v>
      </c>
      <c r="P273" s="451">
        <v>0</v>
      </c>
      <c r="Q273" s="451">
        <v>0</v>
      </c>
      <c r="R273" s="451">
        <v>80189202</v>
      </c>
      <c r="S273" s="452" t="s">
        <v>414</v>
      </c>
      <c r="T273" s="453" t="s">
        <v>787</v>
      </c>
      <c r="U273" s="454" t="s">
        <v>832</v>
      </c>
      <c r="V273" s="324"/>
      <c r="W273" s="325"/>
    </row>
    <row r="274" spans="1:23" s="197" customFormat="1" ht="12.75" x14ac:dyDescent="0.2">
      <c r="A274" s="446">
        <v>267</v>
      </c>
      <c r="B274" s="447" t="s">
        <v>417</v>
      </c>
      <c r="C274" s="448" t="s">
        <v>1093</v>
      </c>
      <c r="D274" s="449" t="s">
        <v>1094</v>
      </c>
      <c r="E274" s="450" t="s">
        <v>416</v>
      </c>
      <c r="F274" s="451">
        <v>33100484</v>
      </c>
      <c r="G274" s="451">
        <v>0</v>
      </c>
      <c r="H274" s="451">
        <v>1185063</v>
      </c>
      <c r="I274" s="451">
        <v>122476</v>
      </c>
      <c r="J274" s="451">
        <v>0</v>
      </c>
      <c r="K274" s="451">
        <v>122476</v>
      </c>
      <c r="L274" s="451">
        <v>0</v>
      </c>
      <c r="M274" s="451">
        <v>0</v>
      </c>
      <c r="N274" s="451">
        <v>0</v>
      </c>
      <c r="O274" s="451">
        <v>0</v>
      </c>
      <c r="P274" s="451">
        <v>0</v>
      </c>
      <c r="Q274" s="451">
        <v>0</v>
      </c>
      <c r="R274" s="451">
        <v>31792945</v>
      </c>
      <c r="S274" s="452" t="s">
        <v>416</v>
      </c>
      <c r="T274" s="453" t="s">
        <v>831</v>
      </c>
      <c r="U274" s="454" t="s">
        <v>775</v>
      </c>
      <c r="V274" s="324"/>
      <c r="W274" s="325"/>
    </row>
    <row r="275" spans="1:23" s="197" customFormat="1" ht="12.75" x14ac:dyDescent="0.2">
      <c r="A275" s="446">
        <v>268</v>
      </c>
      <c r="B275" s="447" t="s">
        <v>419</v>
      </c>
      <c r="C275" s="448" t="s">
        <v>1098</v>
      </c>
      <c r="D275" s="449" t="s">
        <v>1099</v>
      </c>
      <c r="E275" s="450" t="s">
        <v>418</v>
      </c>
      <c r="F275" s="451">
        <v>48020400</v>
      </c>
      <c r="G275" s="451">
        <v>0</v>
      </c>
      <c r="H275" s="451">
        <v>1117984</v>
      </c>
      <c r="I275" s="451">
        <v>209603</v>
      </c>
      <c r="J275" s="451">
        <v>0</v>
      </c>
      <c r="K275" s="451">
        <v>209603</v>
      </c>
      <c r="L275" s="451">
        <v>0</v>
      </c>
      <c r="M275" s="451">
        <v>0</v>
      </c>
      <c r="N275" s="451">
        <v>0</v>
      </c>
      <c r="O275" s="451">
        <v>0</v>
      </c>
      <c r="P275" s="451">
        <v>0</v>
      </c>
      <c r="Q275" s="451">
        <v>0</v>
      </c>
      <c r="R275" s="451">
        <v>46692813</v>
      </c>
      <c r="S275" s="452" t="s">
        <v>418</v>
      </c>
      <c r="T275" s="453" t="s">
        <v>786</v>
      </c>
      <c r="U275" s="453" t="s">
        <v>774</v>
      </c>
      <c r="V275" s="324"/>
      <c r="W275" s="325"/>
    </row>
    <row r="276" spans="1:23" s="197" customFormat="1" ht="12.75" x14ac:dyDescent="0.2">
      <c r="A276" s="446">
        <v>269</v>
      </c>
      <c r="B276" s="447" t="s">
        <v>421</v>
      </c>
      <c r="C276" s="448" t="s">
        <v>1093</v>
      </c>
      <c r="D276" s="449" t="s">
        <v>1094</v>
      </c>
      <c r="E276" s="450" t="s">
        <v>420</v>
      </c>
      <c r="F276" s="451">
        <v>39058156</v>
      </c>
      <c r="G276" s="451">
        <v>0</v>
      </c>
      <c r="H276" s="451">
        <v>145434</v>
      </c>
      <c r="I276" s="451">
        <v>176909</v>
      </c>
      <c r="J276" s="451">
        <v>0</v>
      </c>
      <c r="K276" s="451">
        <v>176909</v>
      </c>
      <c r="L276" s="451">
        <v>0</v>
      </c>
      <c r="M276" s="451">
        <v>0</v>
      </c>
      <c r="N276" s="451">
        <v>0</v>
      </c>
      <c r="O276" s="451">
        <v>0</v>
      </c>
      <c r="P276" s="451">
        <v>0</v>
      </c>
      <c r="Q276" s="451">
        <v>0</v>
      </c>
      <c r="R276" s="451">
        <v>38735813</v>
      </c>
      <c r="S276" s="452" t="s">
        <v>420</v>
      </c>
      <c r="T276" s="453" t="s">
        <v>781</v>
      </c>
      <c r="U276" s="454" t="s">
        <v>782</v>
      </c>
      <c r="V276" s="324"/>
      <c r="W276" s="325"/>
    </row>
    <row r="277" spans="1:23" s="197" customFormat="1" ht="12.75" x14ac:dyDescent="0.2">
      <c r="A277" s="446">
        <v>270</v>
      </c>
      <c r="B277" s="447" t="s">
        <v>423</v>
      </c>
      <c r="C277" s="448" t="s">
        <v>794</v>
      </c>
      <c r="D277" s="449" t="s">
        <v>1102</v>
      </c>
      <c r="E277" s="450" t="s">
        <v>749</v>
      </c>
      <c r="F277" s="451">
        <v>100356885</v>
      </c>
      <c r="G277" s="451">
        <v>0</v>
      </c>
      <c r="H277" s="451">
        <v>3088743</v>
      </c>
      <c r="I277" s="451">
        <v>273630</v>
      </c>
      <c r="J277" s="451">
        <v>0</v>
      </c>
      <c r="K277" s="451">
        <v>273630</v>
      </c>
      <c r="L277" s="451">
        <v>0</v>
      </c>
      <c r="M277" s="451">
        <v>0</v>
      </c>
      <c r="N277" s="451">
        <v>0</v>
      </c>
      <c r="O277" s="451">
        <v>0</v>
      </c>
      <c r="P277" s="451">
        <v>0</v>
      </c>
      <c r="Q277" s="451">
        <v>0</v>
      </c>
      <c r="R277" s="451">
        <v>96994512</v>
      </c>
      <c r="S277" s="452" t="s">
        <v>749</v>
      </c>
      <c r="T277" s="453" t="s">
        <v>794</v>
      </c>
      <c r="U277" s="454" t="s">
        <v>843</v>
      </c>
      <c r="V277" s="324"/>
      <c r="W277" s="325"/>
    </row>
    <row r="278" spans="1:23" s="197" customFormat="1" ht="12.75" x14ac:dyDescent="0.2">
      <c r="A278" s="446">
        <v>271</v>
      </c>
      <c r="B278" s="447" t="s">
        <v>425</v>
      </c>
      <c r="C278" s="448" t="s">
        <v>1100</v>
      </c>
      <c r="D278" s="449" t="s">
        <v>1095</v>
      </c>
      <c r="E278" s="450" t="s">
        <v>424</v>
      </c>
      <c r="F278" s="451">
        <v>53481640</v>
      </c>
      <c r="G278" s="451">
        <v>0</v>
      </c>
      <c r="H278" s="451">
        <v>566369</v>
      </c>
      <c r="I278" s="451">
        <v>300092</v>
      </c>
      <c r="J278" s="451">
        <v>0</v>
      </c>
      <c r="K278" s="451">
        <v>300092</v>
      </c>
      <c r="L278" s="451">
        <v>0</v>
      </c>
      <c r="M278" s="451">
        <v>0</v>
      </c>
      <c r="N278" s="451">
        <v>0</v>
      </c>
      <c r="O278" s="451">
        <v>0</v>
      </c>
      <c r="P278" s="451">
        <v>0</v>
      </c>
      <c r="Q278" s="451">
        <v>0</v>
      </c>
      <c r="R278" s="451">
        <v>52615179</v>
      </c>
      <c r="S278" s="452" t="s">
        <v>424</v>
      </c>
      <c r="T278" s="453" t="s">
        <v>787</v>
      </c>
      <c r="U278" s="454" t="s">
        <v>801</v>
      </c>
      <c r="V278" s="324"/>
      <c r="W278" s="325"/>
    </row>
    <row r="279" spans="1:23" s="197" customFormat="1" ht="12.75" x14ac:dyDescent="0.2">
      <c r="A279" s="446">
        <v>272</v>
      </c>
      <c r="B279" s="447" t="s">
        <v>427</v>
      </c>
      <c r="C279" s="448" t="s">
        <v>1093</v>
      </c>
      <c r="D279" s="449" t="s">
        <v>1103</v>
      </c>
      <c r="E279" s="450" t="s">
        <v>426</v>
      </c>
      <c r="F279" s="451">
        <v>31923748</v>
      </c>
      <c r="G279" s="451">
        <v>0</v>
      </c>
      <c r="H279" s="451">
        <v>98245</v>
      </c>
      <c r="I279" s="451">
        <v>92458</v>
      </c>
      <c r="J279" s="451">
        <v>0</v>
      </c>
      <c r="K279" s="451">
        <v>92458</v>
      </c>
      <c r="L279" s="451">
        <v>0</v>
      </c>
      <c r="M279" s="451">
        <v>0</v>
      </c>
      <c r="N279" s="451">
        <v>0</v>
      </c>
      <c r="O279" s="451">
        <v>0</v>
      </c>
      <c r="P279" s="451">
        <v>0</v>
      </c>
      <c r="Q279" s="451">
        <v>0</v>
      </c>
      <c r="R279" s="451">
        <v>31733045</v>
      </c>
      <c r="S279" s="452" t="s">
        <v>426</v>
      </c>
      <c r="T279" s="453" t="s">
        <v>816</v>
      </c>
      <c r="U279" s="454" t="s">
        <v>817</v>
      </c>
      <c r="V279" s="324"/>
      <c r="W279" s="325"/>
    </row>
    <row r="280" spans="1:23" s="197" customFormat="1" ht="12.75" x14ac:dyDescent="0.2">
      <c r="A280" s="446">
        <v>273</v>
      </c>
      <c r="B280" s="447" t="s">
        <v>429</v>
      </c>
      <c r="C280" s="448" t="s">
        <v>1093</v>
      </c>
      <c r="D280" s="449" t="s">
        <v>1094</v>
      </c>
      <c r="E280" s="450" t="s">
        <v>428</v>
      </c>
      <c r="F280" s="451">
        <v>19236779</v>
      </c>
      <c r="G280" s="451">
        <v>52310</v>
      </c>
      <c r="H280" s="451">
        <v>0</v>
      </c>
      <c r="I280" s="451">
        <v>129595</v>
      </c>
      <c r="J280" s="451">
        <v>0</v>
      </c>
      <c r="K280" s="451">
        <v>129595</v>
      </c>
      <c r="L280" s="451">
        <v>0</v>
      </c>
      <c r="M280" s="451">
        <v>0</v>
      </c>
      <c r="N280" s="451">
        <v>0</v>
      </c>
      <c r="O280" s="451">
        <v>0</v>
      </c>
      <c r="P280" s="451">
        <v>0</v>
      </c>
      <c r="Q280" s="451">
        <v>0</v>
      </c>
      <c r="R280" s="451">
        <v>19159494</v>
      </c>
      <c r="S280" s="452" t="s">
        <v>428</v>
      </c>
      <c r="T280" s="453" t="s">
        <v>831</v>
      </c>
      <c r="U280" s="454" t="s">
        <v>775</v>
      </c>
      <c r="V280" s="324"/>
      <c r="W280" s="325"/>
    </row>
    <row r="281" spans="1:23" s="197" customFormat="1" ht="12.75" x14ac:dyDescent="0.2">
      <c r="A281" s="446">
        <v>274</v>
      </c>
      <c r="B281" s="447" t="s">
        <v>431</v>
      </c>
      <c r="C281" s="448" t="s">
        <v>1093</v>
      </c>
      <c r="D281" s="449" t="s">
        <v>1102</v>
      </c>
      <c r="E281" s="450" t="s">
        <v>430</v>
      </c>
      <c r="F281" s="451">
        <v>35881626</v>
      </c>
      <c r="G281" s="451">
        <v>0</v>
      </c>
      <c r="H281" s="451">
        <v>72193</v>
      </c>
      <c r="I281" s="451">
        <v>163257</v>
      </c>
      <c r="J281" s="451">
        <v>0</v>
      </c>
      <c r="K281" s="451">
        <v>163257</v>
      </c>
      <c r="L281" s="451">
        <v>0</v>
      </c>
      <c r="M281" s="451">
        <v>0</v>
      </c>
      <c r="N281" s="451">
        <v>0</v>
      </c>
      <c r="O281" s="451">
        <v>29894</v>
      </c>
      <c r="P281" s="451">
        <v>29894</v>
      </c>
      <c r="Q281" s="451">
        <v>0</v>
      </c>
      <c r="R281" s="451">
        <v>35616282</v>
      </c>
      <c r="S281" s="452" t="s">
        <v>430</v>
      </c>
      <c r="T281" s="453" t="s">
        <v>839</v>
      </c>
      <c r="U281" s="454" t="s">
        <v>828</v>
      </c>
      <c r="V281" s="324"/>
      <c r="W281" s="325"/>
    </row>
    <row r="282" spans="1:23" s="197" customFormat="1" ht="12.75" x14ac:dyDescent="0.2">
      <c r="A282" s="446">
        <v>275</v>
      </c>
      <c r="B282" s="447" t="s">
        <v>433</v>
      </c>
      <c r="C282" s="448" t="s">
        <v>1093</v>
      </c>
      <c r="D282" s="449" t="s">
        <v>1102</v>
      </c>
      <c r="E282" s="450" t="s">
        <v>432</v>
      </c>
      <c r="F282" s="451">
        <v>30184941</v>
      </c>
      <c r="G282" s="451">
        <v>111169</v>
      </c>
      <c r="H282" s="451">
        <v>0</v>
      </c>
      <c r="I282" s="451">
        <v>193085</v>
      </c>
      <c r="J282" s="451">
        <v>0</v>
      </c>
      <c r="K282" s="451">
        <v>193085</v>
      </c>
      <c r="L282" s="451">
        <v>0</v>
      </c>
      <c r="M282" s="451">
        <v>0</v>
      </c>
      <c r="N282" s="451">
        <v>0</v>
      </c>
      <c r="O282" s="451">
        <v>0</v>
      </c>
      <c r="P282" s="451">
        <v>0</v>
      </c>
      <c r="Q282" s="451">
        <v>0</v>
      </c>
      <c r="R282" s="451">
        <v>30103025</v>
      </c>
      <c r="S282" s="452" t="s">
        <v>432</v>
      </c>
      <c r="T282" s="453" t="s">
        <v>827</v>
      </c>
      <c r="U282" s="454" t="s">
        <v>828</v>
      </c>
      <c r="V282" s="324"/>
      <c r="W282" s="325"/>
    </row>
    <row r="283" spans="1:23" s="197" customFormat="1" ht="12.75" x14ac:dyDescent="0.2">
      <c r="A283" s="446">
        <v>276</v>
      </c>
      <c r="B283" s="447" t="s">
        <v>435</v>
      </c>
      <c r="C283" s="448" t="s">
        <v>794</v>
      </c>
      <c r="D283" s="449" t="s">
        <v>1103</v>
      </c>
      <c r="E283" s="450" t="s">
        <v>750</v>
      </c>
      <c r="F283" s="451">
        <v>63042586</v>
      </c>
      <c r="G283" s="451">
        <v>0</v>
      </c>
      <c r="H283" s="451">
        <v>353192</v>
      </c>
      <c r="I283" s="451">
        <v>212679</v>
      </c>
      <c r="J283" s="451">
        <v>0</v>
      </c>
      <c r="K283" s="451">
        <v>212679</v>
      </c>
      <c r="L283" s="451">
        <v>0</v>
      </c>
      <c r="M283" s="451">
        <v>0</v>
      </c>
      <c r="N283" s="451">
        <v>0</v>
      </c>
      <c r="O283" s="451">
        <v>0</v>
      </c>
      <c r="P283" s="451">
        <v>0</v>
      </c>
      <c r="Q283" s="451">
        <v>0</v>
      </c>
      <c r="R283" s="451">
        <v>62476715</v>
      </c>
      <c r="S283" s="455" t="s">
        <v>750</v>
      </c>
      <c r="T283" s="453" t="s">
        <v>794</v>
      </c>
      <c r="U283" s="454" t="s">
        <v>842</v>
      </c>
      <c r="V283" s="324"/>
      <c r="W283" s="325"/>
    </row>
    <row r="284" spans="1:23" s="197" customFormat="1" ht="12.75" x14ac:dyDescent="0.2">
      <c r="A284" s="446">
        <v>277</v>
      </c>
      <c r="B284" s="447" t="s">
        <v>437</v>
      </c>
      <c r="C284" s="448" t="s">
        <v>1093</v>
      </c>
      <c r="D284" s="449" t="s">
        <v>1097</v>
      </c>
      <c r="E284" s="450" t="s">
        <v>436</v>
      </c>
      <c r="F284" s="451">
        <v>24395207</v>
      </c>
      <c r="G284" s="451">
        <v>0</v>
      </c>
      <c r="H284" s="451">
        <v>13744</v>
      </c>
      <c r="I284" s="451">
        <v>292364</v>
      </c>
      <c r="J284" s="451">
        <v>0</v>
      </c>
      <c r="K284" s="451">
        <v>292364</v>
      </c>
      <c r="L284" s="451">
        <v>0</v>
      </c>
      <c r="M284" s="451">
        <v>0</v>
      </c>
      <c r="N284" s="451">
        <v>0</v>
      </c>
      <c r="O284" s="451">
        <v>54662</v>
      </c>
      <c r="P284" s="451">
        <v>54662</v>
      </c>
      <c r="Q284" s="451">
        <v>0</v>
      </c>
      <c r="R284" s="451">
        <v>24034437</v>
      </c>
      <c r="S284" s="452" t="s">
        <v>436</v>
      </c>
      <c r="T284" s="453" t="s">
        <v>789</v>
      </c>
      <c r="U284" s="454" t="s">
        <v>790</v>
      </c>
      <c r="V284" s="324"/>
      <c r="W284" s="325"/>
    </row>
    <row r="285" spans="1:23" s="197" customFormat="1" ht="12.75" x14ac:dyDescent="0.2">
      <c r="A285" s="446">
        <v>278</v>
      </c>
      <c r="B285" s="447" t="s">
        <v>439</v>
      </c>
      <c r="C285" s="448" t="s">
        <v>1093</v>
      </c>
      <c r="D285" s="449" t="s">
        <v>1094</v>
      </c>
      <c r="E285" s="450" t="s">
        <v>438</v>
      </c>
      <c r="F285" s="451">
        <v>44390895</v>
      </c>
      <c r="G285" s="451">
        <v>0</v>
      </c>
      <c r="H285" s="451">
        <v>166110</v>
      </c>
      <c r="I285" s="451">
        <v>183929</v>
      </c>
      <c r="J285" s="451">
        <v>0</v>
      </c>
      <c r="K285" s="451">
        <v>183929</v>
      </c>
      <c r="L285" s="451">
        <v>0</v>
      </c>
      <c r="M285" s="451">
        <v>0</v>
      </c>
      <c r="N285" s="451">
        <v>0</v>
      </c>
      <c r="O285" s="451">
        <v>0</v>
      </c>
      <c r="P285" s="451">
        <v>0</v>
      </c>
      <c r="Q285" s="451">
        <v>0</v>
      </c>
      <c r="R285" s="451">
        <v>44040856</v>
      </c>
      <c r="S285" s="452" t="s">
        <v>438</v>
      </c>
      <c r="T285" s="453" t="s">
        <v>791</v>
      </c>
      <c r="U285" s="454" t="s">
        <v>792</v>
      </c>
      <c r="V285" s="324"/>
      <c r="W285" s="325"/>
    </row>
    <row r="286" spans="1:23" s="197" customFormat="1" ht="12.75" x14ac:dyDescent="0.2">
      <c r="A286" s="446">
        <v>279</v>
      </c>
      <c r="B286" s="447" t="s">
        <v>441</v>
      </c>
      <c r="C286" s="448" t="s">
        <v>1093</v>
      </c>
      <c r="D286" s="449" t="s">
        <v>1102</v>
      </c>
      <c r="E286" s="450" t="s">
        <v>440</v>
      </c>
      <c r="F286" s="451">
        <v>32551008</v>
      </c>
      <c r="G286" s="451">
        <v>0</v>
      </c>
      <c r="H286" s="451">
        <v>50599</v>
      </c>
      <c r="I286" s="451">
        <v>124701</v>
      </c>
      <c r="J286" s="451">
        <v>0</v>
      </c>
      <c r="K286" s="451">
        <v>124701</v>
      </c>
      <c r="L286" s="451">
        <v>0</v>
      </c>
      <c r="M286" s="451">
        <v>0</v>
      </c>
      <c r="N286" s="451">
        <v>0</v>
      </c>
      <c r="O286" s="451">
        <v>0</v>
      </c>
      <c r="P286" s="451">
        <v>0</v>
      </c>
      <c r="Q286" s="451">
        <v>0</v>
      </c>
      <c r="R286" s="451">
        <v>32375708</v>
      </c>
      <c r="S286" s="452" t="s">
        <v>440</v>
      </c>
      <c r="T286" s="453" t="s">
        <v>818</v>
      </c>
      <c r="U286" s="454" t="s">
        <v>775</v>
      </c>
      <c r="V286" s="324"/>
      <c r="W286" s="325"/>
    </row>
    <row r="287" spans="1:23" s="197" customFormat="1" ht="12.75" x14ac:dyDescent="0.2">
      <c r="A287" s="446">
        <v>280</v>
      </c>
      <c r="B287" s="447" t="s">
        <v>443</v>
      </c>
      <c r="C287" s="448" t="s">
        <v>1093</v>
      </c>
      <c r="D287" s="449" t="s">
        <v>1094</v>
      </c>
      <c r="E287" s="450" t="s">
        <v>442</v>
      </c>
      <c r="F287" s="451">
        <v>30039160</v>
      </c>
      <c r="G287" s="451">
        <v>107891</v>
      </c>
      <c r="H287" s="451">
        <v>0</v>
      </c>
      <c r="I287" s="451">
        <v>191907</v>
      </c>
      <c r="J287" s="451">
        <v>0</v>
      </c>
      <c r="K287" s="451">
        <v>191907</v>
      </c>
      <c r="L287" s="451">
        <v>0</v>
      </c>
      <c r="M287" s="451">
        <v>0</v>
      </c>
      <c r="N287" s="451">
        <v>0</v>
      </c>
      <c r="O287" s="451">
        <v>0</v>
      </c>
      <c r="P287" s="451">
        <v>0</v>
      </c>
      <c r="Q287" s="451">
        <v>0</v>
      </c>
      <c r="R287" s="451">
        <v>29955144</v>
      </c>
      <c r="S287" s="452" t="s">
        <v>442</v>
      </c>
      <c r="T287" s="453" t="s">
        <v>781</v>
      </c>
      <c r="U287" s="454" t="s">
        <v>782</v>
      </c>
      <c r="V287" s="324"/>
      <c r="W287" s="325"/>
    </row>
    <row r="288" spans="1:23" s="197" customFormat="1" ht="12.75" x14ac:dyDescent="0.2">
      <c r="A288" s="446">
        <v>281</v>
      </c>
      <c r="B288" s="447" t="s">
        <v>445</v>
      </c>
      <c r="C288" s="448" t="s">
        <v>1093</v>
      </c>
      <c r="D288" s="449" t="s">
        <v>1097</v>
      </c>
      <c r="E288" s="450" t="s">
        <v>444</v>
      </c>
      <c r="F288" s="451">
        <v>25270803</v>
      </c>
      <c r="G288" s="451">
        <v>114537</v>
      </c>
      <c r="H288" s="451">
        <v>0</v>
      </c>
      <c r="I288" s="451">
        <v>95137</v>
      </c>
      <c r="J288" s="451">
        <v>6148</v>
      </c>
      <c r="K288" s="451">
        <v>101285</v>
      </c>
      <c r="L288" s="451">
        <v>0</v>
      </c>
      <c r="M288" s="451">
        <v>0</v>
      </c>
      <c r="N288" s="451">
        <v>0</v>
      </c>
      <c r="O288" s="451">
        <v>0</v>
      </c>
      <c r="P288" s="451">
        <v>0</v>
      </c>
      <c r="Q288" s="451">
        <v>0</v>
      </c>
      <c r="R288" s="451">
        <v>25284055</v>
      </c>
      <c r="S288" s="452" t="s">
        <v>444</v>
      </c>
      <c r="T288" s="453" t="s">
        <v>812</v>
      </c>
      <c r="U288" s="454" t="s">
        <v>775</v>
      </c>
      <c r="V288" s="324"/>
      <c r="W288" s="325"/>
    </row>
    <row r="289" spans="1:23" s="197" customFormat="1" ht="12.75" x14ac:dyDescent="0.2">
      <c r="A289" s="446">
        <v>282</v>
      </c>
      <c r="B289" s="447" t="s">
        <v>447</v>
      </c>
      <c r="C289" s="448" t="s">
        <v>794</v>
      </c>
      <c r="D289" s="449" t="s">
        <v>1097</v>
      </c>
      <c r="E289" s="450" t="s">
        <v>751</v>
      </c>
      <c r="F289" s="451">
        <v>97304052</v>
      </c>
      <c r="G289" s="451">
        <v>1062859</v>
      </c>
      <c r="H289" s="451">
        <v>0</v>
      </c>
      <c r="I289" s="451">
        <v>222500</v>
      </c>
      <c r="J289" s="451">
        <v>0</v>
      </c>
      <c r="K289" s="451">
        <v>222500</v>
      </c>
      <c r="L289" s="451">
        <v>0</v>
      </c>
      <c r="M289" s="451">
        <v>0</v>
      </c>
      <c r="N289" s="451">
        <v>0</v>
      </c>
      <c r="O289" s="451">
        <v>0</v>
      </c>
      <c r="P289" s="451">
        <v>0</v>
      </c>
      <c r="Q289" s="451">
        <v>0</v>
      </c>
      <c r="R289" s="451">
        <v>98144411</v>
      </c>
      <c r="S289" s="452" t="s">
        <v>751</v>
      </c>
      <c r="T289" s="453" t="s">
        <v>794</v>
      </c>
      <c r="U289" s="454" t="s">
        <v>790</v>
      </c>
      <c r="V289" s="324" t="s">
        <v>1120</v>
      </c>
      <c r="W289" s="325"/>
    </row>
    <row r="290" spans="1:23" s="197" customFormat="1" ht="12.75" x14ac:dyDescent="0.2">
      <c r="A290" s="446">
        <v>283</v>
      </c>
      <c r="B290" s="447" t="s">
        <v>449</v>
      </c>
      <c r="C290" s="448" t="s">
        <v>1093</v>
      </c>
      <c r="D290" s="449" t="s">
        <v>1094</v>
      </c>
      <c r="E290" s="450" t="s">
        <v>752</v>
      </c>
      <c r="F290" s="451">
        <v>49705702</v>
      </c>
      <c r="G290" s="451">
        <v>0</v>
      </c>
      <c r="H290" s="451">
        <v>421255</v>
      </c>
      <c r="I290" s="451">
        <v>168018</v>
      </c>
      <c r="J290" s="451">
        <v>0</v>
      </c>
      <c r="K290" s="451">
        <v>168018</v>
      </c>
      <c r="L290" s="451">
        <v>0</v>
      </c>
      <c r="M290" s="451">
        <v>0</v>
      </c>
      <c r="N290" s="451">
        <v>0</v>
      </c>
      <c r="O290" s="451">
        <v>0</v>
      </c>
      <c r="P290" s="451">
        <v>0</v>
      </c>
      <c r="Q290" s="451">
        <v>0</v>
      </c>
      <c r="R290" s="451">
        <v>49116429</v>
      </c>
      <c r="S290" s="452" t="s">
        <v>752</v>
      </c>
      <c r="T290" s="453" t="s">
        <v>781</v>
      </c>
      <c r="U290" s="454" t="s">
        <v>782</v>
      </c>
      <c r="V290" s="324"/>
      <c r="W290" s="325"/>
    </row>
    <row r="291" spans="1:23" s="197" customFormat="1" ht="12.75" x14ac:dyDescent="0.2">
      <c r="A291" s="446">
        <v>284</v>
      </c>
      <c r="B291" s="447" t="s">
        <v>451</v>
      </c>
      <c r="C291" s="448" t="s">
        <v>794</v>
      </c>
      <c r="D291" s="449" t="s">
        <v>1102</v>
      </c>
      <c r="E291" s="450" t="s">
        <v>753</v>
      </c>
      <c r="F291" s="451">
        <v>32849493</v>
      </c>
      <c r="G291" s="451">
        <v>0</v>
      </c>
      <c r="H291" s="451">
        <v>23733</v>
      </c>
      <c r="I291" s="451">
        <v>206989</v>
      </c>
      <c r="J291" s="451">
        <v>0</v>
      </c>
      <c r="K291" s="451">
        <v>206989</v>
      </c>
      <c r="L291" s="451">
        <v>0</v>
      </c>
      <c r="M291" s="451">
        <v>0</v>
      </c>
      <c r="N291" s="451">
        <v>0</v>
      </c>
      <c r="O291" s="451">
        <v>0</v>
      </c>
      <c r="P291" s="451">
        <v>0</v>
      </c>
      <c r="Q291" s="451">
        <v>0</v>
      </c>
      <c r="R291" s="451">
        <v>32618771</v>
      </c>
      <c r="S291" s="452" t="s">
        <v>753</v>
      </c>
      <c r="T291" s="453" t="s">
        <v>794</v>
      </c>
      <c r="U291" s="454" t="s">
        <v>828</v>
      </c>
      <c r="V291" s="324"/>
      <c r="W291" s="325"/>
    </row>
    <row r="292" spans="1:23" s="197" customFormat="1" ht="12.75" x14ac:dyDescent="0.2">
      <c r="A292" s="446">
        <v>285</v>
      </c>
      <c r="B292" s="447" t="s">
        <v>453</v>
      </c>
      <c r="C292" s="448" t="s">
        <v>1093</v>
      </c>
      <c r="D292" s="449" t="s">
        <v>1102</v>
      </c>
      <c r="E292" s="450" t="s">
        <v>452</v>
      </c>
      <c r="F292" s="451">
        <v>9726263</v>
      </c>
      <c r="G292" s="451">
        <v>120743</v>
      </c>
      <c r="H292" s="451">
        <v>0</v>
      </c>
      <c r="I292" s="451">
        <v>121660</v>
      </c>
      <c r="J292" s="451">
        <v>0</v>
      </c>
      <c r="K292" s="451">
        <v>121660</v>
      </c>
      <c r="L292" s="451">
        <v>0</v>
      </c>
      <c r="M292" s="451">
        <v>0</v>
      </c>
      <c r="N292" s="451">
        <v>0</v>
      </c>
      <c r="O292" s="451">
        <v>51309</v>
      </c>
      <c r="P292" s="451">
        <v>51309</v>
      </c>
      <c r="Q292" s="451">
        <v>0</v>
      </c>
      <c r="R292" s="451">
        <v>9674037</v>
      </c>
      <c r="S292" s="452" t="s">
        <v>452</v>
      </c>
      <c r="T292" s="453" t="s">
        <v>827</v>
      </c>
      <c r="U292" s="454" t="s">
        <v>828</v>
      </c>
      <c r="V292" s="324"/>
      <c r="W292" s="325"/>
    </row>
    <row r="293" spans="1:23" s="197" customFormat="1" ht="12.75" x14ac:dyDescent="0.2">
      <c r="A293" s="446">
        <v>286</v>
      </c>
      <c r="B293" s="447" t="s">
        <v>455</v>
      </c>
      <c r="C293" s="448" t="s">
        <v>1104</v>
      </c>
      <c r="D293" s="449" t="s">
        <v>1099</v>
      </c>
      <c r="E293" s="450" t="s">
        <v>454</v>
      </c>
      <c r="F293" s="451">
        <v>321357263</v>
      </c>
      <c r="G293" s="451">
        <v>448865</v>
      </c>
      <c r="H293" s="451">
        <v>0</v>
      </c>
      <c r="I293" s="451">
        <v>944275</v>
      </c>
      <c r="J293" s="451">
        <v>0</v>
      </c>
      <c r="K293" s="451">
        <v>944275</v>
      </c>
      <c r="L293" s="451">
        <v>0</v>
      </c>
      <c r="M293" s="451">
        <v>0</v>
      </c>
      <c r="N293" s="451">
        <v>0</v>
      </c>
      <c r="O293" s="451">
        <v>0</v>
      </c>
      <c r="P293" s="451">
        <v>0</v>
      </c>
      <c r="Q293" s="451">
        <v>0</v>
      </c>
      <c r="R293" s="451">
        <v>320861853</v>
      </c>
      <c r="S293" s="452" t="s">
        <v>454</v>
      </c>
      <c r="T293" s="453" t="s">
        <v>786</v>
      </c>
      <c r="U293" s="453" t="s">
        <v>774</v>
      </c>
      <c r="V293" s="324"/>
      <c r="W293" s="325"/>
    </row>
    <row r="294" spans="1:23" s="197" customFormat="1" ht="12.75" x14ac:dyDescent="0.2">
      <c r="A294" s="446">
        <v>287</v>
      </c>
      <c r="B294" s="447" t="s">
        <v>457</v>
      </c>
      <c r="C294" s="448" t="s">
        <v>1100</v>
      </c>
      <c r="D294" s="449" t="s">
        <v>1095</v>
      </c>
      <c r="E294" s="450" t="s">
        <v>456</v>
      </c>
      <c r="F294" s="451">
        <v>121091059</v>
      </c>
      <c r="G294" s="451">
        <v>0</v>
      </c>
      <c r="H294" s="451">
        <v>629123</v>
      </c>
      <c r="I294" s="451">
        <v>452163</v>
      </c>
      <c r="J294" s="451">
        <v>0</v>
      </c>
      <c r="K294" s="451">
        <v>452163</v>
      </c>
      <c r="L294" s="451">
        <v>0</v>
      </c>
      <c r="M294" s="451">
        <v>0</v>
      </c>
      <c r="N294" s="451">
        <v>0</v>
      </c>
      <c r="O294" s="451">
        <v>73476</v>
      </c>
      <c r="P294" s="451">
        <v>73476</v>
      </c>
      <c r="Q294" s="451">
        <v>0</v>
      </c>
      <c r="R294" s="451">
        <v>119936297</v>
      </c>
      <c r="S294" s="452" t="s">
        <v>456</v>
      </c>
      <c r="T294" s="453" t="s">
        <v>787</v>
      </c>
      <c r="U294" s="454" t="s">
        <v>801</v>
      </c>
      <c r="V294" s="324"/>
      <c r="W294" s="325"/>
    </row>
    <row r="295" spans="1:23" s="197" customFormat="1" ht="12.75" x14ac:dyDescent="0.2">
      <c r="A295" s="446">
        <v>288</v>
      </c>
      <c r="B295" s="447" t="s">
        <v>459</v>
      </c>
      <c r="C295" s="448" t="s">
        <v>1093</v>
      </c>
      <c r="D295" s="449" t="s">
        <v>1094</v>
      </c>
      <c r="E295" s="450" t="s">
        <v>458</v>
      </c>
      <c r="F295" s="451">
        <v>48178733</v>
      </c>
      <c r="G295" s="451">
        <v>0</v>
      </c>
      <c r="H295" s="451">
        <v>340498</v>
      </c>
      <c r="I295" s="451">
        <v>181431</v>
      </c>
      <c r="J295" s="451">
        <v>0</v>
      </c>
      <c r="K295" s="451">
        <v>181431</v>
      </c>
      <c r="L295" s="451">
        <v>0</v>
      </c>
      <c r="M295" s="451">
        <v>0</v>
      </c>
      <c r="N295" s="451">
        <v>0</v>
      </c>
      <c r="O295" s="451">
        <v>0</v>
      </c>
      <c r="P295" s="451">
        <v>0</v>
      </c>
      <c r="Q295" s="451">
        <v>0</v>
      </c>
      <c r="R295" s="451">
        <v>47656804</v>
      </c>
      <c r="S295" s="452" t="s">
        <v>458</v>
      </c>
      <c r="T295" s="453" t="s">
        <v>781</v>
      </c>
      <c r="U295" s="454" t="s">
        <v>782</v>
      </c>
      <c r="V295" s="324"/>
      <c r="W295" s="325"/>
    </row>
    <row r="296" spans="1:23" s="197" customFormat="1" ht="12.75" x14ac:dyDescent="0.2">
      <c r="A296" s="446">
        <v>289</v>
      </c>
      <c r="B296" s="447" t="s">
        <v>461</v>
      </c>
      <c r="C296" s="448" t="s">
        <v>1093</v>
      </c>
      <c r="D296" s="449" t="s">
        <v>1097</v>
      </c>
      <c r="E296" s="450" t="s">
        <v>460</v>
      </c>
      <c r="F296" s="451">
        <v>29365535</v>
      </c>
      <c r="G296" s="451">
        <v>0</v>
      </c>
      <c r="H296" s="451">
        <v>309948</v>
      </c>
      <c r="I296" s="451">
        <v>138241</v>
      </c>
      <c r="J296" s="451">
        <v>0</v>
      </c>
      <c r="K296" s="451">
        <v>138241</v>
      </c>
      <c r="L296" s="451">
        <v>0</v>
      </c>
      <c r="M296" s="451">
        <v>0</v>
      </c>
      <c r="N296" s="451">
        <v>0</v>
      </c>
      <c r="O296" s="451">
        <v>0</v>
      </c>
      <c r="P296" s="451">
        <v>0</v>
      </c>
      <c r="Q296" s="451">
        <v>0</v>
      </c>
      <c r="R296" s="451">
        <v>28917346</v>
      </c>
      <c r="S296" s="452" t="s">
        <v>460</v>
      </c>
      <c r="T296" s="453" t="s">
        <v>789</v>
      </c>
      <c r="U296" s="454" t="s">
        <v>790</v>
      </c>
      <c r="V296" s="324"/>
      <c r="W296" s="325"/>
    </row>
    <row r="297" spans="1:23" s="197" customFormat="1" ht="12.75" x14ac:dyDescent="0.2">
      <c r="A297" s="446">
        <v>290</v>
      </c>
      <c r="B297" s="447" t="s">
        <v>463</v>
      </c>
      <c r="C297" s="448" t="s">
        <v>1093</v>
      </c>
      <c r="D297" s="449" t="s">
        <v>1094</v>
      </c>
      <c r="E297" s="450" t="s">
        <v>462</v>
      </c>
      <c r="F297" s="451">
        <v>45221361</v>
      </c>
      <c r="G297" s="451">
        <v>1424123</v>
      </c>
      <c r="H297" s="451">
        <v>0</v>
      </c>
      <c r="I297" s="451">
        <v>189424</v>
      </c>
      <c r="J297" s="451">
        <v>0</v>
      </c>
      <c r="K297" s="451">
        <v>189424</v>
      </c>
      <c r="L297" s="451">
        <v>0</v>
      </c>
      <c r="M297" s="451">
        <v>0</v>
      </c>
      <c r="N297" s="451">
        <v>0</v>
      </c>
      <c r="O297" s="451">
        <v>0</v>
      </c>
      <c r="P297" s="451">
        <v>0</v>
      </c>
      <c r="Q297" s="451">
        <v>0</v>
      </c>
      <c r="R297" s="451">
        <v>46456060</v>
      </c>
      <c r="S297" s="452" t="s">
        <v>462</v>
      </c>
      <c r="T297" s="453" t="s">
        <v>819</v>
      </c>
      <c r="U297" s="454" t="s">
        <v>775</v>
      </c>
      <c r="V297" s="324"/>
      <c r="W297" s="325"/>
    </row>
    <row r="298" spans="1:23" s="197" customFormat="1" ht="12.75" x14ac:dyDescent="0.2">
      <c r="A298" s="446">
        <v>291</v>
      </c>
      <c r="B298" s="447" t="s">
        <v>465</v>
      </c>
      <c r="C298" s="448" t="s">
        <v>1100</v>
      </c>
      <c r="D298" s="449" t="s">
        <v>1101</v>
      </c>
      <c r="E298" s="450" t="s">
        <v>464</v>
      </c>
      <c r="F298" s="451">
        <v>113817771</v>
      </c>
      <c r="G298" s="451">
        <v>0</v>
      </c>
      <c r="H298" s="451">
        <v>196559</v>
      </c>
      <c r="I298" s="451">
        <v>457961</v>
      </c>
      <c r="J298" s="451">
        <v>0</v>
      </c>
      <c r="K298" s="451">
        <v>457961</v>
      </c>
      <c r="L298" s="451">
        <v>0</v>
      </c>
      <c r="M298" s="451">
        <v>0</v>
      </c>
      <c r="N298" s="451">
        <v>0</v>
      </c>
      <c r="O298" s="451">
        <v>0</v>
      </c>
      <c r="P298" s="451">
        <v>0</v>
      </c>
      <c r="Q298" s="451">
        <v>0</v>
      </c>
      <c r="R298" s="451">
        <v>113163251</v>
      </c>
      <c r="S298" s="452" t="s">
        <v>464</v>
      </c>
      <c r="T298" s="453" t="s">
        <v>787</v>
      </c>
      <c r="U298" s="454" t="s">
        <v>805</v>
      </c>
      <c r="V298" s="324"/>
      <c r="W298" s="325"/>
    </row>
    <row r="299" spans="1:23" s="197" customFormat="1" ht="12.75" x14ac:dyDescent="0.2">
      <c r="A299" s="446">
        <v>292</v>
      </c>
      <c r="B299" s="447" t="s">
        <v>467</v>
      </c>
      <c r="C299" s="448" t="s">
        <v>1100</v>
      </c>
      <c r="D299" s="449" t="s">
        <v>1103</v>
      </c>
      <c r="E299" s="450" t="s">
        <v>466</v>
      </c>
      <c r="F299" s="451">
        <v>64611066</v>
      </c>
      <c r="G299" s="451">
        <v>0</v>
      </c>
      <c r="H299" s="451">
        <v>168456</v>
      </c>
      <c r="I299" s="451">
        <v>344295</v>
      </c>
      <c r="J299" s="451">
        <v>0</v>
      </c>
      <c r="K299" s="451">
        <v>344295</v>
      </c>
      <c r="L299" s="451">
        <v>0</v>
      </c>
      <c r="M299" s="451">
        <v>30666</v>
      </c>
      <c r="N299" s="451">
        <v>0</v>
      </c>
      <c r="O299" s="451">
        <v>0</v>
      </c>
      <c r="P299" s="451">
        <v>0</v>
      </c>
      <c r="Q299" s="451">
        <v>0</v>
      </c>
      <c r="R299" s="451">
        <v>64067649</v>
      </c>
      <c r="S299" s="452" t="s">
        <v>466</v>
      </c>
      <c r="T299" s="453" t="s">
        <v>787</v>
      </c>
      <c r="U299" s="454" t="s">
        <v>797</v>
      </c>
      <c r="V299" s="324"/>
      <c r="W299" s="325"/>
    </row>
    <row r="300" spans="1:23" s="197" customFormat="1" ht="12.75" x14ac:dyDescent="0.2">
      <c r="A300" s="446">
        <v>293</v>
      </c>
      <c r="B300" s="447" t="s">
        <v>469</v>
      </c>
      <c r="C300" s="448" t="s">
        <v>1098</v>
      </c>
      <c r="D300" s="449" t="s">
        <v>1099</v>
      </c>
      <c r="E300" s="450" t="s">
        <v>468</v>
      </c>
      <c r="F300" s="451">
        <v>54678321</v>
      </c>
      <c r="G300" s="451">
        <v>338831</v>
      </c>
      <c r="H300" s="451">
        <v>0</v>
      </c>
      <c r="I300" s="451">
        <v>292541</v>
      </c>
      <c r="J300" s="451">
        <v>0</v>
      </c>
      <c r="K300" s="451">
        <v>292541</v>
      </c>
      <c r="L300" s="451">
        <v>0</v>
      </c>
      <c r="M300" s="451">
        <v>0</v>
      </c>
      <c r="N300" s="451">
        <v>0</v>
      </c>
      <c r="O300" s="451">
        <v>0</v>
      </c>
      <c r="P300" s="451">
        <v>0</v>
      </c>
      <c r="Q300" s="451">
        <v>0</v>
      </c>
      <c r="R300" s="451">
        <v>54724611</v>
      </c>
      <c r="S300" s="452" t="s">
        <v>468</v>
      </c>
      <c r="T300" s="453" t="s">
        <v>786</v>
      </c>
      <c r="U300" s="453" t="s">
        <v>774</v>
      </c>
      <c r="V300" s="324"/>
      <c r="W300" s="325"/>
    </row>
    <row r="301" spans="1:23" s="197" customFormat="1" ht="12.75" x14ac:dyDescent="0.2">
      <c r="A301" s="446">
        <v>294</v>
      </c>
      <c r="B301" s="447" t="s">
        <v>471</v>
      </c>
      <c r="C301" s="448" t="s">
        <v>1104</v>
      </c>
      <c r="D301" s="449" t="s">
        <v>1099</v>
      </c>
      <c r="E301" s="450" t="s">
        <v>470</v>
      </c>
      <c r="F301" s="451">
        <v>95730700</v>
      </c>
      <c r="G301" s="451">
        <v>0</v>
      </c>
      <c r="H301" s="451">
        <v>193380</v>
      </c>
      <c r="I301" s="451">
        <v>484461</v>
      </c>
      <c r="J301" s="451">
        <v>0</v>
      </c>
      <c r="K301" s="451">
        <v>484461</v>
      </c>
      <c r="L301" s="451">
        <v>0</v>
      </c>
      <c r="M301" s="451">
        <v>0</v>
      </c>
      <c r="N301" s="451">
        <v>0</v>
      </c>
      <c r="O301" s="451">
        <v>0</v>
      </c>
      <c r="P301" s="451">
        <v>0</v>
      </c>
      <c r="Q301" s="451">
        <v>0</v>
      </c>
      <c r="R301" s="451">
        <v>95052859</v>
      </c>
      <c r="S301" s="452" t="s">
        <v>470</v>
      </c>
      <c r="T301" s="453" t="s">
        <v>786</v>
      </c>
      <c r="U301" s="453" t="s">
        <v>774</v>
      </c>
      <c r="V301" s="324"/>
      <c r="W301" s="325"/>
    </row>
    <row r="302" spans="1:23" s="197" customFormat="1" ht="12.75" x14ac:dyDescent="0.2">
      <c r="A302" s="446">
        <v>295</v>
      </c>
      <c r="B302" s="447" t="s">
        <v>473</v>
      </c>
      <c r="C302" s="448" t="s">
        <v>794</v>
      </c>
      <c r="D302" s="449" t="s">
        <v>1095</v>
      </c>
      <c r="E302" s="450" t="s">
        <v>754</v>
      </c>
      <c r="F302" s="451">
        <v>97980377</v>
      </c>
      <c r="G302" s="451">
        <v>0</v>
      </c>
      <c r="H302" s="451">
        <v>1318156</v>
      </c>
      <c r="I302" s="451">
        <v>308145</v>
      </c>
      <c r="J302" s="451">
        <v>0</v>
      </c>
      <c r="K302" s="451">
        <v>308145</v>
      </c>
      <c r="L302" s="451">
        <v>0</v>
      </c>
      <c r="M302" s="451">
        <v>0</v>
      </c>
      <c r="N302" s="451">
        <v>0</v>
      </c>
      <c r="O302" s="451">
        <v>0</v>
      </c>
      <c r="P302" s="451">
        <v>0</v>
      </c>
      <c r="Q302" s="451">
        <v>0</v>
      </c>
      <c r="R302" s="451">
        <v>96354076</v>
      </c>
      <c r="S302" s="452" t="s">
        <v>754</v>
      </c>
      <c r="T302" s="453" t="s">
        <v>794</v>
      </c>
      <c r="U302" s="454" t="s">
        <v>820</v>
      </c>
      <c r="V302" s="324"/>
      <c r="W302" s="325"/>
    </row>
    <row r="303" spans="1:23" s="197" customFormat="1" ht="12.75" x14ac:dyDescent="0.2">
      <c r="A303" s="446">
        <v>296</v>
      </c>
      <c r="B303" s="447" t="s">
        <v>475</v>
      </c>
      <c r="C303" s="448" t="s">
        <v>1093</v>
      </c>
      <c r="D303" s="449" t="s">
        <v>1103</v>
      </c>
      <c r="E303" s="450" t="s">
        <v>474</v>
      </c>
      <c r="F303" s="451">
        <v>60469157</v>
      </c>
      <c r="G303" s="451">
        <v>0</v>
      </c>
      <c r="H303" s="451">
        <v>177920</v>
      </c>
      <c r="I303" s="451">
        <v>212678</v>
      </c>
      <c r="J303" s="451">
        <v>0</v>
      </c>
      <c r="K303" s="451">
        <v>212678</v>
      </c>
      <c r="L303" s="451">
        <v>0</v>
      </c>
      <c r="M303" s="451">
        <v>0</v>
      </c>
      <c r="N303" s="451">
        <v>0</v>
      </c>
      <c r="O303" s="451">
        <v>0</v>
      </c>
      <c r="P303" s="451">
        <v>0</v>
      </c>
      <c r="Q303" s="451">
        <v>0</v>
      </c>
      <c r="R303" s="451">
        <v>60078559</v>
      </c>
      <c r="S303" s="452" t="s">
        <v>474</v>
      </c>
      <c r="T303" s="453" t="s">
        <v>840</v>
      </c>
      <c r="U303" s="454" t="s">
        <v>775</v>
      </c>
      <c r="V303" s="324"/>
      <c r="W303" s="325"/>
    </row>
    <row r="304" spans="1:23" s="197" customFormat="1" ht="12.75" x14ac:dyDescent="0.2">
      <c r="A304" s="446">
        <v>297</v>
      </c>
      <c r="B304" s="447" t="s">
        <v>477</v>
      </c>
      <c r="C304" s="448" t="s">
        <v>1093</v>
      </c>
      <c r="D304" s="449" t="s">
        <v>1097</v>
      </c>
      <c r="E304" s="450" t="s">
        <v>476</v>
      </c>
      <c r="F304" s="451">
        <v>58780643</v>
      </c>
      <c r="G304" s="451">
        <v>0</v>
      </c>
      <c r="H304" s="451">
        <v>3454960</v>
      </c>
      <c r="I304" s="451">
        <v>176395</v>
      </c>
      <c r="J304" s="451">
        <v>29300</v>
      </c>
      <c r="K304" s="451">
        <v>205695</v>
      </c>
      <c r="L304" s="451">
        <v>0</v>
      </c>
      <c r="M304" s="451">
        <v>0</v>
      </c>
      <c r="N304" s="451">
        <v>0</v>
      </c>
      <c r="O304" s="451">
        <v>0</v>
      </c>
      <c r="P304" s="451">
        <v>0</v>
      </c>
      <c r="Q304" s="451">
        <v>0</v>
      </c>
      <c r="R304" s="451">
        <v>55119988</v>
      </c>
      <c r="S304" s="452" t="s">
        <v>476</v>
      </c>
      <c r="T304" s="453" t="s">
        <v>812</v>
      </c>
      <c r="U304" s="454" t="s">
        <v>775</v>
      </c>
      <c r="V304" s="324"/>
      <c r="W304" s="325"/>
    </row>
    <row r="305" spans="1:23" s="197" customFormat="1" ht="12.75" x14ac:dyDescent="0.2">
      <c r="A305" s="446">
        <v>298</v>
      </c>
      <c r="B305" s="447" t="s">
        <v>479</v>
      </c>
      <c r="C305" s="448" t="s">
        <v>1093</v>
      </c>
      <c r="D305" s="449" t="s">
        <v>1097</v>
      </c>
      <c r="E305" s="450" t="s">
        <v>478</v>
      </c>
      <c r="F305" s="451">
        <v>25895531</v>
      </c>
      <c r="G305" s="451">
        <v>0</v>
      </c>
      <c r="H305" s="451">
        <v>175611</v>
      </c>
      <c r="I305" s="451">
        <v>204116</v>
      </c>
      <c r="J305" s="451">
        <v>0</v>
      </c>
      <c r="K305" s="451">
        <v>204116</v>
      </c>
      <c r="L305" s="451">
        <v>0</v>
      </c>
      <c r="M305" s="451">
        <v>0</v>
      </c>
      <c r="N305" s="451">
        <v>0</v>
      </c>
      <c r="O305" s="451">
        <v>0</v>
      </c>
      <c r="P305" s="451">
        <v>0</v>
      </c>
      <c r="Q305" s="451">
        <v>0</v>
      </c>
      <c r="R305" s="451">
        <v>25515804</v>
      </c>
      <c r="S305" s="452" t="s">
        <v>478</v>
      </c>
      <c r="T305" s="453" t="s">
        <v>785</v>
      </c>
      <c r="U305" s="454" t="s">
        <v>775</v>
      </c>
      <c r="V305" s="324"/>
      <c r="W305" s="325"/>
    </row>
    <row r="306" spans="1:23" s="197" customFormat="1" ht="12.75" x14ac:dyDescent="0.2">
      <c r="A306" s="446">
        <v>299</v>
      </c>
      <c r="B306" s="447" t="s">
        <v>481</v>
      </c>
      <c r="C306" s="448" t="s">
        <v>1093</v>
      </c>
      <c r="D306" s="449" t="s">
        <v>1094</v>
      </c>
      <c r="E306" s="450" t="s">
        <v>480</v>
      </c>
      <c r="F306" s="451">
        <v>35328814</v>
      </c>
      <c r="G306" s="451">
        <v>0</v>
      </c>
      <c r="H306" s="451">
        <v>30680</v>
      </c>
      <c r="I306" s="451">
        <v>181490</v>
      </c>
      <c r="J306" s="451">
        <v>0</v>
      </c>
      <c r="K306" s="451">
        <v>181490</v>
      </c>
      <c r="L306" s="451">
        <v>0</v>
      </c>
      <c r="M306" s="451">
        <v>0</v>
      </c>
      <c r="N306" s="451">
        <v>0</v>
      </c>
      <c r="O306" s="451">
        <v>0</v>
      </c>
      <c r="P306" s="451">
        <v>0</v>
      </c>
      <c r="Q306" s="451">
        <v>0</v>
      </c>
      <c r="R306" s="451">
        <v>35116644</v>
      </c>
      <c r="S306" s="452" t="s">
        <v>480</v>
      </c>
      <c r="T306" s="453" t="s">
        <v>831</v>
      </c>
      <c r="U306" s="454" t="s">
        <v>775</v>
      </c>
      <c r="V306" s="324"/>
      <c r="W306" s="325"/>
    </row>
    <row r="307" spans="1:23" s="197" customFormat="1" ht="12.75" x14ac:dyDescent="0.2">
      <c r="A307" s="446">
        <v>300</v>
      </c>
      <c r="B307" s="447" t="s">
        <v>483</v>
      </c>
      <c r="C307" s="448" t="s">
        <v>1093</v>
      </c>
      <c r="D307" s="449" t="s">
        <v>1094</v>
      </c>
      <c r="E307" s="450" t="s">
        <v>482</v>
      </c>
      <c r="F307" s="451">
        <v>28210208</v>
      </c>
      <c r="G307" s="451">
        <v>0</v>
      </c>
      <c r="H307" s="451">
        <v>18402</v>
      </c>
      <c r="I307" s="451">
        <v>207210</v>
      </c>
      <c r="J307" s="451">
        <v>0</v>
      </c>
      <c r="K307" s="451">
        <v>207210</v>
      </c>
      <c r="L307" s="451">
        <v>0</v>
      </c>
      <c r="M307" s="451">
        <v>0</v>
      </c>
      <c r="N307" s="451">
        <v>0</v>
      </c>
      <c r="O307" s="451">
        <v>0</v>
      </c>
      <c r="P307" s="451">
        <v>0</v>
      </c>
      <c r="Q307" s="451">
        <v>0</v>
      </c>
      <c r="R307" s="451">
        <v>27984596</v>
      </c>
      <c r="S307" s="452" t="s">
        <v>482</v>
      </c>
      <c r="T307" s="453" t="s">
        <v>830</v>
      </c>
      <c r="U307" s="454" t="s">
        <v>808</v>
      </c>
      <c r="V307" s="324"/>
      <c r="W307" s="325"/>
    </row>
    <row r="308" spans="1:23" s="197" customFormat="1" ht="12.75" x14ac:dyDescent="0.2">
      <c r="A308" s="446">
        <v>301</v>
      </c>
      <c r="B308" s="447" t="s">
        <v>485</v>
      </c>
      <c r="C308" s="448" t="s">
        <v>1093</v>
      </c>
      <c r="D308" s="449" t="s">
        <v>1096</v>
      </c>
      <c r="E308" s="450" t="s">
        <v>484</v>
      </c>
      <c r="F308" s="451">
        <v>27918749</v>
      </c>
      <c r="G308" s="451">
        <v>0</v>
      </c>
      <c r="H308" s="451">
        <v>97250</v>
      </c>
      <c r="I308" s="451">
        <v>113391</v>
      </c>
      <c r="J308" s="451">
        <v>0</v>
      </c>
      <c r="K308" s="451">
        <v>113391</v>
      </c>
      <c r="L308" s="451">
        <v>0</v>
      </c>
      <c r="M308" s="451">
        <v>0</v>
      </c>
      <c r="N308" s="451">
        <v>0</v>
      </c>
      <c r="O308" s="451">
        <v>0</v>
      </c>
      <c r="P308" s="451">
        <v>0</v>
      </c>
      <c r="Q308" s="451">
        <v>0</v>
      </c>
      <c r="R308" s="451">
        <v>27708108</v>
      </c>
      <c r="S308" s="452" t="s">
        <v>484</v>
      </c>
      <c r="T308" s="453" t="s">
        <v>823</v>
      </c>
      <c r="U308" s="454" t="s">
        <v>775</v>
      </c>
      <c r="V308" s="324"/>
      <c r="W308" s="325"/>
    </row>
    <row r="309" spans="1:23" s="197" customFormat="1" ht="12.75" x14ac:dyDescent="0.2">
      <c r="A309" s="446">
        <v>302</v>
      </c>
      <c r="B309" s="447" t="s">
        <v>487</v>
      </c>
      <c r="C309" s="448" t="s">
        <v>1093</v>
      </c>
      <c r="D309" s="449" t="s">
        <v>1097</v>
      </c>
      <c r="E309" s="450" t="s">
        <v>486</v>
      </c>
      <c r="F309" s="451">
        <v>55451796</v>
      </c>
      <c r="G309" s="451">
        <v>0</v>
      </c>
      <c r="H309" s="451">
        <v>242600</v>
      </c>
      <c r="I309" s="451">
        <v>151424</v>
      </c>
      <c r="J309" s="451">
        <v>0</v>
      </c>
      <c r="K309" s="451">
        <v>151424</v>
      </c>
      <c r="L309" s="451">
        <v>0</v>
      </c>
      <c r="M309" s="451">
        <v>0</v>
      </c>
      <c r="N309" s="451">
        <v>0</v>
      </c>
      <c r="O309" s="451">
        <v>0</v>
      </c>
      <c r="P309" s="451">
        <v>0</v>
      </c>
      <c r="Q309" s="451">
        <v>0</v>
      </c>
      <c r="R309" s="451">
        <v>55057772</v>
      </c>
      <c r="S309" s="452" t="s">
        <v>486</v>
      </c>
      <c r="T309" s="453" t="s">
        <v>812</v>
      </c>
      <c r="U309" s="454" t="s">
        <v>775</v>
      </c>
      <c r="V309" s="324"/>
      <c r="W309" s="325"/>
    </row>
    <row r="310" spans="1:23" s="197" customFormat="1" ht="12.75" x14ac:dyDescent="0.2">
      <c r="A310" s="446">
        <v>303</v>
      </c>
      <c r="B310" s="447" t="s">
        <v>489</v>
      </c>
      <c r="C310" s="448" t="s">
        <v>794</v>
      </c>
      <c r="D310" s="449" t="s">
        <v>1094</v>
      </c>
      <c r="E310" s="450" t="s">
        <v>755</v>
      </c>
      <c r="F310" s="451">
        <v>79492515</v>
      </c>
      <c r="G310" s="451">
        <v>0</v>
      </c>
      <c r="H310" s="451">
        <v>460966</v>
      </c>
      <c r="I310" s="451">
        <v>257520</v>
      </c>
      <c r="J310" s="451">
        <v>0</v>
      </c>
      <c r="K310" s="451">
        <v>257520</v>
      </c>
      <c r="L310" s="451">
        <v>0</v>
      </c>
      <c r="M310" s="451">
        <v>0</v>
      </c>
      <c r="N310" s="451">
        <v>0</v>
      </c>
      <c r="O310" s="451">
        <v>0</v>
      </c>
      <c r="P310" s="451">
        <v>0</v>
      </c>
      <c r="Q310" s="451">
        <v>0</v>
      </c>
      <c r="R310" s="451">
        <v>78774029</v>
      </c>
      <c r="S310" s="452" t="s">
        <v>755</v>
      </c>
      <c r="T310" s="453" t="s">
        <v>794</v>
      </c>
      <c r="U310" s="454" t="s">
        <v>804</v>
      </c>
      <c r="V310" s="324"/>
      <c r="W310" s="325"/>
    </row>
    <row r="311" spans="1:23" s="197" customFormat="1" ht="12.75" x14ac:dyDescent="0.2">
      <c r="A311" s="446">
        <v>304</v>
      </c>
      <c r="B311" s="447" t="s">
        <v>491</v>
      </c>
      <c r="C311" s="448" t="s">
        <v>1093</v>
      </c>
      <c r="D311" s="449" t="s">
        <v>1102</v>
      </c>
      <c r="E311" s="450" t="s">
        <v>490</v>
      </c>
      <c r="F311" s="451">
        <v>10187979</v>
      </c>
      <c r="G311" s="451">
        <v>0</v>
      </c>
      <c r="H311" s="451">
        <v>72222</v>
      </c>
      <c r="I311" s="451">
        <v>84591</v>
      </c>
      <c r="J311" s="451">
        <v>0</v>
      </c>
      <c r="K311" s="451">
        <v>84591</v>
      </c>
      <c r="L311" s="451">
        <v>0</v>
      </c>
      <c r="M311" s="451">
        <v>0</v>
      </c>
      <c r="N311" s="451">
        <v>0</v>
      </c>
      <c r="O311" s="451">
        <v>0</v>
      </c>
      <c r="P311" s="451">
        <v>0</v>
      </c>
      <c r="Q311" s="451">
        <v>0</v>
      </c>
      <c r="R311" s="451">
        <v>10031166</v>
      </c>
      <c r="S311" s="452" t="s">
        <v>490</v>
      </c>
      <c r="T311" s="453" t="s">
        <v>827</v>
      </c>
      <c r="U311" s="454" t="s">
        <v>828</v>
      </c>
      <c r="V311" s="324"/>
      <c r="W311" s="325"/>
    </row>
    <row r="312" spans="1:23" s="197" customFormat="1" ht="12.75" x14ac:dyDescent="0.2">
      <c r="A312" s="446">
        <v>305</v>
      </c>
      <c r="B312" s="447" t="s">
        <v>493</v>
      </c>
      <c r="C312" s="448" t="s">
        <v>1093</v>
      </c>
      <c r="D312" s="449" t="s">
        <v>1102</v>
      </c>
      <c r="E312" s="450" t="s">
        <v>492</v>
      </c>
      <c r="F312" s="451">
        <v>27923208</v>
      </c>
      <c r="G312" s="451">
        <v>0</v>
      </c>
      <c r="H312" s="451">
        <v>33552</v>
      </c>
      <c r="I312" s="451">
        <v>204819</v>
      </c>
      <c r="J312" s="451">
        <v>0</v>
      </c>
      <c r="K312" s="451">
        <v>204819</v>
      </c>
      <c r="L312" s="451">
        <v>0</v>
      </c>
      <c r="M312" s="451">
        <v>0</v>
      </c>
      <c r="N312" s="451">
        <v>0</v>
      </c>
      <c r="O312" s="451">
        <v>0</v>
      </c>
      <c r="P312" s="451">
        <v>0</v>
      </c>
      <c r="Q312" s="451">
        <v>0</v>
      </c>
      <c r="R312" s="451">
        <v>27684837</v>
      </c>
      <c r="S312" s="452" t="s">
        <v>492</v>
      </c>
      <c r="T312" s="453" t="s">
        <v>821</v>
      </c>
      <c r="U312" s="454" t="s">
        <v>803</v>
      </c>
      <c r="V312" s="324"/>
      <c r="W312" s="325"/>
    </row>
    <row r="313" spans="1:23" s="197" customFormat="1" ht="12.75" x14ac:dyDescent="0.2">
      <c r="A313" s="446">
        <v>306</v>
      </c>
      <c r="B313" s="447" t="s">
        <v>495</v>
      </c>
      <c r="C313" s="448" t="s">
        <v>1093</v>
      </c>
      <c r="D313" s="449" t="s">
        <v>1095</v>
      </c>
      <c r="E313" s="450" t="s">
        <v>494</v>
      </c>
      <c r="F313" s="451">
        <v>27678710</v>
      </c>
      <c r="G313" s="451">
        <v>0</v>
      </c>
      <c r="H313" s="451">
        <v>137815</v>
      </c>
      <c r="I313" s="451">
        <v>134046</v>
      </c>
      <c r="J313" s="451">
        <v>0</v>
      </c>
      <c r="K313" s="451">
        <v>134046</v>
      </c>
      <c r="L313" s="451">
        <v>0</v>
      </c>
      <c r="M313" s="451">
        <v>0</v>
      </c>
      <c r="N313" s="451">
        <v>0</v>
      </c>
      <c r="O313" s="451">
        <v>0</v>
      </c>
      <c r="P313" s="451">
        <v>0</v>
      </c>
      <c r="Q313" s="451">
        <v>0</v>
      </c>
      <c r="R313" s="451">
        <v>27406849</v>
      </c>
      <c r="S313" s="452" t="s">
        <v>494</v>
      </c>
      <c r="T313" s="453" t="s">
        <v>813</v>
      </c>
      <c r="U313" s="454" t="s">
        <v>800</v>
      </c>
      <c r="V313" s="324"/>
      <c r="W313" s="325"/>
    </row>
    <row r="314" spans="1:23" s="197" customFormat="1" ht="12.75" x14ac:dyDescent="0.2">
      <c r="A314" s="446">
        <v>307</v>
      </c>
      <c r="B314" s="447" t="s">
        <v>497</v>
      </c>
      <c r="C314" s="448" t="s">
        <v>1093</v>
      </c>
      <c r="D314" s="449" t="s">
        <v>1096</v>
      </c>
      <c r="E314" s="450" t="s">
        <v>496</v>
      </c>
      <c r="F314" s="451">
        <v>14043374</v>
      </c>
      <c r="G314" s="451">
        <v>0</v>
      </c>
      <c r="H314" s="451">
        <v>25162</v>
      </c>
      <c r="I314" s="451">
        <v>105838</v>
      </c>
      <c r="J314" s="451">
        <v>0</v>
      </c>
      <c r="K314" s="451">
        <v>105838</v>
      </c>
      <c r="L314" s="451">
        <v>0</v>
      </c>
      <c r="M314" s="451">
        <v>0</v>
      </c>
      <c r="N314" s="451">
        <v>0</v>
      </c>
      <c r="O314" s="451">
        <v>0</v>
      </c>
      <c r="P314" s="451">
        <v>0</v>
      </c>
      <c r="Q314" s="451">
        <v>0</v>
      </c>
      <c r="R314" s="451">
        <v>13912374</v>
      </c>
      <c r="S314" s="452" t="s">
        <v>496</v>
      </c>
      <c r="T314" s="453" t="s">
        <v>802</v>
      </c>
      <c r="U314" s="454" t="s">
        <v>775</v>
      </c>
      <c r="V314" s="324"/>
      <c r="W314" s="325"/>
    </row>
    <row r="315" spans="1:23" s="197" customFormat="1" ht="12.75" x14ac:dyDescent="0.2">
      <c r="A315" s="446">
        <v>308</v>
      </c>
      <c r="B315" s="447" t="s">
        <v>499</v>
      </c>
      <c r="C315" s="448" t="s">
        <v>1093</v>
      </c>
      <c r="D315" s="449" t="s">
        <v>1094</v>
      </c>
      <c r="E315" s="450" t="s">
        <v>498</v>
      </c>
      <c r="F315" s="451">
        <v>30616943</v>
      </c>
      <c r="G315" s="451">
        <v>2441</v>
      </c>
      <c r="H315" s="451">
        <v>0</v>
      </c>
      <c r="I315" s="451">
        <v>163678</v>
      </c>
      <c r="J315" s="451">
        <v>0</v>
      </c>
      <c r="K315" s="451">
        <v>163678</v>
      </c>
      <c r="L315" s="451">
        <v>0</v>
      </c>
      <c r="M315" s="451">
        <v>0</v>
      </c>
      <c r="N315" s="451">
        <v>0</v>
      </c>
      <c r="O315" s="451">
        <v>0</v>
      </c>
      <c r="P315" s="451">
        <v>0</v>
      </c>
      <c r="Q315" s="451">
        <v>0</v>
      </c>
      <c r="R315" s="451">
        <v>30455706</v>
      </c>
      <c r="S315" s="452" t="s">
        <v>498</v>
      </c>
      <c r="T315" s="453" t="s">
        <v>819</v>
      </c>
      <c r="U315" s="454" t="s">
        <v>775</v>
      </c>
      <c r="V315" s="324"/>
      <c r="W315" s="325"/>
    </row>
    <row r="316" spans="1:23" s="197" customFormat="1" ht="12.75" x14ac:dyDescent="0.2">
      <c r="A316" s="446">
        <v>309</v>
      </c>
      <c r="B316" s="447" t="s">
        <v>501</v>
      </c>
      <c r="C316" s="448" t="s">
        <v>1093</v>
      </c>
      <c r="D316" s="449" t="s">
        <v>1102</v>
      </c>
      <c r="E316" s="450" t="s">
        <v>500</v>
      </c>
      <c r="F316" s="451">
        <v>9725274</v>
      </c>
      <c r="G316" s="451">
        <v>819831</v>
      </c>
      <c r="H316" s="451">
        <v>0</v>
      </c>
      <c r="I316" s="451">
        <v>74427</v>
      </c>
      <c r="J316" s="451">
        <v>0</v>
      </c>
      <c r="K316" s="451">
        <v>74427</v>
      </c>
      <c r="L316" s="451">
        <v>0</v>
      </c>
      <c r="M316" s="451">
        <v>0</v>
      </c>
      <c r="N316" s="451">
        <v>0</v>
      </c>
      <c r="O316" s="451">
        <v>0</v>
      </c>
      <c r="P316" s="451">
        <v>0</v>
      </c>
      <c r="Q316" s="451">
        <v>0</v>
      </c>
      <c r="R316" s="451">
        <v>10470678</v>
      </c>
      <c r="S316" s="452" t="s">
        <v>500</v>
      </c>
      <c r="T316" s="453" t="s">
        <v>839</v>
      </c>
      <c r="U316" s="454" t="s">
        <v>828</v>
      </c>
      <c r="V316" s="324"/>
      <c r="W316" s="325"/>
    </row>
    <row r="317" spans="1:23" s="197" customFormat="1" ht="12.75" x14ac:dyDescent="0.2">
      <c r="A317" s="446">
        <v>310</v>
      </c>
      <c r="B317" s="447" t="s">
        <v>503</v>
      </c>
      <c r="C317" s="448" t="s">
        <v>1104</v>
      </c>
      <c r="D317" s="449" t="s">
        <v>1099</v>
      </c>
      <c r="E317" s="450" t="s">
        <v>502</v>
      </c>
      <c r="F317" s="451">
        <v>1559648299</v>
      </c>
      <c r="G317" s="451">
        <v>0</v>
      </c>
      <c r="H317" s="451">
        <v>22982611</v>
      </c>
      <c r="I317" s="451">
        <v>3180114</v>
      </c>
      <c r="J317" s="451">
        <v>0</v>
      </c>
      <c r="K317" s="451">
        <v>3180114</v>
      </c>
      <c r="L317" s="451">
        <v>0</v>
      </c>
      <c r="M317" s="451">
        <v>0</v>
      </c>
      <c r="N317" s="451">
        <v>0</v>
      </c>
      <c r="O317" s="451">
        <v>0</v>
      </c>
      <c r="P317" s="451">
        <v>0</v>
      </c>
      <c r="Q317" s="451">
        <v>0</v>
      </c>
      <c r="R317" s="451">
        <v>1533485574</v>
      </c>
      <c r="S317" s="452" t="s">
        <v>502</v>
      </c>
      <c r="T317" s="453" t="s">
        <v>786</v>
      </c>
      <c r="U317" s="453" t="s">
        <v>774</v>
      </c>
      <c r="V317" s="324"/>
      <c r="W317" s="325"/>
    </row>
    <row r="318" spans="1:23" s="197" customFormat="1" ht="12.75" x14ac:dyDescent="0.2">
      <c r="A318" s="446">
        <v>311</v>
      </c>
      <c r="B318" s="447" t="s">
        <v>505</v>
      </c>
      <c r="C318" s="448" t="s">
        <v>1093</v>
      </c>
      <c r="D318" s="449" t="s">
        <v>1102</v>
      </c>
      <c r="E318" s="450" t="s">
        <v>756</v>
      </c>
      <c r="F318" s="451">
        <v>14147771</v>
      </c>
      <c r="G318" s="451">
        <v>0</v>
      </c>
      <c r="H318" s="451">
        <v>61984</v>
      </c>
      <c r="I318" s="451">
        <v>107439</v>
      </c>
      <c r="J318" s="451">
        <v>0</v>
      </c>
      <c r="K318" s="451">
        <v>107439</v>
      </c>
      <c r="L318" s="451">
        <v>0</v>
      </c>
      <c r="M318" s="451">
        <v>0</v>
      </c>
      <c r="N318" s="451">
        <v>0</v>
      </c>
      <c r="O318" s="451">
        <v>0</v>
      </c>
      <c r="P318" s="451">
        <v>0</v>
      </c>
      <c r="Q318" s="451">
        <v>0</v>
      </c>
      <c r="R318" s="451">
        <v>13978348</v>
      </c>
      <c r="S318" s="452" t="s">
        <v>756</v>
      </c>
      <c r="T318" s="453" t="s">
        <v>821</v>
      </c>
      <c r="U318" s="454" t="s">
        <v>803</v>
      </c>
      <c r="V318" s="324" t="s">
        <v>1120</v>
      </c>
      <c r="W318" s="325"/>
    </row>
    <row r="319" spans="1:23" s="197" customFormat="1" ht="12.75" x14ac:dyDescent="0.2">
      <c r="A319" s="446">
        <v>312</v>
      </c>
      <c r="B319" s="447" t="s">
        <v>507</v>
      </c>
      <c r="C319" s="448" t="s">
        <v>1100</v>
      </c>
      <c r="D319" s="449" t="s">
        <v>1095</v>
      </c>
      <c r="E319" s="450" t="s">
        <v>506</v>
      </c>
      <c r="F319" s="451">
        <v>73330856</v>
      </c>
      <c r="G319" s="451">
        <v>119857</v>
      </c>
      <c r="H319" s="451">
        <v>0</v>
      </c>
      <c r="I319" s="451">
        <v>387575</v>
      </c>
      <c r="J319" s="451">
        <v>0</v>
      </c>
      <c r="K319" s="451">
        <v>387575</v>
      </c>
      <c r="L319" s="451">
        <v>0</v>
      </c>
      <c r="M319" s="451">
        <v>0</v>
      </c>
      <c r="N319" s="451">
        <v>0</v>
      </c>
      <c r="O319" s="451">
        <v>0</v>
      </c>
      <c r="P319" s="451">
        <v>0</v>
      </c>
      <c r="Q319" s="451">
        <v>0</v>
      </c>
      <c r="R319" s="451">
        <v>73063138</v>
      </c>
      <c r="S319" s="452" t="s">
        <v>506</v>
      </c>
      <c r="T319" s="453" t="s">
        <v>787</v>
      </c>
      <c r="U319" s="454" t="s">
        <v>801</v>
      </c>
      <c r="V319" s="324"/>
      <c r="W319" s="325"/>
    </row>
    <row r="320" spans="1:23" s="197" customFormat="1" ht="12.75" x14ac:dyDescent="0.2">
      <c r="A320" s="446">
        <v>313</v>
      </c>
      <c r="B320" s="447" t="s">
        <v>509</v>
      </c>
      <c r="C320" s="448" t="s">
        <v>794</v>
      </c>
      <c r="D320" s="449" t="s">
        <v>1102</v>
      </c>
      <c r="E320" s="450" t="s">
        <v>508</v>
      </c>
      <c r="F320" s="451">
        <v>132591469</v>
      </c>
      <c r="G320" s="451">
        <v>0</v>
      </c>
      <c r="H320" s="451">
        <v>519845</v>
      </c>
      <c r="I320" s="451">
        <v>617775</v>
      </c>
      <c r="J320" s="451">
        <v>0</v>
      </c>
      <c r="K320" s="451">
        <v>617775</v>
      </c>
      <c r="L320" s="451">
        <v>0</v>
      </c>
      <c r="M320" s="451">
        <v>0</v>
      </c>
      <c r="N320" s="451">
        <v>0</v>
      </c>
      <c r="O320" s="451">
        <v>87473</v>
      </c>
      <c r="P320" s="451">
        <v>87473</v>
      </c>
      <c r="Q320" s="451">
        <v>0</v>
      </c>
      <c r="R320" s="451">
        <v>131366376</v>
      </c>
      <c r="S320" s="452" t="s">
        <v>508</v>
      </c>
      <c r="T320" s="453" t="s">
        <v>794</v>
      </c>
      <c r="U320" s="454" t="s">
        <v>843</v>
      </c>
      <c r="V320" s="324"/>
      <c r="W320" s="325"/>
    </row>
    <row r="321" spans="1:32" s="197" customFormat="1" ht="12.75" x14ac:dyDescent="0.2">
      <c r="A321" s="446">
        <v>314</v>
      </c>
      <c r="B321" s="447" t="s">
        <v>511</v>
      </c>
      <c r="C321" s="448" t="s">
        <v>1093</v>
      </c>
      <c r="D321" s="449" t="s">
        <v>1094</v>
      </c>
      <c r="E321" s="450" t="s">
        <v>510</v>
      </c>
      <c r="F321" s="451">
        <v>51172173</v>
      </c>
      <c r="G321" s="451">
        <v>0</v>
      </c>
      <c r="H321" s="451">
        <v>90874</v>
      </c>
      <c r="I321" s="451">
        <v>190784</v>
      </c>
      <c r="J321" s="451">
        <v>0</v>
      </c>
      <c r="K321" s="451">
        <v>190784</v>
      </c>
      <c r="L321" s="451">
        <v>0</v>
      </c>
      <c r="M321" s="451">
        <v>0</v>
      </c>
      <c r="N321" s="451">
        <v>0</v>
      </c>
      <c r="O321" s="451">
        <v>0</v>
      </c>
      <c r="P321" s="451">
        <v>0</v>
      </c>
      <c r="Q321" s="451">
        <v>0</v>
      </c>
      <c r="R321" s="451">
        <v>50890515</v>
      </c>
      <c r="S321" s="452" t="s">
        <v>510</v>
      </c>
      <c r="T321" s="453" t="s">
        <v>791</v>
      </c>
      <c r="U321" s="454" t="s">
        <v>792</v>
      </c>
      <c r="V321" s="324"/>
      <c r="W321" s="325"/>
    </row>
    <row r="322" spans="1:32" s="197" customFormat="1" ht="12.75" x14ac:dyDescent="0.2">
      <c r="A322" s="446">
        <v>315</v>
      </c>
      <c r="B322" s="447" t="s">
        <v>513</v>
      </c>
      <c r="C322" s="448" t="s">
        <v>794</v>
      </c>
      <c r="D322" s="449" t="s">
        <v>1094</v>
      </c>
      <c r="E322" s="450" t="s">
        <v>757</v>
      </c>
      <c r="F322" s="451">
        <v>72037831</v>
      </c>
      <c r="G322" s="451">
        <v>0</v>
      </c>
      <c r="H322" s="451">
        <v>447998</v>
      </c>
      <c r="I322" s="451">
        <v>251201</v>
      </c>
      <c r="J322" s="451">
        <v>0</v>
      </c>
      <c r="K322" s="451">
        <v>251201</v>
      </c>
      <c r="L322" s="451">
        <v>0</v>
      </c>
      <c r="M322" s="451">
        <v>0</v>
      </c>
      <c r="N322" s="451">
        <v>0</v>
      </c>
      <c r="O322" s="451">
        <v>0</v>
      </c>
      <c r="P322" s="451">
        <v>0</v>
      </c>
      <c r="Q322" s="451">
        <v>0</v>
      </c>
      <c r="R322" s="451">
        <v>71338632</v>
      </c>
      <c r="S322" s="452" t="s">
        <v>757</v>
      </c>
      <c r="T322" s="453" t="s">
        <v>794</v>
      </c>
      <c r="U322" s="454" t="s">
        <v>804</v>
      </c>
      <c r="V322" s="324"/>
      <c r="W322" s="325"/>
    </row>
    <row r="323" spans="1:32" s="197" customFormat="1" ht="12.75" x14ac:dyDescent="0.2">
      <c r="A323" s="446">
        <v>316</v>
      </c>
      <c r="B323" s="447" t="s">
        <v>515</v>
      </c>
      <c r="C323" s="448" t="s">
        <v>1100</v>
      </c>
      <c r="D323" s="449" t="s">
        <v>1095</v>
      </c>
      <c r="E323" s="450" t="s">
        <v>514</v>
      </c>
      <c r="F323" s="451">
        <v>63539172</v>
      </c>
      <c r="G323" s="451">
        <v>0</v>
      </c>
      <c r="H323" s="451">
        <v>262998</v>
      </c>
      <c r="I323" s="451">
        <v>339810</v>
      </c>
      <c r="J323" s="451">
        <v>0</v>
      </c>
      <c r="K323" s="451">
        <v>339810</v>
      </c>
      <c r="L323" s="451">
        <v>0</v>
      </c>
      <c r="M323" s="451">
        <v>0</v>
      </c>
      <c r="N323" s="451">
        <v>0</v>
      </c>
      <c r="O323" s="451">
        <v>0</v>
      </c>
      <c r="P323" s="451">
        <v>0</v>
      </c>
      <c r="Q323" s="451">
        <v>0</v>
      </c>
      <c r="R323" s="451">
        <v>62936364</v>
      </c>
      <c r="S323" s="452" t="s">
        <v>514</v>
      </c>
      <c r="T323" s="453" t="s">
        <v>787</v>
      </c>
      <c r="U323" s="454" t="s">
        <v>838</v>
      </c>
      <c r="V323" s="324"/>
      <c r="W323" s="325"/>
    </row>
    <row r="324" spans="1:32" s="197" customFormat="1" ht="12.75" x14ac:dyDescent="0.2">
      <c r="A324" s="446">
        <v>317</v>
      </c>
      <c r="B324" s="447" t="s">
        <v>517</v>
      </c>
      <c r="C324" s="448" t="s">
        <v>1093</v>
      </c>
      <c r="D324" s="449" t="s">
        <v>1094</v>
      </c>
      <c r="E324" s="450" t="s">
        <v>516</v>
      </c>
      <c r="F324" s="451">
        <v>39299492</v>
      </c>
      <c r="G324" s="451">
        <v>0</v>
      </c>
      <c r="H324" s="451">
        <v>423138</v>
      </c>
      <c r="I324" s="451">
        <v>135670</v>
      </c>
      <c r="J324" s="451">
        <v>0</v>
      </c>
      <c r="K324" s="451">
        <v>135670</v>
      </c>
      <c r="L324" s="451">
        <v>0</v>
      </c>
      <c r="M324" s="451">
        <v>0</v>
      </c>
      <c r="N324" s="451">
        <v>0</v>
      </c>
      <c r="O324" s="451">
        <v>0</v>
      </c>
      <c r="P324" s="451">
        <v>0</v>
      </c>
      <c r="Q324" s="451">
        <v>0</v>
      </c>
      <c r="R324" s="451">
        <v>38740684</v>
      </c>
      <c r="S324" s="452" t="s">
        <v>516</v>
      </c>
      <c r="T324" s="453" t="s">
        <v>831</v>
      </c>
      <c r="U324" s="454" t="s">
        <v>775</v>
      </c>
      <c r="V324" s="324" t="s">
        <v>1120</v>
      </c>
      <c r="W324" s="325"/>
    </row>
    <row r="325" spans="1:32" s="197" customFormat="1" ht="12.75" x14ac:dyDescent="0.2">
      <c r="A325" s="446">
        <v>318</v>
      </c>
      <c r="B325" s="447" t="s">
        <v>519</v>
      </c>
      <c r="C325" s="448" t="s">
        <v>794</v>
      </c>
      <c r="D325" s="449" t="s">
        <v>1094</v>
      </c>
      <c r="E325" s="450" t="s">
        <v>758</v>
      </c>
      <c r="F325" s="451">
        <v>51370464</v>
      </c>
      <c r="G325" s="451">
        <v>0</v>
      </c>
      <c r="H325" s="451">
        <v>225916</v>
      </c>
      <c r="I325" s="451">
        <v>181184</v>
      </c>
      <c r="J325" s="451">
        <v>0</v>
      </c>
      <c r="K325" s="451">
        <v>181184</v>
      </c>
      <c r="L325" s="451">
        <v>0</v>
      </c>
      <c r="M325" s="451">
        <v>0</v>
      </c>
      <c r="N325" s="451">
        <v>0</v>
      </c>
      <c r="O325" s="451">
        <v>0</v>
      </c>
      <c r="P325" s="451">
        <v>0</v>
      </c>
      <c r="Q325" s="451">
        <v>0</v>
      </c>
      <c r="R325" s="451">
        <v>50963364</v>
      </c>
      <c r="S325" s="452" t="s">
        <v>758</v>
      </c>
      <c r="T325" s="453" t="s">
        <v>794</v>
      </c>
      <c r="U325" s="454" t="s">
        <v>804</v>
      </c>
      <c r="V325" s="324"/>
      <c r="W325" s="325"/>
    </row>
    <row r="326" spans="1:32" s="197" customFormat="1" ht="12.75" x14ac:dyDescent="0.2">
      <c r="A326" s="446">
        <v>319</v>
      </c>
      <c r="B326" s="447" t="s">
        <v>521</v>
      </c>
      <c r="C326" s="448" t="s">
        <v>1100</v>
      </c>
      <c r="D326" s="449" t="s">
        <v>1103</v>
      </c>
      <c r="E326" s="450" t="s">
        <v>520</v>
      </c>
      <c r="F326" s="451">
        <v>72024681</v>
      </c>
      <c r="G326" s="451">
        <v>0</v>
      </c>
      <c r="H326" s="451">
        <v>66549</v>
      </c>
      <c r="I326" s="451">
        <v>348621</v>
      </c>
      <c r="J326" s="451">
        <v>0</v>
      </c>
      <c r="K326" s="451">
        <v>348621</v>
      </c>
      <c r="L326" s="451">
        <v>0</v>
      </c>
      <c r="M326" s="451">
        <v>140</v>
      </c>
      <c r="N326" s="451">
        <v>0</v>
      </c>
      <c r="O326" s="451">
        <v>0</v>
      </c>
      <c r="P326" s="451">
        <v>0</v>
      </c>
      <c r="Q326" s="451">
        <v>0</v>
      </c>
      <c r="R326" s="451">
        <v>71609371</v>
      </c>
      <c r="S326" s="452" t="s">
        <v>520</v>
      </c>
      <c r="T326" s="453" t="s">
        <v>787</v>
      </c>
      <c r="U326" s="454" t="s">
        <v>797</v>
      </c>
      <c r="V326" s="324"/>
      <c r="W326" s="325"/>
    </row>
    <row r="327" spans="1:32" s="197" customFormat="1" ht="12.75" x14ac:dyDescent="0.2">
      <c r="A327" s="446">
        <v>320</v>
      </c>
      <c r="B327" s="447" t="s">
        <v>523</v>
      </c>
      <c r="C327" s="448" t="s">
        <v>1093</v>
      </c>
      <c r="D327" s="449" t="s">
        <v>1103</v>
      </c>
      <c r="E327" s="450" t="s">
        <v>522</v>
      </c>
      <c r="F327" s="451">
        <v>37790263</v>
      </c>
      <c r="G327" s="451">
        <v>0</v>
      </c>
      <c r="H327" s="451">
        <v>251836</v>
      </c>
      <c r="I327" s="451">
        <v>140483</v>
      </c>
      <c r="J327" s="451">
        <v>0</v>
      </c>
      <c r="K327" s="451">
        <v>140483</v>
      </c>
      <c r="L327" s="451">
        <v>0</v>
      </c>
      <c r="M327" s="451">
        <v>0</v>
      </c>
      <c r="N327" s="451">
        <v>0</v>
      </c>
      <c r="O327" s="451">
        <v>0</v>
      </c>
      <c r="P327" s="451">
        <v>0</v>
      </c>
      <c r="Q327" s="451">
        <v>0</v>
      </c>
      <c r="R327" s="451">
        <v>37397944</v>
      </c>
      <c r="S327" s="452" t="s">
        <v>522</v>
      </c>
      <c r="T327" s="453" t="s">
        <v>810</v>
      </c>
      <c r="U327" s="454" t="s">
        <v>811</v>
      </c>
      <c r="V327" s="324"/>
      <c r="W327" s="325"/>
    </row>
    <row r="328" spans="1:32" s="197" customFormat="1" ht="12.75" x14ac:dyDescent="0.2">
      <c r="A328" s="446">
        <v>321</v>
      </c>
      <c r="B328" s="447" t="s">
        <v>525</v>
      </c>
      <c r="C328" s="448" t="s">
        <v>1093</v>
      </c>
      <c r="D328" s="449" t="s">
        <v>1094</v>
      </c>
      <c r="E328" s="450" t="s">
        <v>524</v>
      </c>
      <c r="F328" s="451">
        <v>29631635</v>
      </c>
      <c r="G328" s="451">
        <v>0</v>
      </c>
      <c r="H328" s="451">
        <v>48772</v>
      </c>
      <c r="I328" s="451">
        <v>133297</v>
      </c>
      <c r="J328" s="451">
        <v>0</v>
      </c>
      <c r="K328" s="451">
        <v>133297</v>
      </c>
      <c r="L328" s="451">
        <v>0</v>
      </c>
      <c r="M328" s="451">
        <v>0</v>
      </c>
      <c r="N328" s="451">
        <v>0</v>
      </c>
      <c r="O328" s="451">
        <v>0</v>
      </c>
      <c r="P328" s="451">
        <v>0</v>
      </c>
      <c r="Q328" s="451">
        <v>0</v>
      </c>
      <c r="R328" s="451">
        <v>29449566</v>
      </c>
      <c r="S328" s="452" t="s">
        <v>524</v>
      </c>
      <c r="T328" s="453" t="s">
        <v>773</v>
      </c>
      <c r="U328" s="454" t="s">
        <v>775</v>
      </c>
      <c r="V328" s="324"/>
      <c r="W328" s="325"/>
    </row>
    <row r="329" spans="1:32" s="197" customFormat="1" ht="12.75" x14ac:dyDescent="0.2">
      <c r="A329" s="446">
        <v>322</v>
      </c>
      <c r="B329" s="447" t="s">
        <v>527</v>
      </c>
      <c r="C329" s="448" t="s">
        <v>1093</v>
      </c>
      <c r="D329" s="449" t="s">
        <v>1103</v>
      </c>
      <c r="E329" s="450" t="s">
        <v>526</v>
      </c>
      <c r="F329" s="451">
        <v>37123688</v>
      </c>
      <c r="G329" s="451">
        <v>0</v>
      </c>
      <c r="H329" s="451">
        <v>119956</v>
      </c>
      <c r="I329" s="451">
        <v>188368</v>
      </c>
      <c r="J329" s="451">
        <v>0</v>
      </c>
      <c r="K329" s="451">
        <v>188368</v>
      </c>
      <c r="L329" s="451">
        <v>0</v>
      </c>
      <c r="M329" s="451">
        <v>0</v>
      </c>
      <c r="N329" s="451">
        <v>0</v>
      </c>
      <c r="O329" s="451">
        <v>0</v>
      </c>
      <c r="P329" s="451">
        <v>0</v>
      </c>
      <c r="Q329" s="451">
        <v>0</v>
      </c>
      <c r="R329" s="451">
        <v>36815364</v>
      </c>
      <c r="S329" s="452" t="s">
        <v>526</v>
      </c>
      <c r="T329" s="453" t="s">
        <v>810</v>
      </c>
      <c r="U329" s="454" t="s">
        <v>811</v>
      </c>
      <c r="V329" s="324"/>
      <c r="W329" s="325"/>
    </row>
    <row r="330" spans="1:32" s="197" customFormat="1" ht="12.75" x14ac:dyDescent="0.2">
      <c r="A330" s="446">
        <v>323</v>
      </c>
      <c r="B330" s="447" t="s">
        <v>529</v>
      </c>
      <c r="C330" s="448" t="s">
        <v>1093</v>
      </c>
      <c r="D330" s="449" t="s">
        <v>1094</v>
      </c>
      <c r="E330" s="450" t="s">
        <v>528</v>
      </c>
      <c r="F330" s="451">
        <v>63849422</v>
      </c>
      <c r="G330" s="451">
        <v>0</v>
      </c>
      <c r="H330" s="451">
        <v>895738</v>
      </c>
      <c r="I330" s="451">
        <v>248843</v>
      </c>
      <c r="J330" s="451">
        <v>0</v>
      </c>
      <c r="K330" s="451">
        <v>248843</v>
      </c>
      <c r="L330" s="451">
        <v>0</v>
      </c>
      <c r="M330" s="451">
        <v>0</v>
      </c>
      <c r="N330" s="451">
        <v>0</v>
      </c>
      <c r="O330" s="451">
        <v>0</v>
      </c>
      <c r="P330" s="451">
        <v>0</v>
      </c>
      <c r="Q330" s="451">
        <v>0</v>
      </c>
      <c r="R330" s="451">
        <v>62704841</v>
      </c>
      <c r="S330" s="452" t="s">
        <v>528</v>
      </c>
      <c r="T330" s="453" t="s">
        <v>783</v>
      </c>
      <c r="U330" s="454" t="s">
        <v>784</v>
      </c>
      <c r="V330" s="324"/>
      <c r="W330" s="325"/>
    </row>
    <row r="331" spans="1:32" s="197" customFormat="1" ht="12.75" x14ac:dyDescent="0.2">
      <c r="A331" s="446">
        <v>324</v>
      </c>
      <c r="B331" s="447" t="s">
        <v>531</v>
      </c>
      <c r="C331" s="448" t="s">
        <v>1093</v>
      </c>
      <c r="D331" s="449" t="s">
        <v>1095</v>
      </c>
      <c r="E331" s="450" t="s">
        <v>530</v>
      </c>
      <c r="F331" s="451">
        <v>25265575</v>
      </c>
      <c r="G331" s="451">
        <v>202409</v>
      </c>
      <c r="H331" s="451">
        <v>0</v>
      </c>
      <c r="I331" s="451">
        <v>154556</v>
      </c>
      <c r="J331" s="451">
        <v>0</v>
      </c>
      <c r="K331" s="451">
        <v>154556</v>
      </c>
      <c r="L331" s="451">
        <v>0</v>
      </c>
      <c r="M331" s="451">
        <v>0</v>
      </c>
      <c r="N331" s="451">
        <v>0</v>
      </c>
      <c r="O331" s="451">
        <v>0</v>
      </c>
      <c r="P331" s="451">
        <v>0</v>
      </c>
      <c r="Q331" s="451">
        <v>0</v>
      </c>
      <c r="R331" s="451">
        <v>25313428</v>
      </c>
      <c r="S331" s="452" t="s">
        <v>530</v>
      </c>
      <c r="T331" s="453" t="s">
        <v>813</v>
      </c>
      <c r="U331" s="454" t="s">
        <v>800</v>
      </c>
      <c r="V331" s="324"/>
      <c r="W331" s="325"/>
    </row>
    <row r="332" spans="1:32" s="197" customFormat="1" ht="12.75" x14ac:dyDescent="0.2">
      <c r="A332" s="446">
        <v>325</v>
      </c>
      <c r="B332" s="447" t="s">
        <v>533</v>
      </c>
      <c r="C332" s="448" t="s">
        <v>1093</v>
      </c>
      <c r="D332" s="449" t="s">
        <v>1103</v>
      </c>
      <c r="E332" s="450" t="s">
        <v>532</v>
      </c>
      <c r="F332" s="451">
        <v>26522050</v>
      </c>
      <c r="G332" s="451">
        <v>0</v>
      </c>
      <c r="H332" s="451">
        <v>166828</v>
      </c>
      <c r="I332" s="451">
        <v>137574</v>
      </c>
      <c r="J332" s="451">
        <v>0</v>
      </c>
      <c r="K332" s="451">
        <v>137574</v>
      </c>
      <c r="L332" s="451">
        <v>0</v>
      </c>
      <c r="M332" s="451">
        <v>0</v>
      </c>
      <c r="N332" s="451">
        <v>0</v>
      </c>
      <c r="O332" s="451">
        <v>0</v>
      </c>
      <c r="P332" s="451">
        <v>0</v>
      </c>
      <c r="Q332" s="451">
        <v>0</v>
      </c>
      <c r="R332" s="451">
        <v>26217648</v>
      </c>
      <c r="S332" s="452" t="s">
        <v>532</v>
      </c>
      <c r="T332" s="453" t="s">
        <v>810</v>
      </c>
      <c r="U332" s="454" t="s">
        <v>811</v>
      </c>
      <c r="V332" s="324"/>
      <c r="W332" s="325"/>
    </row>
    <row r="333" spans="1:32" s="197" customFormat="1" ht="13.5" thickBot="1" x14ac:dyDescent="0.25">
      <c r="A333" s="446">
        <v>326</v>
      </c>
      <c r="B333" s="447" t="s">
        <v>535</v>
      </c>
      <c r="C333" s="448" t="s">
        <v>794</v>
      </c>
      <c r="D333" s="449" t="s">
        <v>1101</v>
      </c>
      <c r="E333" s="450" t="s">
        <v>759</v>
      </c>
      <c r="F333" s="451">
        <v>83601733</v>
      </c>
      <c r="G333" s="451">
        <v>0</v>
      </c>
      <c r="H333" s="451">
        <v>431618</v>
      </c>
      <c r="I333" s="451">
        <v>295938</v>
      </c>
      <c r="J333" s="451">
        <v>0</v>
      </c>
      <c r="K333" s="451">
        <v>295938</v>
      </c>
      <c r="L333" s="451">
        <v>0</v>
      </c>
      <c r="M333" s="451">
        <v>0</v>
      </c>
      <c r="N333" s="451">
        <v>0</v>
      </c>
      <c r="O333" s="451">
        <v>0</v>
      </c>
      <c r="P333" s="451">
        <v>0</v>
      </c>
      <c r="Q333" s="451">
        <v>0</v>
      </c>
      <c r="R333" s="451">
        <v>82874177</v>
      </c>
      <c r="S333" s="452" t="s">
        <v>759</v>
      </c>
      <c r="T333" s="453" t="s">
        <v>794</v>
      </c>
      <c r="U333" s="454" t="s">
        <v>825</v>
      </c>
      <c r="V333" s="324"/>
      <c r="W333" s="325"/>
    </row>
    <row r="334" spans="1:32" ht="15.75" thickBot="1" x14ac:dyDescent="0.25">
      <c r="A334">
        <v>327</v>
      </c>
      <c r="B334" s="98">
        <v>327</v>
      </c>
      <c r="D334" s="126" t="s">
        <v>1097</v>
      </c>
      <c r="E334" s="126" t="s">
        <v>706</v>
      </c>
      <c r="F334" s="147">
        <f>SUM(F8:F333)</f>
        <v>20688167716</v>
      </c>
      <c r="G334" s="147">
        <f>SUM(G8:G333)</f>
        <v>91708612</v>
      </c>
      <c r="H334" s="147">
        <f t="shared" ref="H334:R334" si="0">SUM(H8:H333)</f>
        <v>125141507</v>
      </c>
      <c r="I334" s="147">
        <f t="shared" si="0"/>
        <v>84001481</v>
      </c>
      <c r="J334" s="147">
        <f t="shared" si="0"/>
        <v>125199</v>
      </c>
      <c r="K334" s="147">
        <f t="shared" si="0"/>
        <v>84126680</v>
      </c>
      <c r="L334" s="147">
        <f t="shared" si="0"/>
        <v>10538000</v>
      </c>
      <c r="M334" s="147">
        <f t="shared" si="0"/>
        <v>2727861</v>
      </c>
      <c r="N334" s="147">
        <f t="shared" si="0"/>
        <v>1132971</v>
      </c>
      <c r="O334" s="147">
        <f t="shared" si="0"/>
        <v>3595456</v>
      </c>
      <c r="P334" s="147">
        <f t="shared" si="0"/>
        <v>3595456</v>
      </c>
      <c r="Q334" s="147">
        <f t="shared" si="0"/>
        <v>0</v>
      </c>
      <c r="R334" s="147">
        <f t="shared" si="0"/>
        <v>20552613853</v>
      </c>
      <c r="S334" s="141" t="s">
        <v>847</v>
      </c>
      <c r="T334" s="141" t="s">
        <v>557</v>
      </c>
      <c r="U334" s="141" t="s">
        <v>846</v>
      </c>
      <c r="V334" s="324" t="s">
        <v>1120</v>
      </c>
      <c r="W334" s="326"/>
    </row>
    <row r="335" spans="1:32" x14ac:dyDescent="0.2">
      <c r="A335">
        <v>328</v>
      </c>
      <c r="D335" s="326" t="s">
        <v>1104</v>
      </c>
      <c r="E335" s="327" t="s">
        <v>1106</v>
      </c>
      <c r="F335" s="328">
        <f>SUMIF($C$8:$C$333,$D335,F$8:F$333)</f>
        <v>4157308514</v>
      </c>
      <c r="G335" s="328">
        <f t="shared" ref="G335:R335" si="1">SUMIF($C$8:$C$333,$D335,G$8:G$333)</f>
        <v>4162341</v>
      </c>
      <c r="H335" s="328">
        <f t="shared" si="1"/>
        <v>31246632</v>
      </c>
      <c r="I335" s="328">
        <f t="shared" si="1"/>
        <v>11549955</v>
      </c>
      <c r="J335" s="328">
        <f t="shared" si="1"/>
        <v>3624</v>
      </c>
      <c r="K335" s="328">
        <f t="shared" si="1"/>
        <v>11553579</v>
      </c>
      <c r="L335" s="328">
        <f t="shared" si="1"/>
        <v>10538000</v>
      </c>
      <c r="M335" s="328">
        <f t="shared" si="1"/>
        <v>0</v>
      </c>
      <c r="N335" s="328">
        <f t="shared" si="1"/>
        <v>0</v>
      </c>
      <c r="O335" s="328">
        <f t="shared" si="1"/>
        <v>60284</v>
      </c>
      <c r="P335" s="328">
        <f t="shared" si="1"/>
        <v>60284</v>
      </c>
      <c r="Q335" s="328">
        <f t="shared" si="1"/>
        <v>0</v>
      </c>
      <c r="R335" s="328">
        <f t="shared" si="1"/>
        <v>4108072360</v>
      </c>
      <c r="S335" s="328"/>
      <c r="T335" s="328"/>
      <c r="U335" s="328"/>
      <c r="V335" s="328"/>
      <c r="W335" s="328"/>
      <c r="X335" s="328"/>
      <c r="Y335" s="328"/>
      <c r="Z335" s="328"/>
      <c r="AA335" s="328"/>
      <c r="AB335" s="328"/>
      <c r="AC335" s="328"/>
      <c r="AD335" s="328"/>
      <c r="AE335" s="328"/>
      <c r="AF335" s="328"/>
    </row>
    <row r="336" spans="1:32" x14ac:dyDescent="0.2">
      <c r="A336">
        <v>329</v>
      </c>
      <c r="D336" s="326" t="s">
        <v>1098</v>
      </c>
      <c r="E336" s="327" t="s">
        <v>1107</v>
      </c>
      <c r="F336" s="328">
        <f t="shared" ref="F336:R339" si="2">SUMIF($C$8:$C$333,$D336,F$8:F$333)</f>
        <v>1873255382</v>
      </c>
      <c r="G336" s="328">
        <f t="shared" si="2"/>
        <v>3185778</v>
      </c>
      <c r="H336" s="328">
        <f t="shared" si="2"/>
        <v>6519366</v>
      </c>
      <c r="I336" s="328">
        <f t="shared" si="2"/>
        <v>6781022</v>
      </c>
      <c r="J336" s="328">
        <f t="shared" si="2"/>
        <v>63737</v>
      </c>
      <c r="K336" s="328">
        <f t="shared" si="2"/>
        <v>6844759</v>
      </c>
      <c r="L336" s="328">
        <f t="shared" si="2"/>
        <v>0</v>
      </c>
      <c r="M336" s="328">
        <f t="shared" si="2"/>
        <v>173688</v>
      </c>
      <c r="N336" s="328">
        <f t="shared" si="2"/>
        <v>0</v>
      </c>
      <c r="O336" s="328">
        <f t="shared" si="2"/>
        <v>0</v>
      </c>
      <c r="P336" s="328">
        <f t="shared" si="2"/>
        <v>0</v>
      </c>
      <c r="Q336" s="328">
        <f t="shared" si="2"/>
        <v>0</v>
      </c>
      <c r="R336" s="328">
        <f t="shared" si="2"/>
        <v>1862903347</v>
      </c>
      <c r="S336" s="328"/>
      <c r="T336" s="328"/>
      <c r="U336" s="328"/>
      <c r="V336" s="328"/>
      <c r="W336" s="328"/>
      <c r="X336" s="328"/>
      <c r="Y336" s="328"/>
      <c r="Z336" s="328"/>
      <c r="AA336" s="328"/>
      <c r="AB336" s="328"/>
      <c r="AC336" s="328"/>
      <c r="AD336" s="328"/>
      <c r="AE336" s="328"/>
      <c r="AF336" s="328"/>
    </row>
    <row r="337" spans="1:32" x14ac:dyDescent="0.2">
      <c r="A337">
        <v>330</v>
      </c>
      <c r="D337" s="326" t="s">
        <v>1100</v>
      </c>
      <c r="E337" s="327" t="s">
        <v>1108</v>
      </c>
      <c r="F337" s="328">
        <f t="shared" si="2"/>
        <v>3621951294</v>
      </c>
      <c r="G337" s="328">
        <f t="shared" si="2"/>
        <v>2339982</v>
      </c>
      <c r="H337" s="328">
        <f t="shared" si="2"/>
        <v>21771672</v>
      </c>
      <c r="I337" s="328">
        <f t="shared" si="2"/>
        <v>16816671</v>
      </c>
      <c r="J337" s="328">
        <f t="shared" si="2"/>
        <v>0</v>
      </c>
      <c r="K337" s="328">
        <f t="shared" si="2"/>
        <v>16816671</v>
      </c>
      <c r="L337" s="328">
        <f t="shared" si="2"/>
        <v>0</v>
      </c>
      <c r="M337" s="328">
        <f t="shared" si="2"/>
        <v>1353287</v>
      </c>
      <c r="N337" s="328">
        <f t="shared" si="2"/>
        <v>1132971</v>
      </c>
      <c r="O337" s="328">
        <f t="shared" si="2"/>
        <v>188916</v>
      </c>
      <c r="P337" s="328">
        <f t="shared" si="2"/>
        <v>188916</v>
      </c>
      <c r="Q337" s="328">
        <f t="shared" si="2"/>
        <v>0</v>
      </c>
      <c r="R337" s="328">
        <f t="shared" si="2"/>
        <v>3583027759</v>
      </c>
      <c r="S337" s="328"/>
      <c r="T337" s="328"/>
      <c r="U337" s="328"/>
      <c r="V337" s="328"/>
      <c r="W337" s="328"/>
      <c r="X337" s="328"/>
      <c r="Y337" s="328"/>
      <c r="Z337" s="328"/>
      <c r="AA337" s="328"/>
      <c r="AB337" s="328"/>
      <c r="AC337" s="328"/>
      <c r="AD337" s="328"/>
      <c r="AE337" s="328"/>
      <c r="AF337" s="328"/>
    </row>
    <row r="338" spans="1:32" x14ac:dyDescent="0.2">
      <c r="A338">
        <v>331</v>
      </c>
      <c r="D338" s="326" t="s">
        <v>794</v>
      </c>
      <c r="E338" s="327" t="s">
        <v>1109</v>
      </c>
      <c r="F338" s="328">
        <f t="shared" si="2"/>
        <v>4231351571</v>
      </c>
      <c r="G338" s="328">
        <f t="shared" si="2"/>
        <v>24182387</v>
      </c>
      <c r="H338" s="328">
        <f t="shared" si="2"/>
        <v>28734153</v>
      </c>
      <c r="I338" s="328">
        <f t="shared" si="2"/>
        <v>17758640</v>
      </c>
      <c r="J338" s="328">
        <f t="shared" si="2"/>
        <v>15640</v>
      </c>
      <c r="K338" s="328">
        <f t="shared" si="2"/>
        <v>17774280</v>
      </c>
      <c r="L338" s="328">
        <f t="shared" si="2"/>
        <v>0</v>
      </c>
      <c r="M338" s="328">
        <f t="shared" si="2"/>
        <v>11720</v>
      </c>
      <c r="N338" s="328">
        <f t="shared" si="2"/>
        <v>0</v>
      </c>
      <c r="O338" s="328">
        <f t="shared" si="2"/>
        <v>1652154</v>
      </c>
      <c r="P338" s="328">
        <f t="shared" si="2"/>
        <v>1652154</v>
      </c>
      <c r="Q338" s="328">
        <f t="shared" si="2"/>
        <v>0</v>
      </c>
      <c r="R338" s="328">
        <f t="shared" si="2"/>
        <v>4207361651</v>
      </c>
      <c r="S338" s="328"/>
      <c r="T338" s="328"/>
      <c r="U338" s="328"/>
      <c r="V338" s="328"/>
      <c r="W338" s="328"/>
      <c r="X338" s="328"/>
      <c r="Y338" s="328"/>
      <c r="Z338" s="328"/>
      <c r="AA338" s="328"/>
      <c r="AB338" s="328"/>
      <c r="AC338" s="328"/>
      <c r="AD338" s="328"/>
      <c r="AE338" s="328"/>
      <c r="AF338" s="328"/>
    </row>
    <row r="339" spans="1:32" x14ac:dyDescent="0.2">
      <c r="A339">
        <v>332</v>
      </c>
      <c r="D339" s="326" t="s">
        <v>1093</v>
      </c>
      <c r="E339" s="327" t="s">
        <v>1110</v>
      </c>
      <c r="F339" s="328">
        <f t="shared" si="2"/>
        <v>6804300955</v>
      </c>
      <c r="G339" s="328">
        <f t="shared" si="2"/>
        <v>57838124</v>
      </c>
      <c r="H339" s="328">
        <f t="shared" si="2"/>
        <v>36869684</v>
      </c>
      <c r="I339" s="328">
        <f t="shared" si="2"/>
        <v>31095193</v>
      </c>
      <c r="J339" s="328">
        <f t="shared" si="2"/>
        <v>42198</v>
      </c>
      <c r="K339" s="328">
        <f t="shared" si="2"/>
        <v>31137391</v>
      </c>
      <c r="L339" s="328">
        <f t="shared" si="2"/>
        <v>0</v>
      </c>
      <c r="M339" s="328">
        <f t="shared" si="2"/>
        <v>1189166</v>
      </c>
      <c r="N339" s="328">
        <f t="shared" si="2"/>
        <v>0</v>
      </c>
      <c r="O339" s="328">
        <f t="shared" si="2"/>
        <v>1694102</v>
      </c>
      <c r="P339" s="328">
        <f t="shared" si="2"/>
        <v>1694102</v>
      </c>
      <c r="Q339" s="328">
        <f t="shared" si="2"/>
        <v>0</v>
      </c>
      <c r="R339" s="328">
        <f t="shared" si="2"/>
        <v>6791248736</v>
      </c>
      <c r="S339" s="328"/>
      <c r="T339" s="328"/>
      <c r="U339" s="328"/>
      <c r="V339" s="328"/>
      <c r="W339" s="328"/>
      <c r="X339" s="328"/>
      <c r="Y339" s="328"/>
      <c r="Z339" s="328"/>
      <c r="AA339" s="328"/>
      <c r="AB339" s="328"/>
      <c r="AC339" s="328"/>
      <c r="AD339" s="328"/>
      <c r="AE339" s="328"/>
      <c r="AF339" s="328"/>
    </row>
    <row r="340" spans="1:32" x14ac:dyDescent="0.2">
      <c r="G340" s="111"/>
      <c r="H340" s="111"/>
      <c r="I340" s="111"/>
      <c r="J340" s="111"/>
      <c r="K340" s="111"/>
      <c r="L340" s="111"/>
      <c r="M340" s="111"/>
      <c r="N340" s="111"/>
      <c r="O340" s="111"/>
      <c r="P340" s="111"/>
      <c r="Q340" s="111"/>
      <c r="R340" s="111"/>
    </row>
    <row r="341" spans="1:32" x14ac:dyDescent="0.2">
      <c r="F341" s="346"/>
      <c r="G341" s="346"/>
      <c r="H341" s="346"/>
      <c r="I341" s="346"/>
      <c r="J341" s="346"/>
      <c r="K341" s="346"/>
      <c r="L341" s="346"/>
      <c r="M341" s="346"/>
      <c r="N341" s="346"/>
      <c r="O341" s="346"/>
      <c r="P341" s="346"/>
      <c r="Q341" s="346"/>
      <c r="R341" s="346"/>
    </row>
    <row r="342" spans="1:32" x14ac:dyDescent="0.2">
      <c r="F342" s="345"/>
      <c r="G342" s="345"/>
      <c r="H342" s="345"/>
      <c r="I342" s="345"/>
      <c r="J342" s="345"/>
      <c r="K342" s="345"/>
      <c r="L342" s="345"/>
      <c r="M342" s="345"/>
      <c r="N342" s="345"/>
      <c r="O342" s="345"/>
      <c r="P342" s="345"/>
      <c r="Q342" s="345"/>
      <c r="R342" s="345"/>
    </row>
  </sheetData>
  <autoFilter ref="A7:AF339"/>
  <phoneticPr fontId="4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41"/>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RowHeight="15" x14ac:dyDescent="0.2"/>
  <cols>
    <col min="2" max="2" width="8.42578125" style="26" customWidth="1"/>
    <col min="3" max="3" width="5.5703125" style="26" customWidth="1"/>
    <col min="4" max="4" width="8.140625" style="26" bestFit="1" customWidth="1"/>
    <col min="5" max="5" width="27" style="26" bestFit="1" customWidth="1"/>
    <col min="6" max="6" width="14.28515625" style="111" bestFit="1" customWidth="1"/>
    <col min="7" max="7" width="13.85546875" style="26" bestFit="1" customWidth="1"/>
    <col min="8" max="8" width="11.7109375" style="26" customWidth="1"/>
    <col min="9" max="9" width="14.28515625" bestFit="1" customWidth="1"/>
    <col min="10" max="11" width="13.85546875" bestFit="1" customWidth="1"/>
    <col min="12" max="16" width="11.7109375" customWidth="1"/>
    <col min="17" max="17" width="13.85546875" bestFit="1" customWidth="1"/>
    <col min="18" max="19" width="11.7109375" customWidth="1"/>
    <col min="20" max="20" width="13.85546875" bestFit="1" customWidth="1"/>
    <col min="21" max="42" width="11.7109375" customWidth="1"/>
    <col min="43" max="58" width="11.7109375" style="169" customWidth="1"/>
    <col min="59" max="59" width="12.7109375" style="169" bestFit="1" customWidth="1"/>
    <col min="60" max="61" width="11.7109375" style="169" customWidth="1"/>
    <col min="62" max="62" width="12.7109375" style="169" bestFit="1" customWidth="1"/>
    <col min="63" max="70" width="11.7109375" style="169" customWidth="1"/>
    <col min="71" max="71" width="12.7109375" style="169" bestFit="1" customWidth="1"/>
    <col min="72" max="76" width="11.7109375" style="169" customWidth="1"/>
    <col min="77" max="77" width="12.7109375" style="169" bestFit="1" customWidth="1"/>
    <col min="78" max="79" width="11.7109375" style="169" customWidth="1"/>
    <col min="80" max="80" width="12.7109375" style="169" bestFit="1" customWidth="1"/>
    <col min="81" max="146" width="11.7109375" style="169" customWidth="1"/>
    <col min="147" max="152" width="11.42578125" style="169" customWidth="1"/>
    <col min="153" max="153" width="11.140625" style="169" bestFit="1" customWidth="1"/>
    <col min="154" max="155" width="8.140625" style="169" bestFit="1" customWidth="1"/>
    <col min="156" max="156" width="11.140625" style="169" bestFit="1" customWidth="1"/>
    <col min="157" max="158" width="14" style="169" bestFit="1" customWidth="1"/>
    <col min="159" max="159" width="11.28515625" style="169" bestFit="1" customWidth="1"/>
    <col min="160" max="160" width="14" style="169" bestFit="1" customWidth="1"/>
    <col min="161" max="162" width="9.28515625" style="169" bestFit="1" customWidth="1"/>
    <col min="163" max="167" width="8.85546875" style="169"/>
  </cols>
  <sheetData>
    <row r="1" spans="1:167" ht="16.5" thickBot="1" x14ac:dyDescent="0.25">
      <c r="A1" s="336"/>
      <c r="B1" s="333"/>
      <c r="C1" s="32"/>
      <c r="D1" s="340"/>
      <c r="E1" s="124"/>
      <c r="F1" s="110"/>
      <c r="G1" s="75"/>
      <c r="H1" s="75"/>
      <c r="V1" s="103"/>
    </row>
    <row r="2" spans="1:167" s="136" customFormat="1" ht="70.5" customHeight="1" thickTop="1" thickBot="1" x14ac:dyDescent="0.25">
      <c r="A2" s="337"/>
      <c r="B2" s="137"/>
      <c r="C2" s="33"/>
      <c r="D2" s="88"/>
      <c r="E2" s="124"/>
      <c r="F2" s="422" t="s">
        <v>705</v>
      </c>
      <c r="G2" s="423"/>
      <c r="H2" s="423"/>
      <c r="I2" s="424"/>
      <c r="J2" s="425" t="s">
        <v>993</v>
      </c>
      <c r="K2" s="426"/>
      <c r="L2" s="426"/>
      <c r="M2" s="427"/>
      <c r="N2" s="419" t="s">
        <v>994</v>
      </c>
      <c r="O2" s="420"/>
      <c r="P2" s="420"/>
      <c r="Q2" s="421"/>
      <c r="R2" s="428" t="s">
        <v>995</v>
      </c>
      <c r="S2" s="429"/>
      <c r="T2" s="429"/>
      <c r="U2" s="430"/>
      <c r="V2" s="419" t="s">
        <v>996</v>
      </c>
      <c r="W2" s="420"/>
      <c r="X2" s="420"/>
      <c r="Y2" s="421"/>
      <c r="Z2" s="419" t="s">
        <v>997</v>
      </c>
      <c r="AA2" s="420"/>
      <c r="AB2" s="420"/>
      <c r="AC2" s="421"/>
      <c r="AD2" s="419" t="s">
        <v>998</v>
      </c>
      <c r="AE2" s="420"/>
      <c r="AF2" s="420"/>
      <c r="AG2" s="421"/>
      <c r="AH2" s="431" t="s">
        <v>1090</v>
      </c>
      <c r="AI2" s="421"/>
      <c r="AJ2" s="431" t="s">
        <v>999</v>
      </c>
      <c r="AK2" s="421"/>
      <c r="AL2" s="419" t="s">
        <v>707</v>
      </c>
      <c r="AM2" s="420"/>
      <c r="AN2" s="421"/>
      <c r="AO2" s="314" t="s">
        <v>1000</v>
      </c>
      <c r="AP2" s="314" t="s">
        <v>1001</v>
      </c>
      <c r="AQ2" s="417"/>
      <c r="AR2" s="417"/>
      <c r="AS2" s="417"/>
      <c r="AT2" s="417"/>
      <c r="AU2" s="417"/>
      <c r="AV2" s="417"/>
      <c r="AW2" s="417"/>
      <c r="AX2" s="417"/>
      <c r="AY2" s="417"/>
      <c r="AZ2" s="417"/>
      <c r="BA2" s="417"/>
      <c r="BB2" s="417"/>
      <c r="BC2" s="417"/>
      <c r="BD2" s="417"/>
      <c r="BE2" s="417"/>
      <c r="BF2" s="417"/>
      <c r="BG2" s="418"/>
      <c r="BH2" s="417"/>
      <c r="BI2" s="417"/>
      <c r="BJ2" s="417"/>
      <c r="BK2" s="418"/>
      <c r="BL2" s="417"/>
      <c r="BM2" s="417"/>
      <c r="BN2" s="417"/>
      <c r="BO2" s="418"/>
      <c r="BP2" s="417"/>
      <c r="BQ2" s="417"/>
      <c r="BR2" s="417"/>
      <c r="BS2" s="417"/>
      <c r="BT2" s="417"/>
      <c r="BU2" s="417"/>
      <c r="BV2" s="417"/>
      <c r="BW2" s="417"/>
      <c r="BX2" s="417"/>
      <c r="BY2" s="417"/>
      <c r="BZ2" s="417"/>
      <c r="CA2" s="417"/>
      <c r="CB2" s="417"/>
      <c r="CC2" s="418"/>
      <c r="CD2" s="417"/>
      <c r="CE2" s="417"/>
      <c r="CF2" s="417"/>
      <c r="CG2" s="418"/>
      <c r="CH2" s="417"/>
      <c r="CI2" s="417"/>
      <c r="CJ2" s="417"/>
      <c r="CK2" s="418"/>
      <c r="CL2" s="418"/>
      <c r="CM2" s="418"/>
      <c r="CN2" s="417"/>
      <c r="CO2" s="417"/>
      <c r="CP2" s="417"/>
      <c r="CQ2" s="417"/>
      <c r="CR2" s="417"/>
      <c r="CS2" s="417"/>
      <c r="CT2" s="417"/>
      <c r="CU2" s="418"/>
      <c r="CV2" s="417"/>
      <c r="CW2" s="417"/>
      <c r="CX2" s="417"/>
      <c r="CY2" s="418"/>
      <c r="CZ2" s="417"/>
      <c r="DA2" s="417"/>
      <c r="DB2" s="417"/>
      <c r="DC2" s="418"/>
      <c r="DD2" s="417"/>
      <c r="DE2" s="417"/>
      <c r="DF2" s="417"/>
      <c r="DG2" s="418"/>
      <c r="DH2" s="417"/>
      <c r="DI2" s="417"/>
      <c r="DJ2" s="417"/>
      <c r="DK2" s="418"/>
      <c r="DL2" s="417"/>
      <c r="DM2" s="417"/>
      <c r="DN2" s="417"/>
      <c r="DO2" s="418"/>
      <c r="DP2" s="417"/>
      <c r="DQ2" s="417"/>
      <c r="DR2" s="417"/>
      <c r="DS2" s="417"/>
      <c r="DT2" s="417"/>
      <c r="DU2" s="417"/>
      <c r="DV2" s="417"/>
      <c r="DW2" s="417"/>
      <c r="DX2" s="417"/>
      <c r="DY2" s="417"/>
      <c r="DZ2" s="417"/>
      <c r="EA2" s="417"/>
      <c r="EB2" s="417"/>
      <c r="EC2" s="306"/>
      <c r="ED2" s="306"/>
      <c r="EE2" s="417"/>
      <c r="EF2" s="417"/>
      <c r="EG2" s="417"/>
      <c r="EH2" s="417"/>
      <c r="EI2" s="417"/>
      <c r="EJ2" s="417"/>
      <c r="EK2" s="417"/>
      <c r="EL2" s="417"/>
      <c r="EM2" s="417"/>
      <c r="EN2" s="417"/>
      <c r="EO2" s="417"/>
      <c r="EP2" s="417"/>
      <c r="EQ2" s="417"/>
      <c r="ER2" s="417"/>
      <c r="ES2" s="417"/>
      <c r="ET2" s="417"/>
      <c r="EU2" s="417"/>
      <c r="EV2" s="417"/>
      <c r="EW2" s="417"/>
      <c r="EX2" s="417"/>
      <c r="EY2" s="417"/>
      <c r="EZ2" s="417"/>
      <c r="FA2" s="417"/>
      <c r="FB2" s="417"/>
      <c r="FC2" s="417"/>
      <c r="FD2" s="417"/>
      <c r="FE2" s="307"/>
      <c r="FF2" s="279"/>
      <c r="FG2" s="279"/>
      <c r="FH2" s="279"/>
      <c r="FI2" s="279"/>
      <c r="FJ2" s="279"/>
      <c r="FK2" s="279"/>
    </row>
    <row r="3" spans="1:167" ht="13.5" thickTop="1" x14ac:dyDescent="0.2">
      <c r="A3" s="338">
        <v>1</v>
      </c>
      <c r="B3" s="35">
        <v>2</v>
      </c>
      <c r="C3" s="35">
        <v>3</v>
      </c>
      <c r="D3" s="342">
        <v>4</v>
      </c>
      <c r="E3" s="35">
        <v>5</v>
      </c>
      <c r="F3" s="35">
        <v>6</v>
      </c>
      <c r="G3" s="342">
        <v>7</v>
      </c>
      <c r="H3" s="35">
        <v>8</v>
      </c>
      <c r="I3" s="35">
        <v>9</v>
      </c>
      <c r="J3" s="342">
        <v>10</v>
      </c>
      <c r="K3" s="35">
        <v>11</v>
      </c>
      <c r="L3" s="35">
        <v>12</v>
      </c>
      <c r="M3" s="342">
        <v>13</v>
      </c>
      <c r="N3" s="35">
        <v>14</v>
      </c>
      <c r="O3" s="35">
        <v>15</v>
      </c>
      <c r="P3" s="342">
        <v>16</v>
      </c>
      <c r="Q3" s="35">
        <v>17</v>
      </c>
      <c r="R3" s="35">
        <v>18</v>
      </c>
      <c r="S3" s="342">
        <v>19</v>
      </c>
      <c r="T3" s="35">
        <v>20</v>
      </c>
      <c r="U3" s="35">
        <v>21</v>
      </c>
      <c r="V3" s="342">
        <v>22</v>
      </c>
      <c r="W3" s="35">
        <v>23</v>
      </c>
      <c r="X3" s="35">
        <v>24</v>
      </c>
      <c r="Y3" s="342">
        <v>25</v>
      </c>
      <c r="Z3" s="35">
        <v>26</v>
      </c>
      <c r="AA3" s="35">
        <v>27</v>
      </c>
      <c r="AB3" s="342">
        <v>28</v>
      </c>
      <c r="AC3" s="35">
        <v>29</v>
      </c>
      <c r="AD3" s="35">
        <v>30</v>
      </c>
      <c r="AE3" s="342">
        <v>31</v>
      </c>
      <c r="AF3" s="35">
        <v>32</v>
      </c>
      <c r="AG3" s="35">
        <v>33</v>
      </c>
      <c r="AH3" s="342">
        <v>34</v>
      </c>
      <c r="AI3" s="35">
        <v>35</v>
      </c>
      <c r="AJ3" s="35">
        <v>36</v>
      </c>
      <c r="AK3" s="342">
        <v>37</v>
      </c>
      <c r="AL3" s="35">
        <v>38</v>
      </c>
      <c r="AM3" s="35">
        <v>39</v>
      </c>
      <c r="AN3" s="342">
        <v>40</v>
      </c>
      <c r="AO3" s="35">
        <v>41</v>
      </c>
      <c r="AP3" s="35">
        <v>42</v>
      </c>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row>
    <row r="4" spans="1:167" ht="13.5" thickBot="1" x14ac:dyDescent="0.25">
      <c r="A4" s="338"/>
      <c r="B4" s="334"/>
      <c r="C4" s="37"/>
      <c r="D4" s="88"/>
      <c r="E4" s="88"/>
      <c r="F4" s="114"/>
      <c r="G4" s="115"/>
      <c r="H4" s="115"/>
      <c r="I4" s="116"/>
      <c r="J4" s="116"/>
      <c r="K4" s="116"/>
      <c r="L4" s="116"/>
      <c r="M4" s="116"/>
      <c r="N4" s="116"/>
      <c r="O4" s="116"/>
      <c r="P4" s="116"/>
      <c r="Q4" s="116"/>
      <c r="R4" s="116"/>
      <c r="S4" s="116"/>
      <c r="T4" s="116"/>
      <c r="U4" s="117"/>
      <c r="V4" s="118"/>
      <c r="W4" s="118"/>
      <c r="X4" s="118"/>
      <c r="Y4" s="118"/>
      <c r="Z4" s="118"/>
      <c r="AA4" s="118"/>
      <c r="AB4" s="118"/>
      <c r="AC4" s="118"/>
      <c r="AD4" s="118"/>
      <c r="AE4" s="118"/>
      <c r="AF4" s="118"/>
      <c r="AG4" s="118"/>
      <c r="AH4" s="118"/>
      <c r="AI4" s="118"/>
      <c r="AJ4" s="118"/>
      <c r="AK4" s="118"/>
      <c r="AL4" s="118"/>
      <c r="AM4" s="118"/>
      <c r="AN4" s="118"/>
      <c r="AO4" s="118"/>
      <c r="AP4" s="118"/>
    </row>
    <row r="5" spans="1:167" s="125" customFormat="1" ht="13.5" thickBot="1" x14ac:dyDescent="0.25">
      <c r="A5" s="338"/>
      <c r="B5" s="112" t="s">
        <v>581</v>
      </c>
      <c r="C5" s="323" t="s">
        <v>1091</v>
      </c>
      <c r="D5" s="341" t="s">
        <v>1092</v>
      </c>
      <c r="E5" s="112" t="s">
        <v>580</v>
      </c>
      <c r="F5" s="145">
        <v>1</v>
      </c>
      <c r="G5" s="127">
        <v>2</v>
      </c>
      <c r="H5" s="127">
        <v>3</v>
      </c>
      <c r="I5" s="127">
        <v>4</v>
      </c>
      <c r="J5" s="145">
        <v>5</v>
      </c>
      <c r="K5" s="127">
        <v>6</v>
      </c>
      <c r="L5" s="127">
        <v>7</v>
      </c>
      <c r="M5" s="127">
        <v>8</v>
      </c>
      <c r="N5" s="145">
        <v>9</v>
      </c>
      <c r="O5" s="127">
        <v>10</v>
      </c>
      <c r="P5" s="127">
        <v>11</v>
      </c>
      <c r="Q5" s="127">
        <v>12</v>
      </c>
      <c r="R5" s="145">
        <v>13</v>
      </c>
      <c r="S5" s="127">
        <v>14</v>
      </c>
      <c r="T5" s="127">
        <v>15</v>
      </c>
      <c r="U5" s="127">
        <v>16</v>
      </c>
      <c r="V5" s="145">
        <v>17</v>
      </c>
      <c r="W5" s="127">
        <v>18</v>
      </c>
      <c r="X5" s="127">
        <v>19</v>
      </c>
      <c r="Y5" s="127">
        <v>20</v>
      </c>
      <c r="Z5" s="145">
        <v>21</v>
      </c>
      <c r="AA5" s="127">
        <v>22</v>
      </c>
      <c r="AB5" s="127">
        <v>23</v>
      </c>
      <c r="AC5" s="127">
        <v>24</v>
      </c>
      <c r="AD5" s="145">
        <v>25</v>
      </c>
      <c r="AE5" s="127">
        <v>26</v>
      </c>
      <c r="AF5" s="127">
        <v>27</v>
      </c>
      <c r="AG5" s="127">
        <v>28</v>
      </c>
      <c r="AH5" s="145">
        <v>29</v>
      </c>
      <c r="AI5" s="127">
        <v>30</v>
      </c>
      <c r="AJ5" s="127">
        <v>31</v>
      </c>
      <c r="AK5" s="127">
        <v>32</v>
      </c>
      <c r="AL5" s="145">
        <v>33</v>
      </c>
      <c r="AM5" s="127">
        <v>34</v>
      </c>
      <c r="AN5" s="127">
        <v>35</v>
      </c>
      <c r="AO5" s="127">
        <v>36</v>
      </c>
      <c r="AP5" s="145">
        <v>37</v>
      </c>
      <c r="AQ5" s="309"/>
      <c r="AR5" s="309"/>
      <c r="AS5" s="309"/>
      <c r="AT5" s="309"/>
      <c r="AU5" s="309"/>
      <c r="AV5" s="309"/>
      <c r="AW5" s="309"/>
      <c r="AX5" s="309"/>
      <c r="AY5" s="309"/>
      <c r="AZ5" s="309"/>
      <c r="BA5" s="309"/>
      <c r="BB5" s="309"/>
      <c r="BC5" s="309"/>
      <c r="BD5" s="309"/>
      <c r="BE5" s="309"/>
      <c r="BF5" s="309"/>
      <c r="BG5" s="309"/>
      <c r="BH5" s="309"/>
      <c r="BI5" s="309"/>
      <c r="BJ5" s="309"/>
      <c r="BK5" s="309"/>
      <c r="BL5" s="309"/>
      <c r="BM5" s="309"/>
      <c r="BN5" s="309"/>
      <c r="BO5" s="309"/>
      <c r="BP5" s="309"/>
      <c r="BQ5" s="309"/>
      <c r="BR5" s="309"/>
      <c r="BS5" s="309"/>
      <c r="BT5" s="309"/>
      <c r="BU5" s="309"/>
      <c r="BV5" s="309"/>
      <c r="BW5" s="309"/>
      <c r="BX5" s="309"/>
      <c r="BY5" s="309"/>
      <c r="BZ5" s="309"/>
      <c r="CA5" s="309"/>
      <c r="CB5" s="309"/>
      <c r="CC5" s="309"/>
      <c r="CD5" s="309"/>
      <c r="CE5" s="309"/>
      <c r="CF5" s="309"/>
      <c r="CG5" s="309"/>
      <c r="CH5" s="309"/>
      <c r="CI5" s="309"/>
      <c r="CJ5" s="309"/>
      <c r="CK5" s="309"/>
      <c r="CL5" s="309"/>
      <c r="CM5" s="309"/>
      <c r="CN5" s="309"/>
      <c r="CO5" s="309"/>
      <c r="CP5" s="309"/>
      <c r="CQ5" s="309"/>
      <c r="CR5" s="309"/>
      <c r="CS5" s="309"/>
      <c r="CT5" s="309"/>
      <c r="CU5" s="309"/>
      <c r="CV5" s="309"/>
      <c r="CW5" s="309"/>
      <c r="CX5" s="309"/>
      <c r="CY5" s="309"/>
      <c r="CZ5" s="309"/>
      <c r="DA5" s="309"/>
      <c r="DB5" s="309"/>
      <c r="DC5" s="309"/>
      <c r="DD5" s="309"/>
      <c r="DE5" s="309"/>
      <c r="DF5" s="309"/>
      <c r="DG5" s="309"/>
      <c r="DH5" s="309"/>
      <c r="DI5" s="309"/>
      <c r="DJ5" s="309"/>
      <c r="DK5" s="309"/>
      <c r="DL5" s="309"/>
      <c r="DM5" s="309"/>
      <c r="DN5" s="309"/>
      <c r="DO5" s="309"/>
      <c r="DP5" s="309"/>
      <c r="DQ5" s="309"/>
      <c r="DR5" s="309"/>
      <c r="DS5" s="309"/>
      <c r="DT5" s="309"/>
      <c r="DU5" s="309"/>
      <c r="DV5" s="309"/>
      <c r="DW5" s="309"/>
      <c r="DX5" s="309"/>
      <c r="DY5" s="309"/>
      <c r="DZ5" s="309"/>
      <c r="EA5" s="309"/>
      <c r="EB5" s="309"/>
      <c r="EC5" s="309"/>
      <c r="ED5" s="309"/>
      <c r="EE5" s="309"/>
      <c r="EF5" s="309"/>
      <c r="EG5" s="309"/>
      <c r="EH5" s="309"/>
      <c r="EI5" s="309"/>
      <c r="EJ5" s="309"/>
      <c r="EK5" s="309"/>
      <c r="EL5" s="309"/>
      <c r="EM5" s="309"/>
      <c r="EN5" s="309"/>
      <c r="EO5" s="309"/>
      <c r="EP5" s="309"/>
      <c r="EQ5" s="309"/>
      <c r="ER5" s="309"/>
      <c r="ES5" s="309"/>
      <c r="ET5" s="309"/>
      <c r="EU5" s="309"/>
      <c r="EV5" s="309"/>
      <c r="EW5" s="309"/>
      <c r="EX5" s="309"/>
      <c r="EY5" s="309"/>
      <c r="EZ5" s="309"/>
      <c r="FA5" s="309"/>
      <c r="FB5" s="309"/>
      <c r="FC5" s="309"/>
      <c r="FD5" s="309"/>
      <c r="FE5" s="309"/>
      <c r="FF5" s="295"/>
      <c r="FG5" s="295"/>
      <c r="FH5" s="295"/>
      <c r="FI5" s="295"/>
      <c r="FJ5" s="295"/>
      <c r="FK5" s="295"/>
    </row>
    <row r="6" spans="1:167" s="125" customFormat="1" ht="13.5" thickBot="1" x14ac:dyDescent="0.25">
      <c r="A6" s="339"/>
      <c r="B6" s="335"/>
      <c r="C6" s="113"/>
      <c r="D6" s="91"/>
      <c r="E6" s="113"/>
      <c r="F6" s="146">
        <v>1</v>
      </c>
      <c r="G6" s="128">
        <v>2</v>
      </c>
      <c r="H6" s="128">
        <v>3</v>
      </c>
      <c r="I6" s="128">
        <v>4</v>
      </c>
      <c r="J6" s="128">
        <v>1</v>
      </c>
      <c r="K6" s="128">
        <v>2</v>
      </c>
      <c r="L6" s="128">
        <v>3</v>
      </c>
      <c r="M6" s="128">
        <v>4</v>
      </c>
      <c r="N6" s="128">
        <v>1</v>
      </c>
      <c r="O6" s="128">
        <v>2</v>
      </c>
      <c r="P6" s="128">
        <v>3</v>
      </c>
      <c r="Q6" s="128">
        <v>4</v>
      </c>
      <c r="R6" s="128">
        <v>1</v>
      </c>
      <c r="S6" s="128">
        <v>2</v>
      </c>
      <c r="T6" s="128">
        <v>3</v>
      </c>
      <c r="U6" s="128">
        <v>4</v>
      </c>
      <c r="V6" s="128">
        <v>1</v>
      </c>
      <c r="W6" s="128">
        <v>2</v>
      </c>
      <c r="X6" s="128">
        <v>3</v>
      </c>
      <c r="Y6" s="128">
        <v>4</v>
      </c>
      <c r="Z6" s="128">
        <v>1</v>
      </c>
      <c r="AA6" s="128">
        <v>2</v>
      </c>
      <c r="AB6" s="128">
        <v>3</v>
      </c>
      <c r="AC6" s="128">
        <v>4</v>
      </c>
      <c r="AD6" s="128">
        <v>1</v>
      </c>
      <c r="AE6" s="128">
        <v>2</v>
      </c>
      <c r="AF6" s="128">
        <v>3</v>
      </c>
      <c r="AG6" s="128">
        <v>4</v>
      </c>
      <c r="AH6" s="128">
        <v>1</v>
      </c>
      <c r="AI6" s="128">
        <v>2</v>
      </c>
      <c r="AJ6" s="128">
        <v>3</v>
      </c>
      <c r="AK6" s="128">
        <v>4</v>
      </c>
      <c r="AL6" s="128">
        <v>1</v>
      </c>
      <c r="AM6" s="128">
        <v>2</v>
      </c>
      <c r="AN6" s="128">
        <v>3</v>
      </c>
      <c r="AO6" s="128">
        <v>1</v>
      </c>
      <c r="AP6" s="304">
        <v>1</v>
      </c>
      <c r="AQ6" s="309"/>
      <c r="AR6" s="309"/>
      <c r="AS6" s="309"/>
      <c r="AT6" s="309"/>
      <c r="AU6" s="309"/>
      <c r="AV6" s="309"/>
      <c r="AW6" s="309"/>
      <c r="AX6" s="309"/>
      <c r="AY6" s="309"/>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09"/>
      <c r="CZ6" s="309"/>
      <c r="DA6" s="309"/>
      <c r="DB6" s="309"/>
      <c r="DC6" s="309"/>
      <c r="DD6" s="309"/>
      <c r="DE6" s="309"/>
      <c r="DF6" s="309"/>
      <c r="DG6" s="309"/>
      <c r="DH6" s="309"/>
      <c r="DI6" s="309"/>
      <c r="DJ6" s="309"/>
      <c r="DK6" s="309"/>
      <c r="DL6" s="309"/>
      <c r="DM6" s="309"/>
      <c r="DN6" s="309"/>
      <c r="DO6" s="309"/>
      <c r="DP6" s="309"/>
      <c r="DQ6" s="309"/>
      <c r="DR6" s="309"/>
      <c r="DS6" s="309"/>
      <c r="DT6" s="309"/>
      <c r="DU6" s="309"/>
      <c r="DV6" s="309"/>
      <c r="DW6" s="309"/>
      <c r="DX6" s="309"/>
      <c r="DY6" s="309"/>
      <c r="DZ6" s="309"/>
      <c r="EA6" s="309"/>
      <c r="EB6" s="309"/>
      <c r="EC6" s="309"/>
      <c r="ED6" s="309"/>
      <c r="EE6" s="309"/>
      <c r="EF6" s="309"/>
      <c r="EG6" s="309"/>
      <c r="EH6" s="309"/>
      <c r="EI6" s="309"/>
      <c r="EJ6" s="309"/>
      <c r="EK6" s="309"/>
      <c r="EL6" s="309"/>
      <c r="EM6" s="309"/>
      <c r="EN6" s="309"/>
      <c r="EO6" s="309"/>
      <c r="EP6" s="309"/>
      <c r="EQ6" s="309"/>
      <c r="ER6" s="309"/>
      <c r="ES6" s="309"/>
      <c r="ET6" s="309"/>
      <c r="EU6" s="309"/>
      <c r="EV6" s="309"/>
      <c r="EW6" s="309"/>
      <c r="EX6" s="309"/>
      <c r="EY6" s="309"/>
      <c r="EZ6" s="309"/>
      <c r="FA6" s="309"/>
      <c r="FB6" s="309"/>
      <c r="FC6" s="309"/>
      <c r="FD6" s="309"/>
      <c r="FE6" s="309"/>
      <c r="FF6" s="295"/>
      <c r="FG6" s="295"/>
      <c r="FH6" s="295"/>
      <c r="FI6" s="295"/>
      <c r="FJ6" s="295"/>
      <c r="FK6" s="295"/>
    </row>
    <row r="7" spans="1:167" ht="13.5" thickBot="1" x14ac:dyDescent="0.25">
      <c r="A7" s="77"/>
      <c r="B7" s="77"/>
      <c r="C7" s="78"/>
      <c r="D7" s="85"/>
      <c r="E7" s="329"/>
      <c r="F7" s="119"/>
      <c r="G7" s="120"/>
      <c r="H7" s="120"/>
      <c r="I7" s="121"/>
      <c r="J7" s="122"/>
      <c r="K7" s="121"/>
      <c r="L7" s="121"/>
      <c r="M7" s="121"/>
      <c r="N7" s="121"/>
      <c r="O7" s="121"/>
      <c r="P7" s="121"/>
      <c r="Q7" s="121"/>
      <c r="R7" s="121"/>
      <c r="S7" s="121"/>
      <c r="T7" s="121"/>
      <c r="U7" s="121"/>
      <c r="V7" s="123"/>
      <c r="W7" s="123"/>
      <c r="X7" s="123"/>
      <c r="Y7" s="123"/>
      <c r="Z7" s="123"/>
      <c r="AA7" s="123"/>
      <c r="AB7" s="123"/>
      <c r="AC7" s="123"/>
      <c r="AD7" s="123"/>
      <c r="AE7" s="123"/>
      <c r="AF7" s="123"/>
      <c r="AG7" s="123"/>
      <c r="AH7" s="123"/>
      <c r="AI7" s="123"/>
      <c r="AJ7" s="123"/>
      <c r="AK7" s="123"/>
      <c r="AL7" s="123"/>
      <c r="AM7" s="123"/>
      <c r="AN7" s="123"/>
      <c r="AO7" s="123"/>
      <c r="AP7" s="123"/>
    </row>
    <row r="8" spans="1:167" ht="12.75" x14ac:dyDescent="0.2">
      <c r="A8" s="446">
        <v>1</v>
      </c>
      <c r="B8" s="447" t="s">
        <v>583</v>
      </c>
      <c r="C8" s="448" t="s">
        <v>1093</v>
      </c>
      <c r="D8" s="449" t="s">
        <v>1094</v>
      </c>
      <c r="E8" s="450" t="s">
        <v>582</v>
      </c>
      <c r="F8" s="451">
        <v>16627384</v>
      </c>
      <c r="G8" s="451">
        <v>0</v>
      </c>
      <c r="H8" s="451">
        <v>0</v>
      </c>
      <c r="I8" s="451">
        <v>16627384</v>
      </c>
      <c r="J8" s="451">
        <v>65676</v>
      </c>
      <c r="K8" s="451">
        <v>0</v>
      </c>
      <c r="L8" s="451">
        <v>0</v>
      </c>
      <c r="M8" s="451">
        <v>65676</v>
      </c>
      <c r="N8" s="451">
        <v>68101</v>
      </c>
      <c r="O8" s="451">
        <v>0</v>
      </c>
      <c r="P8" s="451">
        <v>0</v>
      </c>
      <c r="Q8" s="451">
        <v>68101</v>
      </c>
      <c r="R8" s="451">
        <v>85969</v>
      </c>
      <c r="S8" s="451">
        <v>0</v>
      </c>
      <c r="T8" s="451">
        <v>0</v>
      </c>
      <c r="U8" s="451">
        <v>85969</v>
      </c>
      <c r="V8" s="451">
        <v>1091063</v>
      </c>
      <c r="W8" s="451">
        <v>0</v>
      </c>
      <c r="X8" s="451">
        <v>0</v>
      </c>
      <c r="Y8" s="451">
        <v>1091063</v>
      </c>
      <c r="Z8" s="451">
        <v>15316575</v>
      </c>
      <c r="AA8" s="451">
        <v>0</v>
      </c>
      <c r="AB8" s="451">
        <v>0</v>
      </c>
      <c r="AC8" s="451">
        <v>15316575</v>
      </c>
      <c r="AD8" s="451">
        <v>0</v>
      </c>
      <c r="AE8" s="451">
        <v>0</v>
      </c>
      <c r="AF8" s="451">
        <v>0</v>
      </c>
      <c r="AG8" s="451">
        <v>0</v>
      </c>
      <c r="AH8" s="451">
        <v>0</v>
      </c>
      <c r="AI8" s="451">
        <v>0</v>
      </c>
      <c r="AJ8" s="451">
        <v>0</v>
      </c>
      <c r="AK8" s="451">
        <v>0</v>
      </c>
      <c r="AL8" s="451">
        <v>0</v>
      </c>
      <c r="AM8" s="451">
        <v>0</v>
      </c>
      <c r="AN8" s="451">
        <v>0</v>
      </c>
      <c r="AO8" s="451">
        <v>839605</v>
      </c>
      <c r="AP8" s="451">
        <v>253756</v>
      </c>
      <c r="AQ8" s="324"/>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1"/>
      <c r="FF8" s="312"/>
    </row>
    <row r="9" spans="1:167" ht="12.75" x14ac:dyDescent="0.2">
      <c r="A9" s="446">
        <v>2</v>
      </c>
      <c r="B9" s="447" t="s">
        <v>585</v>
      </c>
      <c r="C9" s="448" t="s">
        <v>1093</v>
      </c>
      <c r="D9" s="449" t="s">
        <v>1095</v>
      </c>
      <c r="E9" s="450" t="s">
        <v>584</v>
      </c>
      <c r="F9" s="451">
        <v>26968042</v>
      </c>
      <c r="G9" s="451">
        <v>0</v>
      </c>
      <c r="H9" s="451">
        <v>0</v>
      </c>
      <c r="I9" s="451">
        <v>26968042</v>
      </c>
      <c r="J9" s="451">
        <v>170827</v>
      </c>
      <c r="K9" s="451">
        <v>0</v>
      </c>
      <c r="L9" s="451">
        <v>0</v>
      </c>
      <c r="M9" s="451">
        <v>170827</v>
      </c>
      <c r="N9" s="451">
        <v>-167329</v>
      </c>
      <c r="O9" s="451">
        <v>0</v>
      </c>
      <c r="P9" s="451">
        <v>0</v>
      </c>
      <c r="Q9" s="451">
        <v>-167329</v>
      </c>
      <c r="R9" s="451">
        <v>715291</v>
      </c>
      <c r="S9" s="451">
        <v>0</v>
      </c>
      <c r="T9" s="451">
        <v>0</v>
      </c>
      <c r="U9" s="451">
        <v>715291</v>
      </c>
      <c r="V9" s="451">
        <v>1778393</v>
      </c>
      <c r="W9" s="451">
        <v>0</v>
      </c>
      <c r="X9" s="451">
        <v>0</v>
      </c>
      <c r="Y9" s="451">
        <v>1778393</v>
      </c>
      <c r="Z9" s="451">
        <v>24470860</v>
      </c>
      <c r="AA9" s="451">
        <v>0</v>
      </c>
      <c r="AB9" s="451">
        <v>0</v>
      </c>
      <c r="AC9" s="451">
        <v>24470860</v>
      </c>
      <c r="AD9" s="451">
        <v>151152</v>
      </c>
      <c r="AE9" s="451">
        <v>0</v>
      </c>
      <c r="AF9" s="451">
        <v>0</v>
      </c>
      <c r="AG9" s="451">
        <v>151152</v>
      </c>
      <c r="AH9" s="451">
        <v>0</v>
      </c>
      <c r="AI9" s="451">
        <v>0</v>
      </c>
      <c r="AJ9" s="451">
        <v>0</v>
      </c>
      <c r="AK9" s="451">
        <v>0</v>
      </c>
      <c r="AL9" s="451">
        <v>0</v>
      </c>
      <c r="AM9" s="451">
        <v>0</v>
      </c>
      <c r="AN9" s="451">
        <v>151152</v>
      </c>
      <c r="AO9" s="451">
        <v>907052</v>
      </c>
      <c r="AP9" s="451">
        <v>154167</v>
      </c>
      <c r="AQ9" s="324"/>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1"/>
      <c r="FF9" s="312"/>
    </row>
    <row r="10" spans="1:167" ht="12.75" x14ac:dyDescent="0.2">
      <c r="A10" s="446">
        <v>3</v>
      </c>
      <c r="B10" s="447" t="s">
        <v>587</v>
      </c>
      <c r="C10" s="448" t="s">
        <v>1093</v>
      </c>
      <c r="D10" s="449" t="s">
        <v>1096</v>
      </c>
      <c r="E10" s="450" t="s">
        <v>586</v>
      </c>
      <c r="F10" s="451">
        <v>30661223</v>
      </c>
      <c r="G10" s="451">
        <v>0</v>
      </c>
      <c r="H10" s="451">
        <v>0</v>
      </c>
      <c r="I10" s="451">
        <v>30661223</v>
      </c>
      <c r="J10" s="451">
        <v>367600</v>
      </c>
      <c r="K10" s="451">
        <v>0</v>
      </c>
      <c r="L10" s="451">
        <v>0</v>
      </c>
      <c r="M10" s="451">
        <v>367600</v>
      </c>
      <c r="N10" s="451">
        <v>475000</v>
      </c>
      <c r="O10" s="451">
        <v>0</v>
      </c>
      <c r="P10" s="451">
        <v>0</v>
      </c>
      <c r="Q10" s="451">
        <v>475000</v>
      </c>
      <c r="R10" s="451">
        <v>120000</v>
      </c>
      <c r="S10" s="451">
        <v>0</v>
      </c>
      <c r="T10" s="451">
        <v>0</v>
      </c>
      <c r="U10" s="451">
        <v>120000</v>
      </c>
      <c r="V10" s="451">
        <v>340000</v>
      </c>
      <c r="W10" s="451">
        <v>0</v>
      </c>
      <c r="X10" s="451">
        <v>0</v>
      </c>
      <c r="Y10" s="451">
        <v>340000</v>
      </c>
      <c r="Z10" s="451">
        <v>29358623</v>
      </c>
      <c r="AA10" s="451">
        <v>0</v>
      </c>
      <c r="AB10" s="451">
        <v>0</v>
      </c>
      <c r="AC10" s="451">
        <v>29358623</v>
      </c>
      <c r="AD10" s="451">
        <v>0</v>
      </c>
      <c r="AE10" s="451">
        <v>0</v>
      </c>
      <c r="AF10" s="451">
        <v>0</v>
      </c>
      <c r="AG10" s="451">
        <v>0</v>
      </c>
      <c r="AH10" s="451">
        <v>0</v>
      </c>
      <c r="AI10" s="451">
        <v>0</v>
      </c>
      <c r="AJ10" s="451">
        <v>0</v>
      </c>
      <c r="AK10" s="451">
        <v>0</v>
      </c>
      <c r="AL10" s="451">
        <v>0</v>
      </c>
      <c r="AM10" s="451">
        <v>0</v>
      </c>
      <c r="AN10" s="451">
        <v>0</v>
      </c>
      <c r="AO10" s="451">
        <v>468458</v>
      </c>
      <c r="AP10" s="451">
        <v>681283</v>
      </c>
      <c r="AQ10" s="324"/>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1"/>
      <c r="FF10" s="312"/>
    </row>
    <row r="11" spans="1:167" ht="12.75" x14ac:dyDescent="0.2">
      <c r="A11" s="446">
        <v>4</v>
      </c>
      <c r="B11" s="447" t="s">
        <v>589</v>
      </c>
      <c r="C11" s="448" t="s">
        <v>1093</v>
      </c>
      <c r="D11" s="449" t="s">
        <v>1094</v>
      </c>
      <c r="E11" s="450" t="s">
        <v>588</v>
      </c>
      <c r="F11" s="451">
        <v>33737826</v>
      </c>
      <c r="G11" s="451">
        <v>0</v>
      </c>
      <c r="H11" s="451">
        <v>0</v>
      </c>
      <c r="I11" s="451">
        <v>33737826</v>
      </c>
      <c r="J11" s="451">
        <v>381055</v>
      </c>
      <c r="K11" s="451">
        <v>0</v>
      </c>
      <c r="L11" s="451">
        <v>0</v>
      </c>
      <c r="M11" s="451">
        <v>381055</v>
      </c>
      <c r="N11" s="451">
        <v>11000</v>
      </c>
      <c r="O11" s="451">
        <v>0</v>
      </c>
      <c r="P11" s="451">
        <v>0</v>
      </c>
      <c r="Q11" s="451">
        <v>11000</v>
      </c>
      <c r="R11" s="451">
        <v>685000</v>
      </c>
      <c r="S11" s="451">
        <v>0</v>
      </c>
      <c r="T11" s="451">
        <v>0</v>
      </c>
      <c r="U11" s="451">
        <v>685000</v>
      </c>
      <c r="V11" s="451">
        <v>1858000</v>
      </c>
      <c r="W11" s="451">
        <v>0</v>
      </c>
      <c r="X11" s="451">
        <v>0</v>
      </c>
      <c r="Y11" s="451">
        <v>1858000</v>
      </c>
      <c r="Z11" s="451">
        <v>30802771</v>
      </c>
      <c r="AA11" s="451">
        <v>0</v>
      </c>
      <c r="AB11" s="451">
        <v>0</v>
      </c>
      <c r="AC11" s="451">
        <v>30802771</v>
      </c>
      <c r="AD11" s="451">
        <v>0</v>
      </c>
      <c r="AE11" s="451">
        <v>0</v>
      </c>
      <c r="AF11" s="451">
        <v>0</v>
      </c>
      <c r="AG11" s="451">
        <v>0</v>
      </c>
      <c r="AH11" s="451">
        <v>0</v>
      </c>
      <c r="AI11" s="451">
        <v>0</v>
      </c>
      <c r="AJ11" s="451">
        <v>0</v>
      </c>
      <c r="AK11" s="451">
        <v>0</v>
      </c>
      <c r="AL11" s="451">
        <v>0</v>
      </c>
      <c r="AM11" s="451">
        <v>0</v>
      </c>
      <c r="AN11" s="451">
        <v>0</v>
      </c>
      <c r="AO11" s="451">
        <v>1644912</v>
      </c>
      <c r="AP11" s="451">
        <v>442119</v>
      </c>
      <c r="AQ11" s="324"/>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1"/>
      <c r="FF11" s="312"/>
    </row>
    <row r="12" spans="1:167" ht="12.75" x14ac:dyDescent="0.2">
      <c r="A12" s="446">
        <v>5</v>
      </c>
      <c r="B12" s="447" t="s">
        <v>591</v>
      </c>
      <c r="C12" s="448" t="s">
        <v>1093</v>
      </c>
      <c r="D12" s="449" t="s">
        <v>1096</v>
      </c>
      <c r="E12" s="450" t="s">
        <v>590</v>
      </c>
      <c r="F12" s="451">
        <v>32417147</v>
      </c>
      <c r="G12" s="451">
        <v>0</v>
      </c>
      <c r="H12" s="451">
        <v>0</v>
      </c>
      <c r="I12" s="451">
        <v>32417147</v>
      </c>
      <c r="J12" s="451">
        <v>127484</v>
      </c>
      <c r="K12" s="451">
        <v>0</v>
      </c>
      <c r="L12" s="451">
        <v>0</v>
      </c>
      <c r="M12" s="451">
        <v>127484</v>
      </c>
      <c r="N12" s="451">
        <v>152671</v>
      </c>
      <c r="O12" s="451">
        <v>0</v>
      </c>
      <c r="P12" s="451">
        <v>0</v>
      </c>
      <c r="Q12" s="451">
        <v>152671</v>
      </c>
      <c r="R12" s="451">
        <v>242425</v>
      </c>
      <c r="S12" s="451">
        <v>0</v>
      </c>
      <c r="T12" s="451">
        <v>0</v>
      </c>
      <c r="U12" s="451">
        <v>242425</v>
      </c>
      <c r="V12" s="451">
        <v>671687</v>
      </c>
      <c r="W12" s="451">
        <v>0</v>
      </c>
      <c r="X12" s="451">
        <v>0</v>
      </c>
      <c r="Y12" s="451">
        <v>671687</v>
      </c>
      <c r="Z12" s="451">
        <v>31222880</v>
      </c>
      <c r="AA12" s="451">
        <v>0</v>
      </c>
      <c r="AB12" s="451">
        <v>0</v>
      </c>
      <c r="AC12" s="451">
        <v>31222880</v>
      </c>
      <c r="AD12" s="451">
        <v>0</v>
      </c>
      <c r="AE12" s="451">
        <v>0</v>
      </c>
      <c r="AF12" s="451">
        <v>0</v>
      </c>
      <c r="AG12" s="451">
        <v>0</v>
      </c>
      <c r="AH12" s="451">
        <v>0</v>
      </c>
      <c r="AI12" s="451">
        <v>0</v>
      </c>
      <c r="AJ12" s="451">
        <v>0</v>
      </c>
      <c r="AK12" s="451">
        <v>0</v>
      </c>
      <c r="AL12" s="451">
        <v>0</v>
      </c>
      <c r="AM12" s="451">
        <v>0</v>
      </c>
      <c r="AN12" s="451">
        <v>0</v>
      </c>
      <c r="AO12" s="451">
        <v>973685</v>
      </c>
      <c r="AP12" s="451">
        <v>121626.94</v>
      </c>
      <c r="AQ12" s="324"/>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1"/>
      <c r="FF12" s="312"/>
    </row>
    <row r="13" spans="1:167" ht="12.75" x14ac:dyDescent="0.2">
      <c r="A13" s="446">
        <v>6</v>
      </c>
      <c r="B13" s="447" t="s">
        <v>593</v>
      </c>
      <c r="C13" s="448" t="s">
        <v>1093</v>
      </c>
      <c r="D13" s="449" t="s">
        <v>1094</v>
      </c>
      <c r="E13" s="450" t="s">
        <v>592</v>
      </c>
      <c r="F13" s="451">
        <v>44817530</v>
      </c>
      <c r="G13" s="451">
        <v>0</v>
      </c>
      <c r="H13" s="451">
        <v>0</v>
      </c>
      <c r="I13" s="451">
        <v>44817530</v>
      </c>
      <c r="J13" s="451">
        <v>27799</v>
      </c>
      <c r="K13" s="451">
        <v>0</v>
      </c>
      <c r="L13" s="451">
        <v>0</v>
      </c>
      <c r="M13" s="451">
        <v>27799</v>
      </c>
      <c r="N13" s="451">
        <v>66227</v>
      </c>
      <c r="O13" s="451">
        <v>0</v>
      </c>
      <c r="P13" s="451">
        <v>0</v>
      </c>
      <c r="Q13" s="451">
        <v>66227</v>
      </c>
      <c r="R13" s="451">
        <v>600000</v>
      </c>
      <c r="S13" s="451">
        <v>0</v>
      </c>
      <c r="T13" s="451">
        <v>0</v>
      </c>
      <c r="U13" s="451">
        <v>600000</v>
      </c>
      <c r="V13" s="451">
        <v>2400000</v>
      </c>
      <c r="W13" s="451">
        <v>0</v>
      </c>
      <c r="X13" s="451">
        <v>0</v>
      </c>
      <c r="Y13" s="451">
        <v>2400000</v>
      </c>
      <c r="Z13" s="451">
        <v>41723504</v>
      </c>
      <c r="AA13" s="451">
        <v>0</v>
      </c>
      <c r="AB13" s="451">
        <v>0</v>
      </c>
      <c r="AC13" s="451">
        <v>41723504</v>
      </c>
      <c r="AD13" s="451">
        <v>0</v>
      </c>
      <c r="AE13" s="451">
        <v>0</v>
      </c>
      <c r="AF13" s="451">
        <v>0</v>
      </c>
      <c r="AG13" s="451">
        <v>0</v>
      </c>
      <c r="AH13" s="451">
        <v>0</v>
      </c>
      <c r="AI13" s="451">
        <v>0</v>
      </c>
      <c r="AJ13" s="451">
        <v>0</v>
      </c>
      <c r="AK13" s="451">
        <v>0</v>
      </c>
      <c r="AL13" s="451">
        <v>0</v>
      </c>
      <c r="AM13" s="451">
        <v>0</v>
      </c>
      <c r="AN13" s="451">
        <v>0</v>
      </c>
      <c r="AO13" s="451">
        <v>718311.35</v>
      </c>
      <c r="AP13" s="451">
        <v>1102187.1399999999</v>
      </c>
      <c r="AQ13" s="324"/>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1"/>
      <c r="FF13" s="312"/>
    </row>
    <row r="14" spans="1:167" ht="12.75" x14ac:dyDescent="0.2">
      <c r="A14" s="446">
        <v>7</v>
      </c>
      <c r="B14" s="447" t="s">
        <v>595</v>
      </c>
      <c r="C14" s="448" t="s">
        <v>1093</v>
      </c>
      <c r="D14" s="449" t="s">
        <v>1094</v>
      </c>
      <c r="E14" s="450" t="s">
        <v>594</v>
      </c>
      <c r="F14" s="451">
        <v>48129628</v>
      </c>
      <c r="G14" s="451">
        <v>0</v>
      </c>
      <c r="H14" s="451">
        <v>0</v>
      </c>
      <c r="I14" s="451">
        <v>48129628</v>
      </c>
      <c r="J14" s="451">
        <v>113853</v>
      </c>
      <c r="K14" s="451">
        <v>0</v>
      </c>
      <c r="L14" s="451">
        <v>0</v>
      </c>
      <c r="M14" s="451">
        <v>113853</v>
      </c>
      <c r="N14" s="451">
        <v>0</v>
      </c>
      <c r="O14" s="451">
        <v>0</v>
      </c>
      <c r="P14" s="451">
        <v>0</v>
      </c>
      <c r="Q14" s="451">
        <v>0</v>
      </c>
      <c r="R14" s="451">
        <v>4072253</v>
      </c>
      <c r="S14" s="451">
        <v>0</v>
      </c>
      <c r="T14" s="451">
        <v>0</v>
      </c>
      <c r="U14" s="451">
        <v>4072253</v>
      </c>
      <c r="V14" s="451">
        <v>0</v>
      </c>
      <c r="W14" s="451">
        <v>0</v>
      </c>
      <c r="X14" s="451">
        <v>0</v>
      </c>
      <c r="Y14" s="451">
        <v>0</v>
      </c>
      <c r="Z14" s="451">
        <v>43943522</v>
      </c>
      <c r="AA14" s="451">
        <v>0</v>
      </c>
      <c r="AB14" s="451">
        <v>0</v>
      </c>
      <c r="AC14" s="451">
        <v>43943522</v>
      </c>
      <c r="AD14" s="451">
        <v>0</v>
      </c>
      <c r="AE14" s="451">
        <v>0</v>
      </c>
      <c r="AF14" s="451">
        <v>0</v>
      </c>
      <c r="AG14" s="451">
        <v>0</v>
      </c>
      <c r="AH14" s="451">
        <v>0</v>
      </c>
      <c r="AI14" s="451">
        <v>0</v>
      </c>
      <c r="AJ14" s="451">
        <v>0</v>
      </c>
      <c r="AK14" s="451">
        <v>0</v>
      </c>
      <c r="AL14" s="451">
        <v>0</v>
      </c>
      <c r="AM14" s="451">
        <v>0</v>
      </c>
      <c r="AN14" s="451">
        <v>0</v>
      </c>
      <c r="AO14" s="451">
        <v>185135</v>
      </c>
      <c r="AP14" s="451">
        <v>1267920</v>
      </c>
      <c r="AQ14" s="324"/>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1"/>
      <c r="FF14" s="312"/>
    </row>
    <row r="15" spans="1:167" ht="12.75" x14ac:dyDescent="0.2">
      <c r="A15" s="446">
        <v>8</v>
      </c>
      <c r="B15" s="447" t="s">
        <v>597</v>
      </c>
      <c r="C15" s="448" t="s">
        <v>1093</v>
      </c>
      <c r="D15" s="449" t="s">
        <v>1097</v>
      </c>
      <c r="E15" s="450" t="s">
        <v>596</v>
      </c>
      <c r="F15" s="451">
        <v>23391296.399999999</v>
      </c>
      <c r="G15" s="451">
        <v>0</v>
      </c>
      <c r="H15" s="451">
        <v>0</v>
      </c>
      <c r="I15" s="451">
        <v>23391296.399999999</v>
      </c>
      <c r="J15" s="451">
        <v>115979.73</v>
      </c>
      <c r="K15" s="451">
        <v>0</v>
      </c>
      <c r="L15" s="451">
        <v>0</v>
      </c>
      <c r="M15" s="451">
        <v>115979.73</v>
      </c>
      <c r="N15" s="451">
        <v>-6761</v>
      </c>
      <c r="O15" s="451">
        <v>0</v>
      </c>
      <c r="P15" s="451">
        <v>0</v>
      </c>
      <c r="Q15" s="451">
        <v>-6761</v>
      </c>
      <c r="R15" s="451">
        <v>301039</v>
      </c>
      <c r="S15" s="451">
        <v>0</v>
      </c>
      <c r="T15" s="451">
        <v>0</v>
      </c>
      <c r="U15" s="451">
        <v>301039</v>
      </c>
      <c r="V15" s="451">
        <v>774959</v>
      </c>
      <c r="W15" s="451">
        <v>0</v>
      </c>
      <c r="X15" s="451">
        <v>0</v>
      </c>
      <c r="Y15" s="451">
        <v>774959</v>
      </c>
      <c r="Z15" s="451">
        <v>22206080</v>
      </c>
      <c r="AA15" s="451">
        <v>0</v>
      </c>
      <c r="AB15" s="451">
        <v>0</v>
      </c>
      <c r="AC15" s="451">
        <v>22206080</v>
      </c>
      <c r="AD15" s="451">
        <v>0</v>
      </c>
      <c r="AE15" s="451">
        <v>0</v>
      </c>
      <c r="AF15" s="451">
        <v>0</v>
      </c>
      <c r="AG15" s="451">
        <v>0</v>
      </c>
      <c r="AH15" s="451">
        <v>0</v>
      </c>
      <c r="AI15" s="451">
        <v>0</v>
      </c>
      <c r="AJ15" s="451">
        <v>0</v>
      </c>
      <c r="AK15" s="451">
        <v>0</v>
      </c>
      <c r="AL15" s="451">
        <v>0</v>
      </c>
      <c r="AM15" s="451">
        <v>0</v>
      </c>
      <c r="AN15" s="451">
        <v>0</v>
      </c>
      <c r="AO15" s="451">
        <v>750043</v>
      </c>
      <c r="AP15" s="451">
        <v>422434</v>
      </c>
      <c r="AQ15" s="324"/>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1"/>
      <c r="FF15" s="312"/>
    </row>
    <row r="16" spans="1:167" ht="12.75" x14ac:dyDescent="0.2">
      <c r="A16" s="446">
        <v>9</v>
      </c>
      <c r="B16" s="447" t="s">
        <v>599</v>
      </c>
      <c r="C16" s="448" t="s">
        <v>1098</v>
      </c>
      <c r="D16" s="449" t="s">
        <v>1099</v>
      </c>
      <c r="E16" s="450" t="s">
        <v>708</v>
      </c>
      <c r="F16" s="451">
        <v>57447166</v>
      </c>
      <c r="G16" s="451">
        <v>0</v>
      </c>
      <c r="H16" s="451">
        <v>0</v>
      </c>
      <c r="I16" s="451">
        <v>57447166</v>
      </c>
      <c r="J16" s="451">
        <v>588265</v>
      </c>
      <c r="K16" s="451">
        <v>0</v>
      </c>
      <c r="L16" s="451">
        <v>0</v>
      </c>
      <c r="M16" s="451">
        <v>588265</v>
      </c>
      <c r="N16" s="451">
        <v>243000</v>
      </c>
      <c r="O16" s="451">
        <v>0</v>
      </c>
      <c r="P16" s="451">
        <v>0</v>
      </c>
      <c r="Q16" s="451">
        <v>243000</v>
      </c>
      <c r="R16" s="451">
        <v>2074629</v>
      </c>
      <c r="S16" s="451">
        <v>0</v>
      </c>
      <c r="T16" s="451">
        <v>0</v>
      </c>
      <c r="U16" s="451">
        <v>2074629</v>
      </c>
      <c r="V16" s="451">
        <v>7557284</v>
      </c>
      <c r="W16" s="451">
        <v>0</v>
      </c>
      <c r="X16" s="451">
        <v>0</v>
      </c>
      <c r="Y16" s="451">
        <v>7557284</v>
      </c>
      <c r="Z16" s="451">
        <v>46983988</v>
      </c>
      <c r="AA16" s="451">
        <v>0</v>
      </c>
      <c r="AB16" s="451">
        <v>0</v>
      </c>
      <c r="AC16" s="451">
        <v>46983988</v>
      </c>
      <c r="AD16" s="451">
        <v>0</v>
      </c>
      <c r="AE16" s="451">
        <v>0</v>
      </c>
      <c r="AF16" s="451">
        <v>0</v>
      </c>
      <c r="AG16" s="451">
        <v>0</v>
      </c>
      <c r="AH16" s="451">
        <v>0</v>
      </c>
      <c r="AI16" s="451">
        <v>0</v>
      </c>
      <c r="AJ16" s="451">
        <v>0</v>
      </c>
      <c r="AK16" s="451">
        <v>0</v>
      </c>
      <c r="AL16" s="451">
        <v>0</v>
      </c>
      <c r="AM16" s="451">
        <v>0</v>
      </c>
      <c r="AN16" s="451">
        <v>0</v>
      </c>
      <c r="AO16" s="451">
        <v>5231434</v>
      </c>
      <c r="AP16" s="451">
        <v>786851</v>
      </c>
      <c r="AQ16" s="324"/>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1"/>
      <c r="FF16" s="312"/>
    </row>
    <row r="17" spans="1:162" ht="12.75" x14ac:dyDescent="0.2">
      <c r="A17" s="446">
        <v>10</v>
      </c>
      <c r="B17" s="447" t="s">
        <v>601</v>
      </c>
      <c r="C17" s="448" t="s">
        <v>1098</v>
      </c>
      <c r="D17" s="449" t="s">
        <v>1099</v>
      </c>
      <c r="E17" s="450" t="s">
        <v>600</v>
      </c>
      <c r="F17" s="451">
        <v>112928112</v>
      </c>
      <c r="G17" s="451">
        <v>0</v>
      </c>
      <c r="H17" s="451">
        <v>0</v>
      </c>
      <c r="I17" s="451">
        <v>112928112</v>
      </c>
      <c r="J17" s="451">
        <v>3784.9</v>
      </c>
      <c r="K17" s="451">
        <v>0</v>
      </c>
      <c r="L17" s="451">
        <v>0</v>
      </c>
      <c r="M17" s="451">
        <v>3784.9</v>
      </c>
      <c r="N17" s="451">
        <v>2724995</v>
      </c>
      <c r="O17" s="451">
        <v>0</v>
      </c>
      <c r="P17" s="451">
        <v>0</v>
      </c>
      <c r="Q17" s="451">
        <v>2724995</v>
      </c>
      <c r="R17" s="451">
        <v>1061862</v>
      </c>
      <c r="S17" s="451">
        <v>0</v>
      </c>
      <c r="T17" s="451">
        <v>0</v>
      </c>
      <c r="U17" s="451">
        <v>1061862</v>
      </c>
      <c r="V17" s="451">
        <v>3638243</v>
      </c>
      <c r="W17" s="451">
        <v>0</v>
      </c>
      <c r="X17" s="451">
        <v>0</v>
      </c>
      <c r="Y17" s="451">
        <v>3638243</v>
      </c>
      <c r="Z17" s="451">
        <v>105499228</v>
      </c>
      <c r="AA17" s="451">
        <v>0</v>
      </c>
      <c r="AB17" s="451">
        <v>0</v>
      </c>
      <c r="AC17" s="451">
        <v>105499228</v>
      </c>
      <c r="AD17" s="451">
        <v>0</v>
      </c>
      <c r="AE17" s="451">
        <v>0</v>
      </c>
      <c r="AF17" s="451">
        <v>0</v>
      </c>
      <c r="AG17" s="451">
        <v>0</v>
      </c>
      <c r="AH17" s="451">
        <v>0</v>
      </c>
      <c r="AI17" s="451">
        <v>0</v>
      </c>
      <c r="AJ17" s="451">
        <v>0</v>
      </c>
      <c r="AK17" s="451">
        <v>0</v>
      </c>
      <c r="AL17" s="451">
        <v>0</v>
      </c>
      <c r="AM17" s="451">
        <v>0</v>
      </c>
      <c r="AN17" s="451">
        <v>0</v>
      </c>
      <c r="AO17" s="451">
        <v>11757987.1</v>
      </c>
      <c r="AP17" s="451">
        <v>1999410.06</v>
      </c>
      <c r="AQ17" s="324"/>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1"/>
      <c r="FF17" s="312"/>
    </row>
    <row r="18" spans="1:162" ht="12.75" x14ac:dyDescent="0.2">
      <c r="A18" s="446">
        <v>11</v>
      </c>
      <c r="B18" s="447" t="s">
        <v>603</v>
      </c>
      <c r="C18" s="448" t="s">
        <v>1100</v>
      </c>
      <c r="D18" s="449" t="s">
        <v>1101</v>
      </c>
      <c r="E18" s="450" t="s">
        <v>602</v>
      </c>
      <c r="F18" s="451">
        <v>52352332</v>
      </c>
      <c r="G18" s="451">
        <v>0</v>
      </c>
      <c r="H18" s="451">
        <v>308434</v>
      </c>
      <c r="I18" s="451">
        <v>52660766</v>
      </c>
      <c r="J18" s="451">
        <v>454667</v>
      </c>
      <c r="K18" s="451">
        <v>0</v>
      </c>
      <c r="L18" s="451">
        <v>0</v>
      </c>
      <c r="M18" s="451">
        <v>454667</v>
      </c>
      <c r="N18" s="451">
        <v>448094</v>
      </c>
      <c r="O18" s="451">
        <v>0</v>
      </c>
      <c r="P18" s="451">
        <v>0</v>
      </c>
      <c r="Q18" s="451">
        <v>448094</v>
      </c>
      <c r="R18" s="451">
        <v>800000</v>
      </c>
      <c r="S18" s="451">
        <v>0</v>
      </c>
      <c r="T18" s="451">
        <v>0</v>
      </c>
      <c r="U18" s="451">
        <v>800000</v>
      </c>
      <c r="V18" s="451">
        <v>964698</v>
      </c>
      <c r="W18" s="451">
        <v>0</v>
      </c>
      <c r="X18" s="451">
        <v>0</v>
      </c>
      <c r="Y18" s="451">
        <v>964698</v>
      </c>
      <c r="Z18" s="451">
        <v>49684873</v>
      </c>
      <c r="AA18" s="451">
        <v>0</v>
      </c>
      <c r="AB18" s="451">
        <v>308434</v>
      </c>
      <c r="AC18" s="451">
        <v>49993307</v>
      </c>
      <c r="AD18" s="451">
        <v>0</v>
      </c>
      <c r="AE18" s="451">
        <v>0</v>
      </c>
      <c r="AF18" s="451">
        <v>0</v>
      </c>
      <c r="AG18" s="451">
        <v>0</v>
      </c>
      <c r="AH18" s="451">
        <v>0</v>
      </c>
      <c r="AI18" s="451">
        <v>0</v>
      </c>
      <c r="AJ18" s="451">
        <v>0</v>
      </c>
      <c r="AK18" s="451">
        <v>85761</v>
      </c>
      <c r="AL18" s="451">
        <v>0</v>
      </c>
      <c r="AM18" s="451">
        <v>222673</v>
      </c>
      <c r="AN18" s="451">
        <v>0</v>
      </c>
      <c r="AO18" s="451">
        <v>2435669</v>
      </c>
      <c r="AP18" s="451">
        <v>697534</v>
      </c>
      <c r="AQ18" s="324"/>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1"/>
      <c r="FF18" s="312"/>
    </row>
    <row r="19" spans="1:162" ht="12.75" x14ac:dyDescent="0.2">
      <c r="A19" s="446">
        <v>12</v>
      </c>
      <c r="B19" s="447" t="s">
        <v>605</v>
      </c>
      <c r="C19" s="448" t="s">
        <v>1093</v>
      </c>
      <c r="D19" s="449" t="s">
        <v>1095</v>
      </c>
      <c r="E19" s="450" t="s">
        <v>604</v>
      </c>
      <c r="F19" s="451">
        <v>23556281</v>
      </c>
      <c r="G19" s="451">
        <v>0</v>
      </c>
      <c r="H19" s="451">
        <v>0</v>
      </c>
      <c r="I19" s="451">
        <v>23556281</v>
      </c>
      <c r="J19" s="451">
        <v>78813</v>
      </c>
      <c r="K19" s="451">
        <v>0</v>
      </c>
      <c r="L19" s="451">
        <v>0</v>
      </c>
      <c r="M19" s="451">
        <v>78813</v>
      </c>
      <c r="N19" s="451">
        <v>94213</v>
      </c>
      <c r="O19" s="451">
        <v>0</v>
      </c>
      <c r="P19" s="451">
        <v>0</v>
      </c>
      <c r="Q19" s="451">
        <v>94213</v>
      </c>
      <c r="R19" s="451">
        <v>265086</v>
      </c>
      <c r="S19" s="451">
        <v>0</v>
      </c>
      <c r="T19" s="451">
        <v>0</v>
      </c>
      <c r="U19" s="451">
        <v>265086</v>
      </c>
      <c r="V19" s="451">
        <v>756936</v>
      </c>
      <c r="W19" s="451">
        <v>0</v>
      </c>
      <c r="X19" s="451">
        <v>0</v>
      </c>
      <c r="Y19" s="451">
        <v>756936</v>
      </c>
      <c r="Z19" s="451">
        <v>22361233</v>
      </c>
      <c r="AA19" s="451">
        <v>0</v>
      </c>
      <c r="AB19" s="451">
        <v>0</v>
      </c>
      <c r="AC19" s="451">
        <v>22361233</v>
      </c>
      <c r="AD19" s="451">
        <v>0</v>
      </c>
      <c r="AE19" s="451">
        <v>0</v>
      </c>
      <c r="AF19" s="451">
        <v>0</v>
      </c>
      <c r="AG19" s="451">
        <v>0</v>
      </c>
      <c r="AH19" s="451">
        <v>0</v>
      </c>
      <c r="AI19" s="451">
        <v>0</v>
      </c>
      <c r="AJ19" s="451">
        <v>0</v>
      </c>
      <c r="AK19" s="451">
        <v>0</v>
      </c>
      <c r="AL19" s="451">
        <v>0</v>
      </c>
      <c r="AM19" s="451">
        <v>0</v>
      </c>
      <c r="AN19" s="451">
        <v>0</v>
      </c>
      <c r="AO19" s="451">
        <v>1552938</v>
      </c>
      <c r="AP19" s="451">
        <v>854307</v>
      </c>
      <c r="AQ19" s="324"/>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1"/>
      <c r="FF19" s="312"/>
    </row>
    <row r="20" spans="1:162" ht="12.75" x14ac:dyDescent="0.2">
      <c r="A20" s="446">
        <v>13</v>
      </c>
      <c r="B20" s="447" t="s">
        <v>607</v>
      </c>
      <c r="C20" s="448" t="s">
        <v>1093</v>
      </c>
      <c r="D20" s="449" t="s">
        <v>1097</v>
      </c>
      <c r="E20" s="450" t="s">
        <v>606</v>
      </c>
      <c r="F20" s="451">
        <v>79737897</v>
      </c>
      <c r="G20" s="451">
        <v>0</v>
      </c>
      <c r="H20" s="451">
        <v>0</v>
      </c>
      <c r="I20" s="451">
        <v>79737897</v>
      </c>
      <c r="J20" s="451">
        <v>538291</v>
      </c>
      <c r="K20" s="451">
        <v>0</v>
      </c>
      <c r="L20" s="451">
        <v>0</v>
      </c>
      <c r="M20" s="451">
        <v>538291</v>
      </c>
      <c r="N20" s="451">
        <v>157000</v>
      </c>
      <c r="O20" s="451">
        <v>0</v>
      </c>
      <c r="P20" s="451">
        <v>0</v>
      </c>
      <c r="Q20" s="451">
        <v>157000</v>
      </c>
      <c r="R20" s="451">
        <v>2520000</v>
      </c>
      <c r="S20" s="451">
        <v>0</v>
      </c>
      <c r="T20" s="451">
        <v>0</v>
      </c>
      <c r="U20" s="451">
        <v>2520000</v>
      </c>
      <c r="V20" s="451">
        <v>6380000</v>
      </c>
      <c r="W20" s="451">
        <v>0</v>
      </c>
      <c r="X20" s="451">
        <v>0</v>
      </c>
      <c r="Y20" s="451">
        <v>6380000</v>
      </c>
      <c r="Z20" s="451">
        <v>70142606</v>
      </c>
      <c r="AA20" s="451">
        <v>0</v>
      </c>
      <c r="AB20" s="451">
        <v>0</v>
      </c>
      <c r="AC20" s="451">
        <v>70142606</v>
      </c>
      <c r="AD20" s="451">
        <v>0</v>
      </c>
      <c r="AE20" s="451">
        <v>0</v>
      </c>
      <c r="AF20" s="451">
        <v>0</v>
      </c>
      <c r="AG20" s="451">
        <v>0</v>
      </c>
      <c r="AH20" s="451">
        <v>0</v>
      </c>
      <c r="AI20" s="451">
        <v>0</v>
      </c>
      <c r="AJ20" s="451">
        <v>0</v>
      </c>
      <c r="AK20" s="451">
        <v>0</v>
      </c>
      <c r="AL20" s="451">
        <v>0</v>
      </c>
      <c r="AM20" s="451">
        <v>0</v>
      </c>
      <c r="AN20" s="451">
        <v>0</v>
      </c>
      <c r="AO20" s="451">
        <v>2215929</v>
      </c>
      <c r="AP20" s="451">
        <v>906049</v>
      </c>
      <c r="AQ20" s="324"/>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1"/>
      <c r="FF20" s="312"/>
    </row>
    <row r="21" spans="1:162" ht="12.75" x14ac:dyDescent="0.2">
      <c r="A21" s="446">
        <v>14</v>
      </c>
      <c r="B21" s="447" t="s">
        <v>609</v>
      </c>
      <c r="C21" s="448" t="s">
        <v>1093</v>
      </c>
      <c r="D21" s="449" t="s">
        <v>1094</v>
      </c>
      <c r="E21" s="450" t="s">
        <v>608</v>
      </c>
      <c r="F21" s="451">
        <v>70796984</v>
      </c>
      <c r="G21" s="451">
        <v>0</v>
      </c>
      <c r="H21" s="451">
        <v>0</v>
      </c>
      <c r="I21" s="451">
        <v>70796984</v>
      </c>
      <c r="J21" s="451">
        <v>587139</v>
      </c>
      <c r="K21" s="451">
        <v>0</v>
      </c>
      <c r="L21" s="451">
        <v>0</v>
      </c>
      <c r="M21" s="451">
        <v>587139</v>
      </c>
      <c r="N21" s="451">
        <v>50000</v>
      </c>
      <c r="O21" s="451">
        <v>0</v>
      </c>
      <c r="P21" s="451">
        <v>0</v>
      </c>
      <c r="Q21" s="451">
        <v>50000</v>
      </c>
      <c r="R21" s="451">
        <v>858000</v>
      </c>
      <c r="S21" s="451">
        <v>0</v>
      </c>
      <c r="T21" s="451">
        <v>0</v>
      </c>
      <c r="U21" s="451">
        <v>858000</v>
      </c>
      <c r="V21" s="451">
        <v>2242000</v>
      </c>
      <c r="W21" s="451">
        <v>0</v>
      </c>
      <c r="X21" s="451">
        <v>0</v>
      </c>
      <c r="Y21" s="451">
        <v>2242000</v>
      </c>
      <c r="Z21" s="451">
        <v>67059845</v>
      </c>
      <c r="AA21" s="451">
        <v>0</v>
      </c>
      <c r="AB21" s="451">
        <v>0</v>
      </c>
      <c r="AC21" s="451">
        <v>67059845</v>
      </c>
      <c r="AD21" s="451">
        <v>46806.14</v>
      </c>
      <c r="AE21" s="451">
        <v>0</v>
      </c>
      <c r="AF21" s="451">
        <v>0</v>
      </c>
      <c r="AG21" s="451">
        <v>46806.14</v>
      </c>
      <c r="AH21" s="451">
        <v>0</v>
      </c>
      <c r="AI21" s="451">
        <v>0</v>
      </c>
      <c r="AJ21" s="451">
        <v>0</v>
      </c>
      <c r="AK21" s="451">
        <v>0</v>
      </c>
      <c r="AL21" s="451">
        <v>0</v>
      </c>
      <c r="AM21" s="451">
        <v>0</v>
      </c>
      <c r="AN21" s="451">
        <v>46806.14</v>
      </c>
      <c r="AO21" s="451">
        <v>2734715</v>
      </c>
      <c r="AP21" s="451">
        <v>1526335</v>
      </c>
      <c r="AQ21" s="324"/>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c r="DH21" s="310"/>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1"/>
      <c r="FF21" s="312"/>
    </row>
    <row r="22" spans="1:162" ht="12.75" x14ac:dyDescent="0.2">
      <c r="A22" s="446">
        <v>15</v>
      </c>
      <c r="B22" s="447" t="s">
        <v>611</v>
      </c>
      <c r="C22" s="448" t="s">
        <v>1093</v>
      </c>
      <c r="D22" s="449" t="s">
        <v>1096</v>
      </c>
      <c r="E22" s="450" t="s">
        <v>610</v>
      </c>
      <c r="F22" s="451">
        <v>40680153</v>
      </c>
      <c r="G22" s="451">
        <v>0</v>
      </c>
      <c r="H22" s="451">
        <v>0</v>
      </c>
      <c r="I22" s="451">
        <v>40680153</v>
      </c>
      <c r="J22" s="451">
        <v>120551</v>
      </c>
      <c r="K22" s="451">
        <v>0</v>
      </c>
      <c r="L22" s="451">
        <v>0</v>
      </c>
      <c r="M22" s="451">
        <v>120551</v>
      </c>
      <c r="N22" s="451">
        <v>401039</v>
      </c>
      <c r="O22" s="451">
        <v>0</v>
      </c>
      <c r="P22" s="451">
        <v>0</v>
      </c>
      <c r="Q22" s="451">
        <v>401039</v>
      </c>
      <c r="R22" s="451">
        <v>595026</v>
      </c>
      <c r="S22" s="451">
        <v>0</v>
      </c>
      <c r="T22" s="451">
        <v>0</v>
      </c>
      <c r="U22" s="451">
        <v>595026</v>
      </c>
      <c r="V22" s="451">
        <v>1648640</v>
      </c>
      <c r="W22" s="451">
        <v>0</v>
      </c>
      <c r="X22" s="451">
        <v>0</v>
      </c>
      <c r="Y22" s="451">
        <v>1648640</v>
      </c>
      <c r="Z22" s="451">
        <v>37914897</v>
      </c>
      <c r="AA22" s="451">
        <v>0</v>
      </c>
      <c r="AB22" s="451">
        <v>0</v>
      </c>
      <c r="AC22" s="451">
        <v>37914897</v>
      </c>
      <c r="AD22" s="451">
        <v>0</v>
      </c>
      <c r="AE22" s="451">
        <v>0</v>
      </c>
      <c r="AF22" s="451">
        <v>0</v>
      </c>
      <c r="AG22" s="451">
        <v>0</v>
      </c>
      <c r="AH22" s="451">
        <v>0</v>
      </c>
      <c r="AI22" s="451">
        <v>0</v>
      </c>
      <c r="AJ22" s="451">
        <v>0</v>
      </c>
      <c r="AK22" s="451">
        <v>0</v>
      </c>
      <c r="AL22" s="451">
        <v>0</v>
      </c>
      <c r="AM22" s="451">
        <v>0</v>
      </c>
      <c r="AN22" s="451">
        <v>0</v>
      </c>
      <c r="AO22" s="451">
        <v>1900928</v>
      </c>
      <c r="AP22" s="451">
        <v>710658</v>
      </c>
      <c r="AQ22" s="324"/>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c r="CO22" s="310"/>
      <c r="CP22" s="310"/>
      <c r="CQ22" s="310"/>
      <c r="CR22" s="310"/>
      <c r="CS22" s="310"/>
      <c r="CT22" s="310"/>
      <c r="CU22" s="310"/>
      <c r="CV22" s="310"/>
      <c r="CW22" s="310"/>
      <c r="CX22" s="310"/>
      <c r="CY22" s="310"/>
      <c r="CZ22" s="310"/>
      <c r="DA22" s="310"/>
      <c r="DB22" s="310"/>
      <c r="DC22" s="310"/>
      <c r="DD22" s="310"/>
      <c r="DE22" s="310"/>
      <c r="DF22" s="310"/>
      <c r="DG22" s="310"/>
      <c r="DH22" s="310"/>
      <c r="DI22" s="310"/>
      <c r="DJ22" s="310"/>
      <c r="DK22" s="310"/>
      <c r="DL22" s="310"/>
      <c r="DM22" s="310"/>
      <c r="DN22" s="310"/>
      <c r="DO22" s="310"/>
      <c r="DP22" s="310"/>
      <c r="DQ22" s="310"/>
      <c r="DR22" s="310"/>
      <c r="DS22" s="310"/>
      <c r="DT22" s="310"/>
      <c r="DU22" s="310"/>
      <c r="DV22" s="310"/>
      <c r="DW22" s="310"/>
      <c r="DX22" s="310"/>
      <c r="DY22" s="310"/>
      <c r="DZ22" s="310"/>
      <c r="EA22" s="310"/>
      <c r="EB22" s="310"/>
      <c r="EC22" s="310"/>
      <c r="ED22" s="310"/>
      <c r="EE22" s="310"/>
      <c r="EF22" s="310"/>
      <c r="EG22" s="310"/>
      <c r="EH22" s="310"/>
      <c r="EI22" s="310"/>
      <c r="EJ22" s="310"/>
      <c r="EK22" s="310"/>
      <c r="EL22" s="310"/>
      <c r="EM22" s="310"/>
      <c r="EN22" s="310"/>
      <c r="EO22" s="310"/>
      <c r="EP22" s="310"/>
      <c r="EQ22" s="310"/>
      <c r="ER22" s="310"/>
      <c r="ES22" s="310"/>
      <c r="ET22" s="310"/>
      <c r="EU22" s="310"/>
      <c r="EV22" s="310"/>
      <c r="EW22" s="310"/>
      <c r="EX22" s="310"/>
      <c r="EY22" s="310"/>
      <c r="EZ22" s="310"/>
      <c r="FA22" s="310"/>
      <c r="FB22" s="310"/>
      <c r="FC22" s="310"/>
      <c r="FD22" s="310"/>
      <c r="FE22" s="311"/>
      <c r="FF22" s="312"/>
    </row>
    <row r="23" spans="1:162" ht="12.75" x14ac:dyDescent="0.2">
      <c r="A23" s="446">
        <v>16</v>
      </c>
      <c r="B23" s="447" t="s">
        <v>613</v>
      </c>
      <c r="C23" s="448" t="s">
        <v>794</v>
      </c>
      <c r="D23" s="449" t="s">
        <v>1102</v>
      </c>
      <c r="E23" s="450" t="s">
        <v>612</v>
      </c>
      <c r="F23" s="451">
        <v>63536352</v>
      </c>
      <c r="G23" s="451">
        <v>0</v>
      </c>
      <c r="H23" s="451">
        <v>0</v>
      </c>
      <c r="I23" s="451">
        <v>63536352</v>
      </c>
      <c r="J23" s="451">
        <v>520625</v>
      </c>
      <c r="K23" s="451">
        <v>0</v>
      </c>
      <c r="L23" s="451">
        <v>0</v>
      </c>
      <c r="M23" s="451">
        <v>520625</v>
      </c>
      <c r="N23" s="451">
        <v>71029</v>
      </c>
      <c r="O23" s="451">
        <v>0</v>
      </c>
      <c r="P23" s="451">
        <v>0</v>
      </c>
      <c r="Q23" s="451">
        <v>71029</v>
      </c>
      <c r="R23" s="451">
        <v>1031579</v>
      </c>
      <c r="S23" s="451">
        <v>0</v>
      </c>
      <c r="T23" s="451">
        <v>0</v>
      </c>
      <c r="U23" s="451">
        <v>1031579</v>
      </c>
      <c r="V23" s="451">
        <v>2149946</v>
      </c>
      <c r="W23" s="451">
        <v>0</v>
      </c>
      <c r="X23" s="451">
        <v>0</v>
      </c>
      <c r="Y23" s="451">
        <v>2149946</v>
      </c>
      <c r="Z23" s="451">
        <v>59763173</v>
      </c>
      <c r="AA23" s="451">
        <v>0</v>
      </c>
      <c r="AB23" s="451">
        <v>0</v>
      </c>
      <c r="AC23" s="451">
        <v>59763173</v>
      </c>
      <c r="AD23" s="451">
        <v>0</v>
      </c>
      <c r="AE23" s="451">
        <v>0</v>
      </c>
      <c r="AF23" s="451">
        <v>0</v>
      </c>
      <c r="AG23" s="451">
        <v>0</v>
      </c>
      <c r="AH23" s="451">
        <v>0</v>
      </c>
      <c r="AI23" s="451">
        <v>0</v>
      </c>
      <c r="AJ23" s="451">
        <v>0</v>
      </c>
      <c r="AK23" s="451">
        <v>0</v>
      </c>
      <c r="AL23" s="451">
        <v>0</v>
      </c>
      <c r="AM23" s="451">
        <v>0</v>
      </c>
      <c r="AN23" s="451">
        <v>0</v>
      </c>
      <c r="AO23" s="451">
        <v>2059661</v>
      </c>
      <c r="AP23" s="451">
        <v>957628</v>
      </c>
      <c r="AQ23" s="324"/>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c r="CP23" s="310"/>
      <c r="CQ23" s="310"/>
      <c r="CR23" s="310"/>
      <c r="CS23" s="310"/>
      <c r="CT23" s="310"/>
      <c r="CU23" s="310"/>
      <c r="CV23" s="310"/>
      <c r="CW23" s="310"/>
      <c r="CX23" s="310"/>
      <c r="CY23" s="310"/>
      <c r="CZ23" s="310"/>
      <c r="DA23" s="310"/>
      <c r="DB23" s="310"/>
      <c r="DC23" s="310"/>
      <c r="DD23" s="310"/>
      <c r="DE23" s="310"/>
      <c r="DF23" s="310"/>
      <c r="DG23" s="310"/>
      <c r="DH23" s="310"/>
      <c r="DI23" s="310"/>
      <c r="DJ23" s="310"/>
      <c r="DK23" s="310"/>
      <c r="DL23" s="310"/>
      <c r="DM23" s="310"/>
      <c r="DN23" s="310"/>
      <c r="DO23" s="310"/>
      <c r="DP23" s="310"/>
      <c r="DQ23" s="310"/>
      <c r="DR23" s="310"/>
      <c r="DS23" s="310"/>
      <c r="DT23" s="310"/>
      <c r="DU23" s="310"/>
      <c r="DV23" s="310"/>
      <c r="DW23" s="310"/>
      <c r="DX23" s="310"/>
      <c r="DY23" s="310"/>
      <c r="DZ23" s="310"/>
      <c r="EA23" s="310"/>
      <c r="EB23" s="310"/>
      <c r="EC23" s="310"/>
      <c r="ED23" s="310"/>
      <c r="EE23" s="310"/>
      <c r="EF23" s="310"/>
      <c r="EG23" s="310"/>
      <c r="EH23" s="310"/>
      <c r="EI23" s="310"/>
      <c r="EJ23" s="310"/>
      <c r="EK23" s="310"/>
      <c r="EL23" s="310"/>
      <c r="EM23" s="310"/>
      <c r="EN23" s="310"/>
      <c r="EO23" s="310"/>
      <c r="EP23" s="310"/>
      <c r="EQ23" s="310"/>
      <c r="ER23" s="310"/>
      <c r="ES23" s="310"/>
      <c r="ET23" s="310"/>
      <c r="EU23" s="310"/>
      <c r="EV23" s="310"/>
      <c r="EW23" s="310"/>
      <c r="EX23" s="310"/>
      <c r="EY23" s="310"/>
      <c r="EZ23" s="310"/>
      <c r="FA23" s="310"/>
      <c r="FB23" s="310"/>
      <c r="FC23" s="310"/>
      <c r="FD23" s="310"/>
      <c r="FE23" s="311"/>
      <c r="FF23" s="312"/>
    </row>
    <row r="24" spans="1:162" ht="12.75" x14ac:dyDescent="0.2">
      <c r="A24" s="446">
        <v>17</v>
      </c>
      <c r="B24" s="447" t="s">
        <v>615</v>
      </c>
      <c r="C24" s="448" t="s">
        <v>794</v>
      </c>
      <c r="D24" s="449" t="s">
        <v>1097</v>
      </c>
      <c r="E24" s="450" t="s">
        <v>614</v>
      </c>
      <c r="F24" s="451">
        <v>63516579</v>
      </c>
      <c r="G24" s="451">
        <v>0</v>
      </c>
      <c r="H24" s="451">
        <v>0</v>
      </c>
      <c r="I24" s="451">
        <v>63516579</v>
      </c>
      <c r="J24" s="451">
        <v>460531</v>
      </c>
      <c r="K24" s="451">
        <v>0</v>
      </c>
      <c r="L24" s="451">
        <v>0</v>
      </c>
      <c r="M24" s="451">
        <v>460531</v>
      </c>
      <c r="N24" s="451">
        <v>-23741</v>
      </c>
      <c r="O24" s="451">
        <v>0</v>
      </c>
      <c r="P24" s="451">
        <v>0</v>
      </c>
      <c r="Q24" s="451">
        <v>-23741</v>
      </c>
      <c r="R24" s="451">
        <v>638000</v>
      </c>
      <c r="S24" s="451">
        <v>0</v>
      </c>
      <c r="T24" s="451">
        <v>0</v>
      </c>
      <c r="U24" s="451">
        <v>638000</v>
      </c>
      <c r="V24" s="451">
        <v>1562000</v>
      </c>
      <c r="W24" s="451">
        <v>0</v>
      </c>
      <c r="X24" s="451">
        <v>0</v>
      </c>
      <c r="Y24" s="451">
        <v>1562000</v>
      </c>
      <c r="Z24" s="451">
        <v>60879789</v>
      </c>
      <c r="AA24" s="451">
        <v>0</v>
      </c>
      <c r="AB24" s="451">
        <v>0</v>
      </c>
      <c r="AC24" s="451">
        <v>60879789</v>
      </c>
      <c r="AD24" s="451">
        <v>0</v>
      </c>
      <c r="AE24" s="451">
        <v>0</v>
      </c>
      <c r="AF24" s="451">
        <v>0</v>
      </c>
      <c r="AG24" s="451">
        <v>0</v>
      </c>
      <c r="AH24" s="451">
        <v>0</v>
      </c>
      <c r="AI24" s="451">
        <v>0</v>
      </c>
      <c r="AJ24" s="451">
        <v>0</v>
      </c>
      <c r="AK24" s="451">
        <v>0</v>
      </c>
      <c r="AL24" s="451">
        <v>0</v>
      </c>
      <c r="AM24" s="451">
        <v>0</v>
      </c>
      <c r="AN24" s="451">
        <v>0</v>
      </c>
      <c r="AO24" s="451">
        <v>2144091.67</v>
      </c>
      <c r="AP24" s="451">
        <v>373974.97</v>
      </c>
      <c r="AQ24" s="324"/>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10"/>
      <c r="CO24" s="310"/>
      <c r="CP24" s="310"/>
      <c r="CQ24" s="310"/>
      <c r="CR24" s="310"/>
      <c r="CS24" s="310"/>
      <c r="CT24" s="310"/>
      <c r="CU24" s="310"/>
      <c r="CV24" s="310"/>
      <c r="CW24" s="310"/>
      <c r="CX24" s="310"/>
      <c r="CY24" s="310"/>
      <c r="CZ24" s="310"/>
      <c r="DA24" s="310"/>
      <c r="DB24" s="310"/>
      <c r="DC24" s="310"/>
      <c r="DD24" s="310"/>
      <c r="DE24" s="310"/>
      <c r="DF24" s="310"/>
      <c r="DG24" s="310"/>
      <c r="DH24" s="310"/>
      <c r="DI24" s="310"/>
      <c r="DJ24" s="310"/>
      <c r="DK24" s="310"/>
      <c r="DL24" s="310"/>
      <c r="DM24" s="310"/>
      <c r="DN24" s="310"/>
      <c r="DO24" s="310"/>
      <c r="DP24" s="310"/>
      <c r="DQ24" s="310"/>
      <c r="DR24" s="310"/>
      <c r="DS24" s="310"/>
      <c r="DT24" s="310"/>
      <c r="DU24" s="310"/>
      <c r="DV24" s="310"/>
      <c r="DW24" s="310"/>
      <c r="DX24" s="310"/>
      <c r="DY24" s="310"/>
      <c r="DZ24" s="310"/>
      <c r="EA24" s="310"/>
      <c r="EB24" s="310"/>
      <c r="EC24" s="310"/>
      <c r="ED24" s="310"/>
      <c r="EE24" s="310"/>
      <c r="EF24" s="310"/>
      <c r="EG24" s="310"/>
      <c r="EH24" s="310"/>
      <c r="EI24" s="310"/>
      <c r="EJ24" s="310"/>
      <c r="EK24" s="310"/>
      <c r="EL24" s="310"/>
      <c r="EM24" s="310"/>
      <c r="EN24" s="310"/>
      <c r="EO24" s="310"/>
      <c r="EP24" s="310"/>
      <c r="EQ24" s="310"/>
      <c r="ER24" s="310"/>
      <c r="ES24" s="310"/>
      <c r="ET24" s="310"/>
      <c r="EU24" s="310"/>
      <c r="EV24" s="310"/>
      <c r="EW24" s="310"/>
      <c r="EX24" s="310"/>
      <c r="EY24" s="310"/>
      <c r="EZ24" s="310"/>
      <c r="FA24" s="310"/>
      <c r="FB24" s="310"/>
      <c r="FC24" s="310"/>
      <c r="FD24" s="310"/>
      <c r="FE24" s="311"/>
      <c r="FF24" s="312"/>
    </row>
    <row r="25" spans="1:162" ht="12.75" x14ac:dyDescent="0.2">
      <c r="A25" s="446">
        <v>18</v>
      </c>
      <c r="B25" s="447" t="s">
        <v>617</v>
      </c>
      <c r="C25" s="448" t="s">
        <v>1098</v>
      </c>
      <c r="D25" s="449" t="s">
        <v>1099</v>
      </c>
      <c r="E25" s="450" t="s">
        <v>616</v>
      </c>
      <c r="F25" s="451">
        <v>68054333</v>
      </c>
      <c r="G25" s="451">
        <v>0</v>
      </c>
      <c r="H25" s="451">
        <v>0</v>
      </c>
      <c r="I25" s="451">
        <v>68054333</v>
      </c>
      <c r="J25" s="451">
        <v>607962</v>
      </c>
      <c r="K25" s="451">
        <v>0</v>
      </c>
      <c r="L25" s="451">
        <v>0</v>
      </c>
      <c r="M25" s="451">
        <v>607962</v>
      </c>
      <c r="N25" s="451">
        <v>-159000</v>
      </c>
      <c r="O25" s="451">
        <v>0</v>
      </c>
      <c r="P25" s="451">
        <v>0</v>
      </c>
      <c r="Q25" s="451">
        <v>-159000</v>
      </c>
      <c r="R25" s="451">
        <v>1219652</v>
      </c>
      <c r="S25" s="451">
        <v>0</v>
      </c>
      <c r="T25" s="451">
        <v>0</v>
      </c>
      <c r="U25" s="451">
        <v>1219652</v>
      </c>
      <c r="V25" s="451">
        <v>4217039</v>
      </c>
      <c r="W25" s="451">
        <v>0</v>
      </c>
      <c r="X25" s="451">
        <v>0</v>
      </c>
      <c r="Y25" s="451">
        <v>4217039</v>
      </c>
      <c r="Z25" s="451">
        <v>62168680</v>
      </c>
      <c r="AA25" s="451">
        <v>0</v>
      </c>
      <c r="AB25" s="451">
        <v>0</v>
      </c>
      <c r="AC25" s="451">
        <v>62168680</v>
      </c>
      <c r="AD25" s="451">
        <v>0</v>
      </c>
      <c r="AE25" s="451">
        <v>0</v>
      </c>
      <c r="AF25" s="451">
        <v>0</v>
      </c>
      <c r="AG25" s="451">
        <v>0</v>
      </c>
      <c r="AH25" s="451">
        <v>0</v>
      </c>
      <c r="AI25" s="451">
        <v>0</v>
      </c>
      <c r="AJ25" s="451">
        <v>0</v>
      </c>
      <c r="AK25" s="451">
        <v>0</v>
      </c>
      <c r="AL25" s="451">
        <v>0</v>
      </c>
      <c r="AM25" s="451">
        <v>0</v>
      </c>
      <c r="AN25" s="451">
        <v>0</v>
      </c>
      <c r="AO25" s="451">
        <v>2418701</v>
      </c>
      <c r="AP25" s="451">
        <v>3039565</v>
      </c>
      <c r="AQ25" s="324"/>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1"/>
      <c r="FF25" s="312"/>
    </row>
    <row r="26" spans="1:162" ht="12.75" x14ac:dyDescent="0.2">
      <c r="A26" s="446">
        <v>19</v>
      </c>
      <c r="B26" s="447" t="s">
        <v>619</v>
      </c>
      <c r="C26" s="448" t="s">
        <v>1100</v>
      </c>
      <c r="D26" s="449" t="s">
        <v>1103</v>
      </c>
      <c r="E26" s="450" t="s">
        <v>618</v>
      </c>
      <c r="F26" s="451">
        <v>409222046</v>
      </c>
      <c r="G26" s="451">
        <v>0</v>
      </c>
      <c r="H26" s="451">
        <v>4810432</v>
      </c>
      <c r="I26" s="451">
        <v>414032478</v>
      </c>
      <c r="J26" s="451">
        <v>3868400</v>
      </c>
      <c r="K26" s="451">
        <v>0</v>
      </c>
      <c r="L26" s="451">
        <v>0</v>
      </c>
      <c r="M26" s="451">
        <v>3868400</v>
      </c>
      <c r="N26" s="451">
        <v>4611819</v>
      </c>
      <c r="O26" s="451">
        <v>0</v>
      </c>
      <c r="P26" s="451">
        <v>27346</v>
      </c>
      <c r="Q26" s="451">
        <v>4639165</v>
      </c>
      <c r="R26" s="451">
        <v>11281556</v>
      </c>
      <c r="S26" s="451">
        <v>0</v>
      </c>
      <c r="T26" s="451">
        <v>137405</v>
      </c>
      <c r="U26" s="451">
        <v>11418961</v>
      </c>
      <c r="V26" s="451">
        <v>31497943</v>
      </c>
      <c r="W26" s="451">
        <v>0</v>
      </c>
      <c r="X26" s="451">
        <v>502986</v>
      </c>
      <c r="Y26" s="451">
        <v>32000929</v>
      </c>
      <c r="Z26" s="451">
        <v>357962328</v>
      </c>
      <c r="AA26" s="451">
        <v>0</v>
      </c>
      <c r="AB26" s="451">
        <v>4142695</v>
      </c>
      <c r="AC26" s="451">
        <v>362105023</v>
      </c>
      <c r="AD26" s="451">
        <v>0</v>
      </c>
      <c r="AE26" s="451">
        <v>0</v>
      </c>
      <c r="AF26" s="451">
        <v>0</v>
      </c>
      <c r="AG26" s="451">
        <v>0</v>
      </c>
      <c r="AH26" s="451">
        <v>0</v>
      </c>
      <c r="AI26" s="451">
        <v>1175</v>
      </c>
      <c r="AJ26" s="451">
        <v>0</v>
      </c>
      <c r="AK26" s="451">
        <v>3873037</v>
      </c>
      <c r="AL26" s="451">
        <v>0</v>
      </c>
      <c r="AM26" s="451">
        <v>270833</v>
      </c>
      <c r="AN26" s="451">
        <v>0</v>
      </c>
      <c r="AO26" s="451">
        <v>98118174</v>
      </c>
      <c r="AP26" s="451">
        <v>34197630</v>
      </c>
      <c r="AQ26" s="324"/>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310"/>
      <c r="EN26" s="310"/>
      <c r="EO26" s="310"/>
      <c r="EP26" s="310"/>
      <c r="EQ26" s="310"/>
      <c r="ER26" s="310"/>
      <c r="ES26" s="310"/>
      <c r="ET26" s="310"/>
      <c r="EU26" s="310"/>
      <c r="EV26" s="310"/>
      <c r="EW26" s="310"/>
      <c r="EX26" s="310"/>
      <c r="EY26" s="310"/>
      <c r="EZ26" s="310"/>
      <c r="FA26" s="310"/>
      <c r="FB26" s="310"/>
      <c r="FC26" s="310"/>
      <c r="FD26" s="310"/>
      <c r="FE26" s="311"/>
      <c r="FF26" s="312"/>
    </row>
    <row r="27" spans="1:162" ht="12.75" x14ac:dyDescent="0.2">
      <c r="A27" s="446">
        <v>20</v>
      </c>
      <c r="B27" s="447" t="s">
        <v>621</v>
      </c>
      <c r="C27" s="448" t="s">
        <v>1093</v>
      </c>
      <c r="D27" s="449" t="s">
        <v>1096</v>
      </c>
      <c r="E27" s="450" t="s">
        <v>620</v>
      </c>
      <c r="F27" s="451">
        <v>39919039</v>
      </c>
      <c r="G27" s="451">
        <v>0</v>
      </c>
      <c r="H27" s="451">
        <v>0</v>
      </c>
      <c r="I27" s="451">
        <v>39919039</v>
      </c>
      <c r="J27" s="451">
        <v>451707</v>
      </c>
      <c r="K27" s="451">
        <v>0</v>
      </c>
      <c r="L27" s="451">
        <v>0</v>
      </c>
      <c r="M27" s="451">
        <v>451707</v>
      </c>
      <c r="N27" s="451">
        <v>-207590</v>
      </c>
      <c r="O27" s="451">
        <v>0</v>
      </c>
      <c r="P27" s="451">
        <v>0</v>
      </c>
      <c r="Q27" s="451">
        <v>-207590</v>
      </c>
      <c r="R27" s="451">
        <v>795416</v>
      </c>
      <c r="S27" s="451">
        <v>0</v>
      </c>
      <c r="T27" s="451">
        <v>0</v>
      </c>
      <c r="U27" s="451">
        <v>795416</v>
      </c>
      <c r="V27" s="451">
        <v>1977011</v>
      </c>
      <c r="W27" s="451">
        <v>0</v>
      </c>
      <c r="X27" s="451">
        <v>0</v>
      </c>
      <c r="Y27" s="451">
        <v>1977011</v>
      </c>
      <c r="Z27" s="451">
        <v>36902495</v>
      </c>
      <c r="AA27" s="451">
        <v>0</v>
      </c>
      <c r="AB27" s="451">
        <v>0</v>
      </c>
      <c r="AC27" s="451">
        <v>36902495</v>
      </c>
      <c r="AD27" s="451">
        <v>0</v>
      </c>
      <c r="AE27" s="451">
        <v>0</v>
      </c>
      <c r="AF27" s="451">
        <v>0</v>
      </c>
      <c r="AG27" s="451">
        <v>0</v>
      </c>
      <c r="AH27" s="451">
        <v>0</v>
      </c>
      <c r="AI27" s="451">
        <v>0</v>
      </c>
      <c r="AJ27" s="451">
        <v>0</v>
      </c>
      <c r="AK27" s="451">
        <v>0</v>
      </c>
      <c r="AL27" s="451">
        <v>0</v>
      </c>
      <c r="AM27" s="451">
        <v>0</v>
      </c>
      <c r="AN27" s="451">
        <v>0</v>
      </c>
      <c r="AO27" s="451">
        <v>962376</v>
      </c>
      <c r="AP27" s="451">
        <v>-489463</v>
      </c>
      <c r="AQ27" s="324"/>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10"/>
      <c r="EN27" s="310"/>
      <c r="EO27" s="310"/>
      <c r="EP27" s="310"/>
      <c r="EQ27" s="310"/>
      <c r="ER27" s="310"/>
      <c r="ES27" s="310"/>
      <c r="ET27" s="310"/>
      <c r="EU27" s="310"/>
      <c r="EV27" s="310"/>
      <c r="EW27" s="310"/>
      <c r="EX27" s="310"/>
      <c r="EY27" s="310"/>
      <c r="EZ27" s="310"/>
      <c r="FA27" s="310"/>
      <c r="FB27" s="310"/>
      <c r="FC27" s="310"/>
      <c r="FD27" s="310"/>
      <c r="FE27" s="311"/>
      <c r="FF27" s="312"/>
    </row>
    <row r="28" spans="1:162" ht="12.75" x14ac:dyDescent="0.2">
      <c r="A28" s="446">
        <v>21</v>
      </c>
      <c r="B28" s="447" t="s">
        <v>623</v>
      </c>
      <c r="C28" s="448" t="s">
        <v>794</v>
      </c>
      <c r="D28" s="449" t="s">
        <v>1095</v>
      </c>
      <c r="E28" s="450" t="s">
        <v>709</v>
      </c>
      <c r="F28" s="451">
        <v>46840720</v>
      </c>
      <c r="G28" s="451">
        <v>0</v>
      </c>
      <c r="H28" s="451">
        <v>0</v>
      </c>
      <c r="I28" s="451">
        <v>46840720</v>
      </c>
      <c r="J28" s="451">
        <v>451506</v>
      </c>
      <c r="K28" s="451">
        <v>0</v>
      </c>
      <c r="L28" s="451">
        <v>0</v>
      </c>
      <c r="M28" s="451">
        <v>451506</v>
      </c>
      <c r="N28" s="451">
        <v>423827</v>
      </c>
      <c r="O28" s="451">
        <v>0</v>
      </c>
      <c r="P28" s="451">
        <v>0</v>
      </c>
      <c r="Q28" s="451">
        <v>423827</v>
      </c>
      <c r="R28" s="451">
        <v>1082700</v>
      </c>
      <c r="S28" s="451">
        <v>0</v>
      </c>
      <c r="T28" s="451">
        <v>0</v>
      </c>
      <c r="U28" s="451">
        <v>1082700</v>
      </c>
      <c r="V28" s="451">
        <v>2497300</v>
      </c>
      <c r="W28" s="451">
        <v>0</v>
      </c>
      <c r="X28" s="451">
        <v>0</v>
      </c>
      <c r="Y28" s="451">
        <v>2497300</v>
      </c>
      <c r="Z28" s="451">
        <v>42385387</v>
      </c>
      <c r="AA28" s="451">
        <v>0</v>
      </c>
      <c r="AB28" s="451">
        <v>0</v>
      </c>
      <c r="AC28" s="451">
        <v>42385387</v>
      </c>
      <c r="AD28" s="451">
        <v>0</v>
      </c>
      <c r="AE28" s="451">
        <v>0</v>
      </c>
      <c r="AF28" s="451">
        <v>0</v>
      </c>
      <c r="AG28" s="451">
        <v>0</v>
      </c>
      <c r="AH28" s="451">
        <v>0</v>
      </c>
      <c r="AI28" s="451">
        <v>0</v>
      </c>
      <c r="AJ28" s="451">
        <v>0</v>
      </c>
      <c r="AK28" s="451">
        <v>0</v>
      </c>
      <c r="AL28" s="451">
        <v>0</v>
      </c>
      <c r="AM28" s="451">
        <v>0</v>
      </c>
      <c r="AN28" s="451">
        <v>0</v>
      </c>
      <c r="AO28" s="451">
        <v>2745972</v>
      </c>
      <c r="AP28" s="451">
        <v>596352</v>
      </c>
      <c r="AQ28" s="324"/>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1"/>
      <c r="FF28" s="312"/>
    </row>
    <row r="29" spans="1:162" ht="12.75" x14ac:dyDescent="0.2">
      <c r="A29" s="446">
        <v>22</v>
      </c>
      <c r="B29" s="447" t="s">
        <v>625</v>
      </c>
      <c r="C29" s="448" t="s">
        <v>794</v>
      </c>
      <c r="D29" s="449" t="s">
        <v>1095</v>
      </c>
      <c r="E29" s="450" t="s">
        <v>710</v>
      </c>
      <c r="F29" s="451">
        <v>50045672</v>
      </c>
      <c r="G29" s="451">
        <v>0</v>
      </c>
      <c r="H29" s="451">
        <v>0</v>
      </c>
      <c r="I29" s="451">
        <v>50045672</v>
      </c>
      <c r="J29" s="451">
        <v>1103136</v>
      </c>
      <c r="K29" s="451">
        <v>0</v>
      </c>
      <c r="L29" s="451">
        <v>0</v>
      </c>
      <c r="M29" s="451">
        <v>1103136</v>
      </c>
      <c r="N29" s="451">
        <v>1595231</v>
      </c>
      <c r="O29" s="451">
        <v>0</v>
      </c>
      <c r="P29" s="451">
        <v>0</v>
      </c>
      <c r="Q29" s="451">
        <v>1595231</v>
      </c>
      <c r="R29" s="451">
        <v>1284073</v>
      </c>
      <c r="S29" s="451">
        <v>0</v>
      </c>
      <c r="T29" s="451">
        <v>0</v>
      </c>
      <c r="U29" s="451">
        <v>1284073</v>
      </c>
      <c r="V29" s="451">
        <v>2820843</v>
      </c>
      <c r="W29" s="451">
        <v>0</v>
      </c>
      <c r="X29" s="451">
        <v>0</v>
      </c>
      <c r="Y29" s="451">
        <v>2820843</v>
      </c>
      <c r="Z29" s="451">
        <v>43242389</v>
      </c>
      <c r="AA29" s="451">
        <v>0</v>
      </c>
      <c r="AB29" s="451">
        <v>0</v>
      </c>
      <c r="AC29" s="451">
        <v>43242389</v>
      </c>
      <c r="AD29" s="451">
        <v>0</v>
      </c>
      <c r="AE29" s="451">
        <v>0</v>
      </c>
      <c r="AF29" s="451">
        <v>0</v>
      </c>
      <c r="AG29" s="451">
        <v>0</v>
      </c>
      <c r="AH29" s="451">
        <v>0</v>
      </c>
      <c r="AI29" s="451">
        <v>0</v>
      </c>
      <c r="AJ29" s="451">
        <v>0</v>
      </c>
      <c r="AK29" s="451">
        <v>0</v>
      </c>
      <c r="AL29" s="451">
        <v>0</v>
      </c>
      <c r="AM29" s="451">
        <v>0</v>
      </c>
      <c r="AN29" s="451">
        <v>0</v>
      </c>
      <c r="AO29" s="451">
        <v>4637471</v>
      </c>
      <c r="AP29" s="451">
        <v>456340</v>
      </c>
      <c r="AQ29" s="324"/>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310"/>
      <c r="CL29" s="310"/>
      <c r="CM29" s="310"/>
      <c r="CN29" s="310"/>
      <c r="CO29" s="310"/>
      <c r="CP29" s="310"/>
      <c r="CQ29" s="310"/>
      <c r="CR29" s="310"/>
      <c r="CS29" s="310"/>
      <c r="CT29" s="310"/>
      <c r="CU29" s="310"/>
      <c r="CV29" s="310"/>
      <c r="CW29" s="310"/>
      <c r="CX29" s="310"/>
      <c r="CY29" s="310"/>
      <c r="CZ29" s="310"/>
      <c r="DA29" s="310"/>
      <c r="DB29" s="310"/>
      <c r="DC29" s="310"/>
      <c r="DD29" s="310"/>
      <c r="DE29" s="310"/>
      <c r="DF29" s="310"/>
      <c r="DG29" s="310"/>
      <c r="DH29" s="310"/>
      <c r="DI29" s="310"/>
      <c r="DJ29" s="310"/>
      <c r="DK29" s="310"/>
      <c r="DL29" s="310"/>
      <c r="DM29" s="310"/>
      <c r="DN29" s="310"/>
      <c r="DO29" s="310"/>
      <c r="DP29" s="310"/>
      <c r="DQ29" s="310"/>
      <c r="DR29" s="310"/>
      <c r="DS29" s="310"/>
      <c r="DT29" s="310"/>
      <c r="DU29" s="310"/>
      <c r="DV29" s="310"/>
      <c r="DW29" s="310"/>
      <c r="DX29" s="310"/>
      <c r="DY29" s="310"/>
      <c r="DZ29" s="310"/>
      <c r="EA29" s="310"/>
      <c r="EB29" s="310"/>
      <c r="EC29" s="310"/>
      <c r="ED29" s="310"/>
      <c r="EE29" s="310"/>
      <c r="EF29" s="310"/>
      <c r="EG29" s="310"/>
      <c r="EH29" s="310"/>
      <c r="EI29" s="310"/>
      <c r="EJ29" s="310"/>
      <c r="EK29" s="310"/>
      <c r="EL29" s="310"/>
      <c r="EM29" s="310"/>
      <c r="EN29" s="310"/>
      <c r="EO29" s="310"/>
      <c r="EP29" s="310"/>
      <c r="EQ29" s="310"/>
      <c r="ER29" s="310"/>
      <c r="ES29" s="310"/>
      <c r="ET29" s="310"/>
      <c r="EU29" s="310"/>
      <c r="EV29" s="310"/>
      <c r="EW29" s="310"/>
      <c r="EX29" s="310"/>
      <c r="EY29" s="310"/>
      <c r="EZ29" s="310"/>
      <c r="FA29" s="310"/>
      <c r="FB29" s="310"/>
      <c r="FC29" s="310"/>
      <c r="FD29" s="310"/>
      <c r="FE29" s="311"/>
      <c r="FF29" s="312"/>
    </row>
    <row r="30" spans="1:162" ht="12.75" x14ac:dyDescent="0.2">
      <c r="A30" s="446">
        <v>23</v>
      </c>
      <c r="B30" s="447" t="s">
        <v>627</v>
      </c>
      <c r="C30" s="448" t="s">
        <v>1093</v>
      </c>
      <c r="D30" s="449" t="s">
        <v>1096</v>
      </c>
      <c r="E30" s="450" t="s">
        <v>626</v>
      </c>
      <c r="F30" s="451">
        <v>21465984</v>
      </c>
      <c r="G30" s="451">
        <v>0</v>
      </c>
      <c r="H30" s="451">
        <v>0</v>
      </c>
      <c r="I30" s="451">
        <v>21465984</v>
      </c>
      <c r="J30" s="451">
        <v>53844</v>
      </c>
      <c r="K30" s="451">
        <v>0</v>
      </c>
      <c r="L30" s="451">
        <v>0</v>
      </c>
      <c r="M30" s="451">
        <v>53844</v>
      </c>
      <c r="N30" s="451">
        <v>96067</v>
      </c>
      <c r="O30" s="451">
        <v>0</v>
      </c>
      <c r="P30" s="451">
        <v>0</v>
      </c>
      <c r="Q30" s="451">
        <v>96067</v>
      </c>
      <c r="R30" s="451">
        <v>153783</v>
      </c>
      <c r="S30" s="451">
        <v>0</v>
      </c>
      <c r="T30" s="451">
        <v>0</v>
      </c>
      <c r="U30" s="451">
        <v>153783</v>
      </c>
      <c r="V30" s="451">
        <v>607275</v>
      </c>
      <c r="W30" s="451">
        <v>0</v>
      </c>
      <c r="X30" s="451">
        <v>0</v>
      </c>
      <c r="Y30" s="451">
        <v>607275</v>
      </c>
      <c r="Z30" s="451">
        <v>20555015</v>
      </c>
      <c r="AA30" s="451">
        <v>0</v>
      </c>
      <c r="AB30" s="451">
        <v>0</v>
      </c>
      <c r="AC30" s="451">
        <v>20555015</v>
      </c>
      <c r="AD30" s="451">
        <v>0</v>
      </c>
      <c r="AE30" s="451">
        <v>0</v>
      </c>
      <c r="AF30" s="451">
        <v>0</v>
      </c>
      <c r="AG30" s="451">
        <v>0</v>
      </c>
      <c r="AH30" s="451">
        <v>0</v>
      </c>
      <c r="AI30" s="451">
        <v>0</v>
      </c>
      <c r="AJ30" s="451">
        <v>0</v>
      </c>
      <c r="AK30" s="451">
        <v>0</v>
      </c>
      <c r="AL30" s="451">
        <v>0</v>
      </c>
      <c r="AM30" s="451">
        <v>0</v>
      </c>
      <c r="AN30" s="451">
        <v>0</v>
      </c>
      <c r="AO30" s="451">
        <v>510715</v>
      </c>
      <c r="AP30" s="451">
        <v>1318343</v>
      </c>
      <c r="AQ30" s="324"/>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c r="EW30" s="310"/>
      <c r="EX30" s="310"/>
      <c r="EY30" s="310"/>
      <c r="EZ30" s="310"/>
      <c r="FA30" s="310"/>
      <c r="FB30" s="310"/>
      <c r="FC30" s="310"/>
      <c r="FD30" s="310"/>
      <c r="FE30" s="311"/>
      <c r="FF30" s="312"/>
    </row>
    <row r="31" spans="1:162" ht="12.75" x14ac:dyDescent="0.2">
      <c r="A31" s="446">
        <v>24</v>
      </c>
      <c r="B31" s="447" t="s">
        <v>629</v>
      </c>
      <c r="C31" s="448" t="s">
        <v>1100</v>
      </c>
      <c r="D31" s="449" t="s">
        <v>1095</v>
      </c>
      <c r="E31" s="450" t="s">
        <v>628</v>
      </c>
      <c r="F31" s="451">
        <v>85873834</v>
      </c>
      <c r="G31" s="451">
        <v>0</v>
      </c>
      <c r="H31" s="451">
        <v>0</v>
      </c>
      <c r="I31" s="451">
        <v>85873834</v>
      </c>
      <c r="J31" s="451">
        <v>1196314</v>
      </c>
      <c r="K31" s="451">
        <v>0</v>
      </c>
      <c r="L31" s="451">
        <v>0</v>
      </c>
      <c r="M31" s="451">
        <v>1196314</v>
      </c>
      <c r="N31" s="451">
        <v>4161145</v>
      </c>
      <c r="O31" s="451">
        <v>0</v>
      </c>
      <c r="P31" s="451">
        <v>0</v>
      </c>
      <c r="Q31" s="451">
        <v>4161145</v>
      </c>
      <c r="R31" s="451">
        <v>2078159</v>
      </c>
      <c r="S31" s="451">
        <v>0</v>
      </c>
      <c r="T31" s="451">
        <v>0</v>
      </c>
      <c r="U31" s="451">
        <v>2078159</v>
      </c>
      <c r="V31" s="451">
        <v>6083937</v>
      </c>
      <c r="W31" s="451">
        <v>0</v>
      </c>
      <c r="X31" s="451">
        <v>0</v>
      </c>
      <c r="Y31" s="451">
        <v>6083937</v>
      </c>
      <c r="Z31" s="451">
        <v>72354279</v>
      </c>
      <c r="AA31" s="451">
        <v>0</v>
      </c>
      <c r="AB31" s="451">
        <v>0</v>
      </c>
      <c r="AC31" s="451">
        <v>72354279</v>
      </c>
      <c r="AD31" s="451">
        <v>0</v>
      </c>
      <c r="AE31" s="451">
        <v>0</v>
      </c>
      <c r="AF31" s="451">
        <v>0</v>
      </c>
      <c r="AG31" s="451">
        <v>0</v>
      </c>
      <c r="AH31" s="451">
        <v>0</v>
      </c>
      <c r="AI31" s="451">
        <v>0</v>
      </c>
      <c r="AJ31" s="451">
        <v>0</v>
      </c>
      <c r="AK31" s="451">
        <v>0</v>
      </c>
      <c r="AL31" s="451">
        <v>0</v>
      </c>
      <c r="AM31" s="451">
        <v>0</v>
      </c>
      <c r="AN31" s="451">
        <v>0</v>
      </c>
      <c r="AO31" s="451">
        <v>7099863</v>
      </c>
      <c r="AP31" s="451">
        <v>311376</v>
      </c>
      <c r="AQ31" s="324"/>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c r="EI31" s="310"/>
      <c r="EJ31" s="310"/>
      <c r="EK31" s="310"/>
      <c r="EL31" s="310"/>
      <c r="EM31" s="310"/>
      <c r="EN31" s="310"/>
      <c r="EO31" s="310"/>
      <c r="EP31" s="310"/>
      <c r="EQ31" s="310"/>
      <c r="ER31" s="310"/>
      <c r="ES31" s="310"/>
      <c r="ET31" s="310"/>
      <c r="EU31" s="310"/>
      <c r="EV31" s="310"/>
      <c r="EW31" s="310"/>
      <c r="EX31" s="310"/>
      <c r="EY31" s="310"/>
      <c r="EZ31" s="310"/>
      <c r="FA31" s="310"/>
      <c r="FB31" s="310"/>
      <c r="FC31" s="310"/>
      <c r="FD31" s="310"/>
      <c r="FE31" s="311"/>
      <c r="FF31" s="312"/>
    </row>
    <row r="32" spans="1:162" ht="12.75" x14ac:dyDescent="0.2">
      <c r="A32" s="446">
        <v>25</v>
      </c>
      <c r="B32" s="447" t="s">
        <v>631</v>
      </c>
      <c r="C32" s="448" t="s">
        <v>1093</v>
      </c>
      <c r="D32" s="449" t="s">
        <v>1096</v>
      </c>
      <c r="E32" s="450" t="s">
        <v>630</v>
      </c>
      <c r="F32" s="451">
        <v>18513776.199999999</v>
      </c>
      <c r="G32" s="451">
        <v>0</v>
      </c>
      <c r="H32" s="451">
        <v>0</v>
      </c>
      <c r="I32" s="451">
        <v>18513776.199999999</v>
      </c>
      <c r="J32" s="451">
        <v>0</v>
      </c>
      <c r="K32" s="451">
        <v>0</v>
      </c>
      <c r="L32" s="451">
        <v>0</v>
      </c>
      <c r="M32" s="451">
        <v>0</v>
      </c>
      <c r="N32" s="451">
        <v>331148</v>
      </c>
      <c r="O32" s="451">
        <v>0</v>
      </c>
      <c r="P32" s="451">
        <v>0</v>
      </c>
      <c r="Q32" s="451">
        <v>331148</v>
      </c>
      <c r="R32" s="451">
        <v>307700</v>
      </c>
      <c r="S32" s="451">
        <v>0</v>
      </c>
      <c r="T32" s="451">
        <v>0</v>
      </c>
      <c r="U32" s="451">
        <v>307700</v>
      </c>
      <c r="V32" s="451">
        <v>1104013</v>
      </c>
      <c r="W32" s="451">
        <v>0</v>
      </c>
      <c r="X32" s="451">
        <v>0</v>
      </c>
      <c r="Y32" s="451">
        <v>1104013</v>
      </c>
      <c r="Z32" s="451">
        <v>16770915</v>
      </c>
      <c r="AA32" s="451">
        <v>0</v>
      </c>
      <c r="AB32" s="451">
        <v>0</v>
      </c>
      <c r="AC32" s="451">
        <v>16770915</v>
      </c>
      <c r="AD32" s="451">
        <v>0</v>
      </c>
      <c r="AE32" s="451">
        <v>0</v>
      </c>
      <c r="AF32" s="451">
        <v>0</v>
      </c>
      <c r="AG32" s="451">
        <v>0</v>
      </c>
      <c r="AH32" s="451">
        <v>0</v>
      </c>
      <c r="AI32" s="451">
        <v>0</v>
      </c>
      <c r="AJ32" s="451">
        <v>0</v>
      </c>
      <c r="AK32" s="451">
        <v>0</v>
      </c>
      <c r="AL32" s="451">
        <v>0</v>
      </c>
      <c r="AM32" s="451">
        <v>0</v>
      </c>
      <c r="AN32" s="451">
        <v>0</v>
      </c>
      <c r="AO32" s="451">
        <v>1067148</v>
      </c>
      <c r="AP32" s="451">
        <v>350492.45</v>
      </c>
      <c r="AQ32" s="324"/>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0"/>
      <c r="BX32" s="310"/>
      <c r="BY32" s="310"/>
      <c r="BZ32" s="310"/>
      <c r="CA32" s="310"/>
      <c r="CB32" s="310"/>
      <c r="CC32" s="310"/>
      <c r="CD32" s="310"/>
      <c r="CE32" s="310"/>
      <c r="CF32" s="310"/>
      <c r="CG32" s="310"/>
      <c r="CH32" s="310"/>
      <c r="CI32" s="310"/>
      <c r="CJ32" s="310"/>
      <c r="CK32" s="310"/>
      <c r="CL32" s="310"/>
      <c r="CM32" s="310"/>
      <c r="CN32" s="310"/>
      <c r="CO32" s="310"/>
      <c r="CP32" s="310"/>
      <c r="CQ32" s="310"/>
      <c r="CR32" s="310"/>
      <c r="CS32" s="310"/>
      <c r="CT32" s="310"/>
      <c r="CU32" s="310"/>
      <c r="CV32" s="310"/>
      <c r="CW32" s="310"/>
      <c r="CX32" s="310"/>
      <c r="CY32" s="310"/>
      <c r="CZ32" s="310"/>
      <c r="DA32" s="310"/>
      <c r="DB32" s="310"/>
      <c r="DC32" s="310"/>
      <c r="DD32" s="310"/>
      <c r="DE32" s="310"/>
      <c r="DF32" s="310"/>
      <c r="DG32" s="310"/>
      <c r="DH32" s="310"/>
      <c r="DI32" s="310"/>
      <c r="DJ32" s="310"/>
      <c r="DK32" s="310"/>
      <c r="DL32" s="310"/>
      <c r="DM32" s="310"/>
      <c r="DN32" s="310"/>
      <c r="DO32" s="310"/>
      <c r="DP32" s="310"/>
      <c r="DQ32" s="310"/>
      <c r="DR32" s="310"/>
      <c r="DS32" s="310"/>
      <c r="DT32" s="310"/>
      <c r="DU32" s="310"/>
      <c r="DV32" s="310"/>
      <c r="DW32" s="310"/>
      <c r="DX32" s="310"/>
      <c r="DY32" s="310"/>
      <c r="DZ32" s="310"/>
      <c r="EA32" s="310"/>
      <c r="EB32" s="310"/>
      <c r="EC32" s="310"/>
      <c r="ED32" s="310"/>
      <c r="EE32" s="310"/>
      <c r="EF32" s="310"/>
      <c r="EG32" s="310"/>
      <c r="EH32" s="310"/>
      <c r="EI32" s="310"/>
      <c r="EJ32" s="310"/>
      <c r="EK32" s="310"/>
      <c r="EL32" s="310"/>
      <c r="EM32" s="310"/>
      <c r="EN32" s="310"/>
      <c r="EO32" s="310"/>
      <c r="EP32" s="310"/>
      <c r="EQ32" s="310"/>
      <c r="ER32" s="310"/>
      <c r="ES32" s="310"/>
      <c r="ET32" s="310"/>
      <c r="EU32" s="310"/>
      <c r="EV32" s="310"/>
      <c r="EW32" s="310"/>
      <c r="EX32" s="310"/>
      <c r="EY32" s="310"/>
      <c r="EZ32" s="310"/>
      <c r="FA32" s="310"/>
      <c r="FB32" s="310"/>
      <c r="FC32" s="310"/>
      <c r="FD32" s="310"/>
      <c r="FE32" s="311"/>
      <c r="FF32" s="312"/>
    </row>
    <row r="33" spans="1:162" ht="12.75" x14ac:dyDescent="0.2">
      <c r="A33" s="446">
        <v>26</v>
      </c>
      <c r="B33" s="447" t="s">
        <v>633</v>
      </c>
      <c r="C33" s="448" t="s">
        <v>794</v>
      </c>
      <c r="D33" s="449" t="s">
        <v>1102</v>
      </c>
      <c r="E33" s="450" t="s">
        <v>711</v>
      </c>
      <c r="F33" s="451">
        <v>63812838.299999997</v>
      </c>
      <c r="G33" s="451">
        <v>0</v>
      </c>
      <c r="H33" s="451">
        <v>0</v>
      </c>
      <c r="I33" s="451">
        <v>63812838.299999997</v>
      </c>
      <c r="J33" s="451">
        <v>477526</v>
      </c>
      <c r="K33" s="451">
        <v>0</v>
      </c>
      <c r="L33" s="451">
        <v>0</v>
      </c>
      <c r="M33" s="451">
        <v>477526</v>
      </c>
      <c r="N33" s="451">
        <v>-217221</v>
      </c>
      <c r="O33" s="451">
        <v>0</v>
      </c>
      <c r="P33" s="451">
        <v>0</v>
      </c>
      <c r="Q33" s="451">
        <v>-217221</v>
      </c>
      <c r="R33" s="451">
        <v>750000</v>
      </c>
      <c r="S33" s="451">
        <v>0</v>
      </c>
      <c r="T33" s="451">
        <v>0</v>
      </c>
      <c r="U33" s="451">
        <v>750000</v>
      </c>
      <c r="V33" s="451">
        <v>2000000</v>
      </c>
      <c r="W33" s="451">
        <v>0</v>
      </c>
      <c r="X33" s="451">
        <v>0</v>
      </c>
      <c r="Y33" s="451">
        <v>2000000</v>
      </c>
      <c r="Z33" s="451">
        <v>60802533</v>
      </c>
      <c r="AA33" s="451">
        <v>0</v>
      </c>
      <c r="AB33" s="451">
        <v>0</v>
      </c>
      <c r="AC33" s="451">
        <v>60802533</v>
      </c>
      <c r="AD33" s="451">
        <v>360</v>
      </c>
      <c r="AE33" s="451">
        <v>0</v>
      </c>
      <c r="AF33" s="451">
        <v>0</v>
      </c>
      <c r="AG33" s="451">
        <v>360</v>
      </c>
      <c r="AH33" s="451">
        <v>0</v>
      </c>
      <c r="AI33" s="451">
        <v>0</v>
      </c>
      <c r="AJ33" s="451">
        <v>0</v>
      </c>
      <c r="AK33" s="451">
        <v>0</v>
      </c>
      <c r="AL33" s="451">
        <v>0</v>
      </c>
      <c r="AM33" s="451">
        <v>0</v>
      </c>
      <c r="AN33" s="451">
        <v>360</v>
      </c>
      <c r="AO33" s="451">
        <v>2955632</v>
      </c>
      <c r="AP33" s="451">
        <v>726988</v>
      </c>
      <c r="AQ33" s="324"/>
      <c r="AR33" s="310"/>
      <c r="AS33" s="310"/>
      <c r="AT33" s="310"/>
      <c r="AU33" s="310"/>
      <c r="AV33" s="310"/>
      <c r="AW33" s="310"/>
      <c r="AX33" s="310"/>
      <c r="AY33" s="310"/>
      <c r="AZ33" s="310"/>
      <c r="BA33" s="310"/>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0"/>
      <c r="CC33" s="310"/>
      <c r="CD33" s="310"/>
      <c r="CE33" s="310"/>
      <c r="CF33" s="310"/>
      <c r="CG33" s="310"/>
      <c r="CH33" s="310"/>
      <c r="CI33" s="310"/>
      <c r="CJ33" s="310"/>
      <c r="CK33" s="310"/>
      <c r="CL33" s="310"/>
      <c r="CM33" s="310"/>
      <c r="CN33" s="310"/>
      <c r="CO33" s="310"/>
      <c r="CP33" s="310"/>
      <c r="CQ33" s="310"/>
      <c r="CR33" s="310"/>
      <c r="CS33" s="310"/>
      <c r="CT33" s="310"/>
      <c r="CU33" s="310"/>
      <c r="CV33" s="310"/>
      <c r="CW33" s="310"/>
      <c r="CX33" s="310"/>
      <c r="CY33" s="310"/>
      <c r="CZ33" s="310"/>
      <c r="DA33" s="310"/>
      <c r="DB33" s="310"/>
      <c r="DC33" s="310"/>
      <c r="DD33" s="310"/>
      <c r="DE33" s="310"/>
      <c r="DF33" s="310"/>
      <c r="DG33" s="310"/>
      <c r="DH33" s="310"/>
      <c r="DI33" s="310"/>
      <c r="DJ33" s="310"/>
      <c r="DK33" s="310"/>
      <c r="DL33" s="310"/>
      <c r="DM33" s="310"/>
      <c r="DN33" s="310"/>
      <c r="DO33" s="310"/>
      <c r="DP33" s="310"/>
      <c r="DQ33" s="310"/>
      <c r="DR33" s="310"/>
      <c r="DS33" s="310"/>
      <c r="DT33" s="310"/>
      <c r="DU33" s="310"/>
      <c r="DV33" s="310"/>
      <c r="DW33" s="310"/>
      <c r="DX33" s="310"/>
      <c r="DY33" s="310"/>
      <c r="DZ33" s="310"/>
      <c r="EA33" s="310"/>
      <c r="EB33" s="310"/>
      <c r="EC33" s="310"/>
      <c r="ED33" s="310"/>
      <c r="EE33" s="310"/>
      <c r="EF33" s="310"/>
      <c r="EG33" s="310"/>
      <c r="EH33" s="310"/>
      <c r="EI33" s="310"/>
      <c r="EJ33" s="310"/>
      <c r="EK33" s="310"/>
      <c r="EL33" s="310"/>
      <c r="EM33" s="310"/>
      <c r="EN33" s="310"/>
      <c r="EO33" s="310"/>
      <c r="EP33" s="310"/>
      <c r="EQ33" s="310"/>
      <c r="ER33" s="310"/>
      <c r="ES33" s="310"/>
      <c r="ET33" s="310"/>
      <c r="EU33" s="310"/>
      <c r="EV33" s="310"/>
      <c r="EW33" s="310"/>
      <c r="EX33" s="310"/>
      <c r="EY33" s="310"/>
      <c r="EZ33" s="310"/>
      <c r="FA33" s="310"/>
      <c r="FB33" s="310"/>
      <c r="FC33" s="310"/>
      <c r="FD33" s="310"/>
      <c r="FE33" s="311"/>
      <c r="FF33" s="312"/>
    </row>
    <row r="34" spans="1:162" ht="12.75" x14ac:dyDescent="0.2">
      <c r="A34" s="446">
        <v>27</v>
      </c>
      <c r="B34" s="447" t="s">
        <v>635</v>
      </c>
      <c r="C34" s="448" t="s">
        <v>794</v>
      </c>
      <c r="D34" s="449" t="s">
        <v>1094</v>
      </c>
      <c r="E34" s="450" t="s">
        <v>712</v>
      </c>
      <c r="F34" s="451">
        <v>71687492</v>
      </c>
      <c r="G34" s="451">
        <v>0</v>
      </c>
      <c r="H34" s="451">
        <v>0</v>
      </c>
      <c r="I34" s="451">
        <v>71687492</v>
      </c>
      <c r="J34" s="451">
        <v>793803</v>
      </c>
      <c r="K34" s="451">
        <v>0</v>
      </c>
      <c r="L34" s="451">
        <v>0</v>
      </c>
      <c r="M34" s="451">
        <v>793803</v>
      </c>
      <c r="N34" s="451">
        <v>-221800</v>
      </c>
      <c r="O34" s="451">
        <v>0</v>
      </c>
      <c r="P34" s="451">
        <v>0</v>
      </c>
      <c r="Q34" s="451">
        <v>-221800</v>
      </c>
      <c r="R34" s="451">
        <v>791189</v>
      </c>
      <c r="S34" s="451">
        <v>0</v>
      </c>
      <c r="T34" s="451">
        <v>0</v>
      </c>
      <c r="U34" s="451">
        <v>791189</v>
      </c>
      <c r="V34" s="451">
        <v>3926058</v>
      </c>
      <c r="W34" s="451">
        <v>0</v>
      </c>
      <c r="X34" s="451">
        <v>0</v>
      </c>
      <c r="Y34" s="451">
        <v>3926058</v>
      </c>
      <c r="Z34" s="451">
        <v>66398242</v>
      </c>
      <c r="AA34" s="451">
        <v>0</v>
      </c>
      <c r="AB34" s="451">
        <v>0</v>
      </c>
      <c r="AC34" s="451">
        <v>66398242</v>
      </c>
      <c r="AD34" s="451">
        <v>730</v>
      </c>
      <c r="AE34" s="451">
        <v>0</v>
      </c>
      <c r="AF34" s="451">
        <v>0</v>
      </c>
      <c r="AG34" s="451">
        <v>730</v>
      </c>
      <c r="AH34" s="451">
        <v>0</v>
      </c>
      <c r="AI34" s="451">
        <v>0</v>
      </c>
      <c r="AJ34" s="451">
        <v>0</v>
      </c>
      <c r="AK34" s="451">
        <v>0</v>
      </c>
      <c r="AL34" s="451">
        <v>0</v>
      </c>
      <c r="AM34" s="451">
        <v>0</v>
      </c>
      <c r="AN34" s="451">
        <v>730</v>
      </c>
      <c r="AO34" s="451">
        <v>2737939</v>
      </c>
      <c r="AP34" s="451">
        <v>1293651</v>
      </c>
      <c r="AQ34" s="324"/>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10"/>
      <c r="CF34" s="310"/>
      <c r="CG34" s="310"/>
      <c r="CH34" s="310"/>
      <c r="CI34" s="310"/>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10"/>
      <c r="DJ34" s="310"/>
      <c r="DK34" s="310"/>
      <c r="DL34" s="310"/>
      <c r="DM34" s="310"/>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10"/>
      <c r="EN34" s="310"/>
      <c r="EO34" s="310"/>
      <c r="EP34" s="310"/>
      <c r="EQ34" s="310"/>
      <c r="ER34" s="310"/>
      <c r="ES34" s="310"/>
      <c r="ET34" s="310"/>
      <c r="EU34" s="310"/>
      <c r="EV34" s="310"/>
      <c r="EW34" s="310"/>
      <c r="EX34" s="310"/>
      <c r="EY34" s="310"/>
      <c r="EZ34" s="310"/>
      <c r="FA34" s="310"/>
      <c r="FB34" s="310"/>
      <c r="FC34" s="310"/>
      <c r="FD34" s="310"/>
      <c r="FE34" s="311"/>
      <c r="FF34" s="312"/>
    </row>
    <row r="35" spans="1:162" ht="12.75" x14ac:dyDescent="0.2">
      <c r="A35" s="446">
        <v>28</v>
      </c>
      <c r="B35" s="447" t="s">
        <v>637</v>
      </c>
      <c r="C35" s="448" t="s">
        <v>1100</v>
      </c>
      <c r="D35" s="449" t="s">
        <v>1101</v>
      </c>
      <c r="E35" s="450" t="s">
        <v>636</v>
      </c>
      <c r="F35" s="451">
        <v>139785175</v>
      </c>
      <c r="G35" s="451">
        <v>0</v>
      </c>
      <c r="H35" s="451">
        <v>0</v>
      </c>
      <c r="I35" s="451">
        <v>139785175</v>
      </c>
      <c r="J35" s="451">
        <v>2527902</v>
      </c>
      <c r="K35" s="451">
        <v>0</v>
      </c>
      <c r="L35" s="451">
        <v>0</v>
      </c>
      <c r="M35" s="451">
        <v>2527902</v>
      </c>
      <c r="N35" s="451">
        <v>646982</v>
      </c>
      <c r="O35" s="451">
        <v>0</v>
      </c>
      <c r="P35" s="451">
        <v>0</v>
      </c>
      <c r="Q35" s="451">
        <v>646982</v>
      </c>
      <c r="R35" s="451">
        <v>3265160</v>
      </c>
      <c r="S35" s="451">
        <v>0</v>
      </c>
      <c r="T35" s="451">
        <v>0</v>
      </c>
      <c r="U35" s="451">
        <v>3265160</v>
      </c>
      <c r="V35" s="451">
        <v>9067530</v>
      </c>
      <c r="W35" s="451">
        <v>0</v>
      </c>
      <c r="X35" s="451">
        <v>0</v>
      </c>
      <c r="Y35" s="451">
        <v>9067530</v>
      </c>
      <c r="Z35" s="451">
        <v>124277601</v>
      </c>
      <c r="AA35" s="451">
        <v>0</v>
      </c>
      <c r="AB35" s="451">
        <v>0</v>
      </c>
      <c r="AC35" s="451">
        <v>124277601</v>
      </c>
      <c r="AD35" s="451">
        <v>0</v>
      </c>
      <c r="AE35" s="451">
        <v>0</v>
      </c>
      <c r="AF35" s="451">
        <v>0</v>
      </c>
      <c r="AG35" s="451">
        <v>0</v>
      </c>
      <c r="AH35" s="451">
        <v>0</v>
      </c>
      <c r="AI35" s="451">
        <v>0</v>
      </c>
      <c r="AJ35" s="451">
        <v>0</v>
      </c>
      <c r="AK35" s="451">
        <v>0</v>
      </c>
      <c r="AL35" s="451">
        <v>0</v>
      </c>
      <c r="AM35" s="451">
        <v>0</v>
      </c>
      <c r="AN35" s="451">
        <v>0</v>
      </c>
      <c r="AO35" s="451">
        <v>10215142</v>
      </c>
      <c r="AP35" s="451">
        <v>967226</v>
      </c>
      <c r="AQ35" s="324"/>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310"/>
      <c r="CF35" s="310"/>
      <c r="CG35" s="310"/>
      <c r="CH35" s="310"/>
      <c r="CI35" s="310"/>
      <c r="CJ35" s="310"/>
      <c r="CK35" s="310"/>
      <c r="CL35" s="310"/>
      <c r="CM35" s="310"/>
      <c r="CN35" s="310"/>
      <c r="CO35" s="310"/>
      <c r="CP35" s="310"/>
      <c r="CQ35" s="310"/>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310"/>
      <c r="EN35" s="310"/>
      <c r="EO35" s="310"/>
      <c r="EP35" s="310"/>
      <c r="EQ35" s="310"/>
      <c r="ER35" s="310"/>
      <c r="ES35" s="310"/>
      <c r="ET35" s="310"/>
      <c r="EU35" s="310"/>
      <c r="EV35" s="310"/>
      <c r="EW35" s="310"/>
      <c r="EX35" s="310"/>
      <c r="EY35" s="310"/>
      <c r="EZ35" s="310"/>
      <c r="FA35" s="310"/>
      <c r="FB35" s="310"/>
      <c r="FC35" s="310"/>
      <c r="FD35" s="310"/>
      <c r="FE35" s="311"/>
      <c r="FF35" s="312"/>
    </row>
    <row r="36" spans="1:162" ht="12.75" x14ac:dyDescent="0.2">
      <c r="A36" s="446">
        <v>29</v>
      </c>
      <c r="B36" s="447" t="s">
        <v>639</v>
      </c>
      <c r="C36" s="448" t="s">
        <v>1093</v>
      </c>
      <c r="D36" s="449" t="s">
        <v>1097</v>
      </c>
      <c r="E36" s="450" t="s">
        <v>638</v>
      </c>
      <c r="F36" s="451">
        <v>40419003</v>
      </c>
      <c r="G36" s="451">
        <v>0</v>
      </c>
      <c r="H36" s="451">
        <v>0</v>
      </c>
      <c r="I36" s="451">
        <v>40419003</v>
      </c>
      <c r="J36" s="451">
        <v>437834</v>
      </c>
      <c r="K36" s="451">
        <v>0</v>
      </c>
      <c r="L36" s="451">
        <v>0</v>
      </c>
      <c r="M36" s="451">
        <v>437834</v>
      </c>
      <c r="N36" s="451">
        <v>-17941</v>
      </c>
      <c r="O36" s="451">
        <v>0</v>
      </c>
      <c r="P36" s="451">
        <v>0</v>
      </c>
      <c r="Q36" s="451">
        <v>-17941</v>
      </c>
      <c r="R36" s="451">
        <v>393000</v>
      </c>
      <c r="S36" s="451">
        <v>0</v>
      </c>
      <c r="T36" s="451">
        <v>0</v>
      </c>
      <c r="U36" s="451">
        <v>393000</v>
      </c>
      <c r="V36" s="451">
        <v>957000</v>
      </c>
      <c r="W36" s="451">
        <v>0</v>
      </c>
      <c r="X36" s="451">
        <v>0</v>
      </c>
      <c r="Y36" s="451">
        <v>957000</v>
      </c>
      <c r="Z36" s="451">
        <v>38649110</v>
      </c>
      <c r="AA36" s="451">
        <v>0</v>
      </c>
      <c r="AB36" s="451">
        <v>0</v>
      </c>
      <c r="AC36" s="451">
        <v>38649110</v>
      </c>
      <c r="AD36" s="451">
        <v>0</v>
      </c>
      <c r="AE36" s="451">
        <v>0</v>
      </c>
      <c r="AF36" s="451">
        <v>0</v>
      </c>
      <c r="AG36" s="451">
        <v>0</v>
      </c>
      <c r="AH36" s="451">
        <v>0</v>
      </c>
      <c r="AI36" s="451">
        <v>0</v>
      </c>
      <c r="AJ36" s="451">
        <v>0</v>
      </c>
      <c r="AK36" s="451">
        <v>0</v>
      </c>
      <c r="AL36" s="451">
        <v>0</v>
      </c>
      <c r="AM36" s="451">
        <v>0</v>
      </c>
      <c r="AN36" s="451">
        <v>0</v>
      </c>
      <c r="AO36" s="451">
        <v>1320978</v>
      </c>
      <c r="AP36" s="451">
        <v>707248</v>
      </c>
      <c r="AQ36" s="324"/>
      <c r="AR36" s="310"/>
      <c r="AS36" s="310"/>
      <c r="AT36" s="310"/>
      <c r="AU36" s="310"/>
      <c r="AV36" s="310"/>
      <c r="AW36" s="310"/>
      <c r="AX36" s="310"/>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0"/>
      <c r="CC36" s="310"/>
      <c r="CD36" s="310"/>
      <c r="CE36" s="310"/>
      <c r="CF36" s="310"/>
      <c r="CG36" s="310"/>
      <c r="CH36" s="310"/>
      <c r="CI36" s="310"/>
      <c r="CJ36" s="310"/>
      <c r="CK36" s="310"/>
      <c r="CL36" s="310"/>
      <c r="CM36" s="310"/>
      <c r="CN36" s="310"/>
      <c r="CO36" s="310"/>
      <c r="CP36" s="310"/>
      <c r="CQ36" s="310"/>
      <c r="CR36" s="310"/>
      <c r="CS36" s="310"/>
      <c r="CT36" s="310"/>
      <c r="CU36" s="310"/>
      <c r="CV36" s="310"/>
      <c r="CW36" s="310"/>
      <c r="CX36" s="310"/>
      <c r="CY36" s="310"/>
      <c r="CZ36" s="310"/>
      <c r="DA36" s="310"/>
      <c r="DB36" s="310"/>
      <c r="DC36" s="310"/>
      <c r="DD36" s="310"/>
      <c r="DE36" s="310"/>
      <c r="DF36" s="310"/>
      <c r="DG36" s="310"/>
      <c r="DH36" s="310"/>
      <c r="DI36" s="310"/>
      <c r="DJ36" s="310"/>
      <c r="DK36" s="310"/>
      <c r="DL36" s="310"/>
      <c r="DM36" s="310"/>
      <c r="DN36" s="310"/>
      <c r="DO36" s="310"/>
      <c r="DP36" s="310"/>
      <c r="DQ36" s="310"/>
      <c r="DR36" s="310"/>
      <c r="DS36" s="310"/>
      <c r="DT36" s="310"/>
      <c r="DU36" s="310"/>
      <c r="DV36" s="310"/>
      <c r="DW36" s="310"/>
      <c r="DX36" s="310"/>
      <c r="DY36" s="310"/>
      <c r="DZ36" s="310"/>
      <c r="EA36" s="310"/>
      <c r="EB36" s="310"/>
      <c r="EC36" s="310"/>
      <c r="ED36" s="310"/>
      <c r="EE36" s="310"/>
      <c r="EF36" s="310"/>
      <c r="EG36" s="310"/>
      <c r="EH36" s="310"/>
      <c r="EI36" s="310"/>
      <c r="EJ36" s="310"/>
      <c r="EK36" s="310"/>
      <c r="EL36" s="310"/>
      <c r="EM36" s="310"/>
      <c r="EN36" s="310"/>
      <c r="EO36" s="310"/>
      <c r="EP36" s="310"/>
      <c r="EQ36" s="310"/>
      <c r="ER36" s="310"/>
      <c r="ES36" s="310"/>
      <c r="ET36" s="310"/>
      <c r="EU36" s="310"/>
      <c r="EV36" s="310"/>
      <c r="EW36" s="310"/>
      <c r="EX36" s="310"/>
      <c r="EY36" s="310"/>
      <c r="EZ36" s="310"/>
      <c r="FA36" s="310"/>
      <c r="FB36" s="310"/>
      <c r="FC36" s="310"/>
      <c r="FD36" s="310"/>
      <c r="FE36" s="311"/>
      <c r="FF36" s="312"/>
    </row>
    <row r="37" spans="1:162" ht="12.75" x14ac:dyDescent="0.2">
      <c r="A37" s="446">
        <v>30</v>
      </c>
      <c r="B37" s="447" t="s">
        <v>641</v>
      </c>
      <c r="C37" s="448" t="s">
        <v>1093</v>
      </c>
      <c r="D37" s="449" t="s">
        <v>1097</v>
      </c>
      <c r="E37" s="450" t="s">
        <v>640</v>
      </c>
      <c r="F37" s="451">
        <v>29261302.300000001</v>
      </c>
      <c r="G37" s="451">
        <v>0</v>
      </c>
      <c r="H37" s="451">
        <v>0</v>
      </c>
      <c r="I37" s="451">
        <v>29261302.300000001</v>
      </c>
      <c r="J37" s="451">
        <v>124648.8</v>
      </c>
      <c r="K37" s="451">
        <v>0</v>
      </c>
      <c r="L37" s="451">
        <v>0</v>
      </c>
      <c r="M37" s="451">
        <v>124648.8</v>
      </c>
      <c r="N37" s="451">
        <v>46708.54</v>
      </c>
      <c r="O37" s="451">
        <v>0</v>
      </c>
      <c r="P37" s="451">
        <v>0</v>
      </c>
      <c r="Q37" s="451">
        <v>46708.54</v>
      </c>
      <c r="R37" s="451">
        <v>519704</v>
      </c>
      <c r="S37" s="451">
        <v>0</v>
      </c>
      <c r="T37" s="451">
        <v>0</v>
      </c>
      <c r="U37" s="451">
        <v>519704</v>
      </c>
      <c r="V37" s="451">
        <v>1264617</v>
      </c>
      <c r="W37" s="451">
        <v>0</v>
      </c>
      <c r="X37" s="451">
        <v>0</v>
      </c>
      <c r="Y37" s="451">
        <v>1264617</v>
      </c>
      <c r="Z37" s="451">
        <v>27305624</v>
      </c>
      <c r="AA37" s="451">
        <v>0</v>
      </c>
      <c r="AB37" s="451">
        <v>0</v>
      </c>
      <c r="AC37" s="451">
        <v>27305624</v>
      </c>
      <c r="AD37" s="451">
        <v>29673</v>
      </c>
      <c r="AE37" s="451">
        <v>0</v>
      </c>
      <c r="AF37" s="451">
        <v>0</v>
      </c>
      <c r="AG37" s="451">
        <v>29673</v>
      </c>
      <c r="AH37" s="451">
        <v>0</v>
      </c>
      <c r="AI37" s="451">
        <v>0</v>
      </c>
      <c r="AJ37" s="451">
        <v>0</v>
      </c>
      <c r="AK37" s="451">
        <v>0</v>
      </c>
      <c r="AL37" s="451">
        <v>0</v>
      </c>
      <c r="AM37" s="451">
        <v>0</v>
      </c>
      <c r="AN37" s="451">
        <v>29673</v>
      </c>
      <c r="AO37" s="451">
        <v>768978.1</v>
      </c>
      <c r="AP37" s="451">
        <v>90370.84</v>
      </c>
      <c r="AQ37" s="324"/>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c r="EI37" s="310"/>
      <c r="EJ37" s="310"/>
      <c r="EK37" s="310"/>
      <c r="EL37" s="310"/>
      <c r="EM37" s="310"/>
      <c r="EN37" s="310"/>
      <c r="EO37" s="310"/>
      <c r="EP37" s="310"/>
      <c r="EQ37" s="310"/>
      <c r="ER37" s="310"/>
      <c r="ES37" s="310"/>
      <c r="ET37" s="310"/>
      <c r="EU37" s="310"/>
      <c r="EV37" s="310"/>
      <c r="EW37" s="310"/>
      <c r="EX37" s="310"/>
      <c r="EY37" s="310"/>
      <c r="EZ37" s="310"/>
      <c r="FA37" s="310"/>
      <c r="FB37" s="310"/>
      <c r="FC37" s="310"/>
      <c r="FD37" s="310"/>
      <c r="FE37" s="311"/>
      <c r="FF37" s="312"/>
    </row>
    <row r="38" spans="1:162" ht="12.75" x14ac:dyDescent="0.2">
      <c r="A38" s="446">
        <v>31</v>
      </c>
      <c r="B38" s="447" t="s">
        <v>643</v>
      </c>
      <c r="C38" s="448" t="s">
        <v>1098</v>
      </c>
      <c r="D38" s="449" t="s">
        <v>1099</v>
      </c>
      <c r="E38" s="450" t="s">
        <v>642</v>
      </c>
      <c r="F38" s="451">
        <v>109358373</v>
      </c>
      <c r="G38" s="451">
        <v>0</v>
      </c>
      <c r="H38" s="451">
        <v>0</v>
      </c>
      <c r="I38" s="451">
        <v>109358373</v>
      </c>
      <c r="J38" s="451">
        <v>1935104</v>
      </c>
      <c r="K38" s="451">
        <v>0</v>
      </c>
      <c r="L38" s="451">
        <v>0</v>
      </c>
      <c r="M38" s="451">
        <v>1935104</v>
      </c>
      <c r="N38" s="451">
        <v>-191378</v>
      </c>
      <c r="O38" s="451">
        <v>0</v>
      </c>
      <c r="P38" s="451">
        <v>0</v>
      </c>
      <c r="Q38" s="451">
        <v>-191378</v>
      </c>
      <c r="R38" s="451">
        <v>1614674</v>
      </c>
      <c r="S38" s="451">
        <v>0</v>
      </c>
      <c r="T38" s="451">
        <v>0</v>
      </c>
      <c r="U38" s="451">
        <v>1614674</v>
      </c>
      <c r="V38" s="451">
        <v>4482334</v>
      </c>
      <c r="W38" s="451">
        <v>0</v>
      </c>
      <c r="X38" s="451">
        <v>0</v>
      </c>
      <c r="Y38" s="451">
        <v>4482334</v>
      </c>
      <c r="Z38" s="451">
        <v>101517639</v>
      </c>
      <c r="AA38" s="451">
        <v>0</v>
      </c>
      <c r="AB38" s="451">
        <v>0</v>
      </c>
      <c r="AC38" s="451">
        <v>101517639</v>
      </c>
      <c r="AD38" s="451">
        <v>0</v>
      </c>
      <c r="AE38" s="451">
        <v>0</v>
      </c>
      <c r="AF38" s="451">
        <v>0</v>
      </c>
      <c r="AG38" s="451">
        <v>0</v>
      </c>
      <c r="AH38" s="451">
        <v>0</v>
      </c>
      <c r="AI38" s="451">
        <v>0</v>
      </c>
      <c r="AJ38" s="451">
        <v>0</v>
      </c>
      <c r="AK38" s="451">
        <v>0</v>
      </c>
      <c r="AL38" s="451">
        <v>0</v>
      </c>
      <c r="AM38" s="451">
        <v>0</v>
      </c>
      <c r="AN38" s="451">
        <v>0</v>
      </c>
      <c r="AO38" s="451">
        <v>5590105</v>
      </c>
      <c r="AP38" s="451">
        <v>2950924</v>
      </c>
      <c r="AQ38" s="324"/>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310"/>
      <c r="CL38" s="310"/>
      <c r="CM38" s="310"/>
      <c r="CN38" s="310"/>
      <c r="CO38" s="310"/>
      <c r="CP38" s="310"/>
      <c r="CQ38" s="310"/>
      <c r="CR38" s="310"/>
      <c r="CS38" s="310"/>
      <c r="CT38" s="310"/>
      <c r="CU38" s="310"/>
      <c r="CV38" s="310"/>
      <c r="CW38" s="310"/>
      <c r="CX38" s="310"/>
      <c r="CY38" s="310"/>
      <c r="CZ38" s="310"/>
      <c r="DA38" s="310"/>
      <c r="DB38" s="310"/>
      <c r="DC38" s="310"/>
      <c r="DD38" s="310"/>
      <c r="DE38" s="310"/>
      <c r="DF38" s="310"/>
      <c r="DG38" s="310"/>
      <c r="DH38" s="310"/>
      <c r="DI38" s="310"/>
      <c r="DJ38" s="310"/>
      <c r="DK38" s="310"/>
      <c r="DL38" s="310"/>
      <c r="DM38" s="310"/>
      <c r="DN38" s="310"/>
      <c r="DO38" s="310"/>
      <c r="DP38" s="310"/>
      <c r="DQ38" s="310"/>
      <c r="DR38" s="310"/>
      <c r="DS38" s="310"/>
      <c r="DT38" s="310"/>
      <c r="DU38" s="310"/>
      <c r="DV38" s="310"/>
      <c r="DW38" s="310"/>
      <c r="DX38" s="310"/>
      <c r="DY38" s="310"/>
      <c r="DZ38" s="310"/>
      <c r="EA38" s="310"/>
      <c r="EB38" s="310"/>
      <c r="EC38" s="310"/>
      <c r="ED38" s="310"/>
      <c r="EE38" s="310"/>
      <c r="EF38" s="310"/>
      <c r="EG38" s="310"/>
      <c r="EH38" s="310"/>
      <c r="EI38" s="310"/>
      <c r="EJ38" s="310"/>
      <c r="EK38" s="310"/>
      <c r="EL38" s="310"/>
      <c r="EM38" s="310"/>
      <c r="EN38" s="310"/>
      <c r="EO38" s="310"/>
      <c r="EP38" s="310"/>
      <c r="EQ38" s="310"/>
      <c r="ER38" s="310"/>
      <c r="ES38" s="310"/>
      <c r="ET38" s="310"/>
      <c r="EU38" s="310"/>
      <c r="EV38" s="310"/>
      <c r="EW38" s="310"/>
      <c r="EX38" s="310"/>
      <c r="EY38" s="310"/>
      <c r="EZ38" s="310"/>
      <c r="FA38" s="310"/>
      <c r="FB38" s="310"/>
      <c r="FC38" s="310"/>
      <c r="FD38" s="310"/>
      <c r="FE38" s="311"/>
      <c r="FF38" s="312"/>
    </row>
    <row r="39" spans="1:162" ht="12.75" x14ac:dyDescent="0.2">
      <c r="A39" s="446">
        <v>32</v>
      </c>
      <c r="B39" s="447" t="s">
        <v>645</v>
      </c>
      <c r="C39" s="448" t="s">
        <v>1093</v>
      </c>
      <c r="D39" s="449" t="s">
        <v>1097</v>
      </c>
      <c r="E39" s="450" t="s">
        <v>644</v>
      </c>
      <c r="F39" s="451">
        <v>29968664</v>
      </c>
      <c r="G39" s="451">
        <v>0</v>
      </c>
      <c r="H39" s="451">
        <v>0</v>
      </c>
      <c r="I39" s="451">
        <v>29968664</v>
      </c>
      <c r="J39" s="451">
        <v>693620.66</v>
      </c>
      <c r="K39" s="451">
        <v>0</v>
      </c>
      <c r="L39" s="451">
        <v>0</v>
      </c>
      <c r="M39" s="451">
        <v>693620.66</v>
      </c>
      <c r="N39" s="451">
        <v>302088</v>
      </c>
      <c r="O39" s="451">
        <v>0</v>
      </c>
      <c r="P39" s="451">
        <v>0</v>
      </c>
      <c r="Q39" s="451">
        <v>302088</v>
      </c>
      <c r="R39" s="451">
        <v>548321</v>
      </c>
      <c r="S39" s="451">
        <v>0</v>
      </c>
      <c r="T39" s="451">
        <v>0</v>
      </c>
      <c r="U39" s="451">
        <v>548321</v>
      </c>
      <c r="V39" s="451">
        <v>1506013</v>
      </c>
      <c r="W39" s="451">
        <v>0</v>
      </c>
      <c r="X39" s="451">
        <v>0</v>
      </c>
      <c r="Y39" s="451">
        <v>1506013</v>
      </c>
      <c r="Z39" s="451">
        <v>26918621</v>
      </c>
      <c r="AA39" s="451">
        <v>0</v>
      </c>
      <c r="AB39" s="451">
        <v>0</v>
      </c>
      <c r="AC39" s="451">
        <v>26918621</v>
      </c>
      <c r="AD39" s="451">
        <v>0</v>
      </c>
      <c r="AE39" s="451">
        <v>0</v>
      </c>
      <c r="AF39" s="451">
        <v>0</v>
      </c>
      <c r="AG39" s="451">
        <v>0</v>
      </c>
      <c r="AH39" s="451">
        <v>0</v>
      </c>
      <c r="AI39" s="451">
        <v>0</v>
      </c>
      <c r="AJ39" s="451">
        <v>0</v>
      </c>
      <c r="AK39" s="451">
        <v>0</v>
      </c>
      <c r="AL39" s="451">
        <v>0</v>
      </c>
      <c r="AM39" s="451">
        <v>0</v>
      </c>
      <c r="AN39" s="451">
        <v>0</v>
      </c>
      <c r="AO39" s="451">
        <v>2139290</v>
      </c>
      <c r="AP39" s="451">
        <v>448160</v>
      </c>
      <c r="AQ39" s="324"/>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310"/>
      <c r="CL39" s="310"/>
      <c r="CM39" s="310"/>
      <c r="CN39" s="310"/>
      <c r="CO39" s="310"/>
      <c r="CP39" s="310"/>
      <c r="CQ39" s="310"/>
      <c r="CR39" s="310"/>
      <c r="CS39" s="310"/>
      <c r="CT39" s="310"/>
      <c r="CU39" s="310"/>
      <c r="CV39" s="310"/>
      <c r="CW39" s="310"/>
      <c r="CX39" s="310"/>
      <c r="CY39" s="310"/>
      <c r="CZ39" s="310"/>
      <c r="DA39" s="310"/>
      <c r="DB39" s="310"/>
      <c r="DC39" s="310"/>
      <c r="DD39" s="310"/>
      <c r="DE39" s="310"/>
      <c r="DF39" s="310"/>
      <c r="DG39" s="310"/>
      <c r="DH39" s="310"/>
      <c r="DI39" s="310"/>
      <c r="DJ39" s="310"/>
      <c r="DK39" s="310"/>
      <c r="DL39" s="310"/>
      <c r="DM39" s="310"/>
      <c r="DN39" s="310"/>
      <c r="DO39" s="310"/>
      <c r="DP39" s="310"/>
      <c r="DQ39" s="310"/>
      <c r="DR39" s="310"/>
      <c r="DS39" s="310"/>
      <c r="DT39" s="310"/>
      <c r="DU39" s="310"/>
      <c r="DV39" s="310"/>
      <c r="DW39" s="310"/>
      <c r="DX39" s="310"/>
      <c r="DY39" s="310"/>
      <c r="DZ39" s="310"/>
      <c r="EA39" s="310"/>
      <c r="EB39" s="310"/>
      <c r="EC39" s="310"/>
      <c r="ED39" s="310"/>
      <c r="EE39" s="310"/>
      <c r="EF39" s="310"/>
      <c r="EG39" s="310"/>
      <c r="EH39" s="310"/>
      <c r="EI39" s="310"/>
      <c r="EJ39" s="310"/>
      <c r="EK39" s="310"/>
      <c r="EL39" s="310"/>
      <c r="EM39" s="310"/>
      <c r="EN39" s="310"/>
      <c r="EO39" s="310"/>
      <c r="EP39" s="310"/>
      <c r="EQ39" s="310"/>
      <c r="ER39" s="310"/>
      <c r="ES39" s="310"/>
      <c r="ET39" s="310"/>
      <c r="EU39" s="310"/>
      <c r="EV39" s="310"/>
      <c r="EW39" s="310"/>
      <c r="EX39" s="310"/>
      <c r="EY39" s="310"/>
      <c r="EZ39" s="310"/>
      <c r="FA39" s="310"/>
      <c r="FB39" s="310"/>
      <c r="FC39" s="310"/>
      <c r="FD39" s="310"/>
      <c r="FE39" s="311"/>
      <c r="FF39" s="312"/>
    </row>
    <row r="40" spans="1:162" ht="12.75" x14ac:dyDescent="0.2">
      <c r="A40" s="446">
        <v>33</v>
      </c>
      <c r="B40" s="447" t="s">
        <v>647</v>
      </c>
      <c r="C40" s="448" t="s">
        <v>794</v>
      </c>
      <c r="D40" s="449" t="s">
        <v>1094</v>
      </c>
      <c r="E40" s="450" t="s">
        <v>1111</v>
      </c>
      <c r="F40" s="451">
        <v>105430715</v>
      </c>
      <c r="G40" s="451">
        <v>0</v>
      </c>
      <c r="H40" s="451">
        <v>0</v>
      </c>
      <c r="I40" s="451">
        <v>105430715</v>
      </c>
      <c r="J40" s="451">
        <v>918058</v>
      </c>
      <c r="K40" s="451">
        <v>0</v>
      </c>
      <c r="L40" s="451">
        <v>0</v>
      </c>
      <c r="M40" s="451">
        <v>918058</v>
      </c>
      <c r="N40" s="451">
        <v>176025</v>
      </c>
      <c r="O40" s="451">
        <v>0</v>
      </c>
      <c r="P40" s="451">
        <v>0</v>
      </c>
      <c r="Q40" s="451">
        <v>176025</v>
      </c>
      <c r="R40" s="451">
        <v>2484253</v>
      </c>
      <c r="S40" s="451">
        <v>0</v>
      </c>
      <c r="T40" s="451">
        <v>0</v>
      </c>
      <c r="U40" s="451">
        <v>2484253</v>
      </c>
      <c r="V40" s="451">
        <v>3593648</v>
      </c>
      <c r="W40" s="451">
        <v>0</v>
      </c>
      <c r="X40" s="451">
        <v>0</v>
      </c>
      <c r="Y40" s="451">
        <v>3593648</v>
      </c>
      <c r="Z40" s="451">
        <v>98258731</v>
      </c>
      <c r="AA40" s="451">
        <v>0</v>
      </c>
      <c r="AB40" s="451">
        <v>0</v>
      </c>
      <c r="AC40" s="451">
        <v>98258731</v>
      </c>
      <c r="AD40" s="451">
        <v>0</v>
      </c>
      <c r="AE40" s="451">
        <v>0</v>
      </c>
      <c r="AF40" s="451">
        <v>0</v>
      </c>
      <c r="AG40" s="451">
        <v>0</v>
      </c>
      <c r="AH40" s="451">
        <v>0</v>
      </c>
      <c r="AI40" s="451">
        <v>0</v>
      </c>
      <c r="AJ40" s="451">
        <v>0</v>
      </c>
      <c r="AK40" s="451">
        <v>0</v>
      </c>
      <c r="AL40" s="451">
        <v>0</v>
      </c>
      <c r="AM40" s="451">
        <v>0</v>
      </c>
      <c r="AN40" s="451">
        <v>0</v>
      </c>
      <c r="AO40" s="451">
        <v>4416853</v>
      </c>
      <c r="AP40" s="451">
        <v>3485149</v>
      </c>
      <c r="AQ40" s="324"/>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10"/>
      <c r="FA40" s="310"/>
      <c r="FB40" s="310"/>
      <c r="FC40" s="310"/>
      <c r="FD40" s="310"/>
      <c r="FE40" s="311"/>
      <c r="FF40" s="312"/>
    </row>
    <row r="41" spans="1:162" ht="12.75" x14ac:dyDescent="0.2">
      <c r="A41" s="446">
        <v>34</v>
      </c>
      <c r="B41" s="447" t="s">
        <v>649</v>
      </c>
      <c r="C41" s="448" t="s">
        <v>794</v>
      </c>
      <c r="D41" s="449" t="s">
        <v>1102</v>
      </c>
      <c r="E41" s="450" t="s">
        <v>648</v>
      </c>
      <c r="F41" s="451">
        <v>194220090</v>
      </c>
      <c r="G41" s="451">
        <v>0</v>
      </c>
      <c r="H41" s="451">
        <v>12547523</v>
      </c>
      <c r="I41" s="451">
        <v>206767613</v>
      </c>
      <c r="J41" s="451">
        <v>1808845</v>
      </c>
      <c r="K41" s="451">
        <v>0</v>
      </c>
      <c r="L41" s="451">
        <v>8332</v>
      </c>
      <c r="M41" s="451">
        <v>1817177</v>
      </c>
      <c r="N41" s="451">
        <v>725000</v>
      </c>
      <c r="O41" s="451">
        <v>0</v>
      </c>
      <c r="P41" s="451">
        <v>18000</v>
      </c>
      <c r="Q41" s="451">
        <v>743000</v>
      </c>
      <c r="R41" s="451">
        <v>3802000</v>
      </c>
      <c r="S41" s="451">
        <v>0</v>
      </c>
      <c r="T41" s="451">
        <v>40000</v>
      </c>
      <c r="U41" s="451">
        <v>3842000</v>
      </c>
      <c r="V41" s="451">
        <v>10240000</v>
      </c>
      <c r="W41" s="451">
        <v>0</v>
      </c>
      <c r="X41" s="451">
        <v>0</v>
      </c>
      <c r="Y41" s="451">
        <v>10240000</v>
      </c>
      <c r="Z41" s="451">
        <v>177644245</v>
      </c>
      <c r="AA41" s="451">
        <v>0</v>
      </c>
      <c r="AB41" s="451">
        <v>12481191</v>
      </c>
      <c r="AC41" s="451">
        <v>190125436</v>
      </c>
      <c r="AD41" s="451">
        <v>221</v>
      </c>
      <c r="AE41" s="451">
        <v>0</v>
      </c>
      <c r="AF41" s="451">
        <v>0</v>
      </c>
      <c r="AG41" s="451">
        <v>221</v>
      </c>
      <c r="AH41" s="451">
        <v>0</v>
      </c>
      <c r="AI41" s="451">
        <v>83503</v>
      </c>
      <c r="AJ41" s="451">
        <v>0</v>
      </c>
      <c r="AK41" s="451">
        <v>12744508</v>
      </c>
      <c r="AL41" s="451">
        <v>0</v>
      </c>
      <c r="AM41" s="451">
        <v>0</v>
      </c>
      <c r="AN41" s="451">
        <v>221</v>
      </c>
      <c r="AO41" s="451">
        <v>4385330</v>
      </c>
      <c r="AP41" s="451">
        <v>3849916</v>
      </c>
      <c r="AQ41" s="324"/>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10"/>
      <c r="EN41" s="310"/>
      <c r="EO41" s="310"/>
      <c r="EP41" s="310"/>
      <c r="EQ41" s="310"/>
      <c r="ER41" s="310"/>
      <c r="ES41" s="310"/>
      <c r="ET41" s="310"/>
      <c r="EU41" s="310"/>
      <c r="EV41" s="310"/>
      <c r="EW41" s="310"/>
      <c r="EX41" s="310"/>
      <c r="EY41" s="310"/>
      <c r="EZ41" s="310"/>
      <c r="FA41" s="310"/>
      <c r="FB41" s="310"/>
      <c r="FC41" s="310"/>
      <c r="FD41" s="310"/>
      <c r="FE41" s="311"/>
      <c r="FF41" s="312"/>
    </row>
    <row r="42" spans="1:162" ht="12.75" x14ac:dyDescent="0.2">
      <c r="A42" s="446">
        <v>35</v>
      </c>
      <c r="B42" s="447" t="s">
        <v>651</v>
      </c>
      <c r="C42" s="448" t="s">
        <v>1093</v>
      </c>
      <c r="D42" s="449" t="s">
        <v>1097</v>
      </c>
      <c r="E42" s="450" t="s">
        <v>650</v>
      </c>
      <c r="F42" s="451">
        <v>29767163</v>
      </c>
      <c r="G42" s="451">
        <v>0</v>
      </c>
      <c r="H42" s="451">
        <v>0</v>
      </c>
      <c r="I42" s="451">
        <v>29767163</v>
      </c>
      <c r="J42" s="451">
        <v>0</v>
      </c>
      <c r="K42" s="451">
        <v>0</v>
      </c>
      <c r="L42" s="451">
        <v>0</v>
      </c>
      <c r="M42" s="451">
        <v>0</v>
      </c>
      <c r="N42" s="451">
        <v>13501</v>
      </c>
      <c r="O42" s="451">
        <v>0</v>
      </c>
      <c r="P42" s="451">
        <v>0</v>
      </c>
      <c r="Q42" s="451">
        <v>13501</v>
      </c>
      <c r="R42" s="451">
        <v>227620</v>
      </c>
      <c r="S42" s="451">
        <v>0</v>
      </c>
      <c r="T42" s="451">
        <v>0</v>
      </c>
      <c r="U42" s="451">
        <v>227620</v>
      </c>
      <c r="V42" s="451">
        <v>597214</v>
      </c>
      <c r="W42" s="451">
        <v>0</v>
      </c>
      <c r="X42" s="451">
        <v>0</v>
      </c>
      <c r="Y42" s="451">
        <v>597214</v>
      </c>
      <c r="Z42" s="451">
        <v>28928828</v>
      </c>
      <c r="AA42" s="451">
        <v>0</v>
      </c>
      <c r="AB42" s="451">
        <v>0</v>
      </c>
      <c r="AC42" s="451">
        <v>28928828</v>
      </c>
      <c r="AD42" s="451">
        <v>0</v>
      </c>
      <c r="AE42" s="451">
        <v>0</v>
      </c>
      <c r="AF42" s="451">
        <v>0</v>
      </c>
      <c r="AG42" s="451">
        <v>0</v>
      </c>
      <c r="AH42" s="451">
        <v>0</v>
      </c>
      <c r="AI42" s="451">
        <v>0</v>
      </c>
      <c r="AJ42" s="451">
        <v>0</v>
      </c>
      <c r="AK42" s="451">
        <v>0</v>
      </c>
      <c r="AL42" s="451">
        <v>0</v>
      </c>
      <c r="AM42" s="451">
        <v>0</v>
      </c>
      <c r="AN42" s="451">
        <v>0</v>
      </c>
      <c r="AO42" s="451">
        <v>271085</v>
      </c>
      <c r="AP42" s="451">
        <v>631866</v>
      </c>
      <c r="AQ42" s="324"/>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c r="BY42" s="310"/>
      <c r="BZ42" s="310"/>
      <c r="CA42" s="310"/>
      <c r="CB42" s="310"/>
      <c r="CC42" s="310"/>
      <c r="CD42" s="310"/>
      <c r="CE42" s="310"/>
      <c r="CF42" s="310"/>
      <c r="CG42" s="310"/>
      <c r="CH42" s="310"/>
      <c r="CI42" s="310"/>
      <c r="CJ42" s="310"/>
      <c r="CK42" s="310"/>
      <c r="CL42" s="310"/>
      <c r="CM42" s="310"/>
      <c r="CN42" s="310"/>
      <c r="CO42" s="310"/>
      <c r="CP42" s="310"/>
      <c r="CQ42" s="310"/>
      <c r="CR42" s="310"/>
      <c r="CS42" s="310"/>
      <c r="CT42" s="310"/>
      <c r="CU42" s="310"/>
      <c r="CV42" s="310"/>
      <c r="CW42" s="310"/>
      <c r="CX42" s="310"/>
      <c r="CY42" s="310"/>
      <c r="CZ42" s="310"/>
      <c r="DA42" s="310"/>
      <c r="DB42" s="310"/>
      <c r="DC42" s="310"/>
      <c r="DD42" s="310"/>
      <c r="DE42" s="310"/>
      <c r="DF42" s="310"/>
      <c r="DG42" s="310"/>
      <c r="DH42" s="310"/>
      <c r="DI42" s="310"/>
      <c r="DJ42" s="310"/>
      <c r="DK42" s="310"/>
      <c r="DL42" s="310"/>
      <c r="DM42" s="310"/>
      <c r="DN42" s="310"/>
      <c r="DO42" s="310"/>
      <c r="DP42" s="310"/>
      <c r="DQ42" s="310"/>
      <c r="DR42" s="310"/>
      <c r="DS42" s="310"/>
      <c r="DT42" s="310"/>
      <c r="DU42" s="310"/>
      <c r="DV42" s="310"/>
      <c r="DW42" s="310"/>
      <c r="DX42" s="310"/>
      <c r="DY42" s="310"/>
      <c r="DZ42" s="310"/>
      <c r="EA42" s="310"/>
      <c r="EB42" s="310"/>
      <c r="EC42" s="310"/>
      <c r="ED42" s="310"/>
      <c r="EE42" s="310"/>
      <c r="EF42" s="310"/>
      <c r="EG42" s="310"/>
      <c r="EH42" s="310"/>
      <c r="EI42" s="310"/>
      <c r="EJ42" s="310"/>
      <c r="EK42" s="310"/>
      <c r="EL42" s="310"/>
      <c r="EM42" s="310"/>
      <c r="EN42" s="310"/>
      <c r="EO42" s="310"/>
      <c r="EP42" s="310"/>
      <c r="EQ42" s="310"/>
      <c r="ER42" s="310"/>
      <c r="ES42" s="310"/>
      <c r="ET42" s="310"/>
      <c r="EU42" s="310"/>
      <c r="EV42" s="310"/>
      <c r="EW42" s="310"/>
      <c r="EX42" s="310"/>
      <c r="EY42" s="310"/>
      <c r="EZ42" s="310"/>
      <c r="FA42" s="310"/>
      <c r="FB42" s="310"/>
      <c r="FC42" s="310"/>
      <c r="FD42" s="310"/>
      <c r="FE42" s="311"/>
      <c r="FF42" s="312"/>
    </row>
    <row r="43" spans="1:162" ht="12.75" x14ac:dyDescent="0.2">
      <c r="A43" s="446">
        <v>36</v>
      </c>
      <c r="B43" s="447" t="s">
        <v>653</v>
      </c>
      <c r="C43" s="448" t="s">
        <v>1098</v>
      </c>
      <c r="D43" s="449" t="s">
        <v>1099</v>
      </c>
      <c r="E43" s="450" t="s">
        <v>652</v>
      </c>
      <c r="F43" s="451">
        <v>84193580</v>
      </c>
      <c r="G43" s="451">
        <v>0</v>
      </c>
      <c r="H43" s="451">
        <v>0</v>
      </c>
      <c r="I43" s="451">
        <v>84193580</v>
      </c>
      <c r="J43" s="451">
        <v>753068</v>
      </c>
      <c r="K43" s="451">
        <v>0</v>
      </c>
      <c r="L43" s="451">
        <v>0</v>
      </c>
      <c r="M43" s="451">
        <v>753068</v>
      </c>
      <c r="N43" s="451">
        <v>22155</v>
      </c>
      <c r="O43" s="451">
        <v>0</v>
      </c>
      <c r="P43" s="451">
        <v>0</v>
      </c>
      <c r="Q43" s="451">
        <v>22155</v>
      </c>
      <c r="R43" s="451">
        <v>84333</v>
      </c>
      <c r="S43" s="451">
        <v>0</v>
      </c>
      <c r="T43" s="451">
        <v>0</v>
      </c>
      <c r="U43" s="451">
        <v>84333</v>
      </c>
      <c r="V43" s="451">
        <v>365522</v>
      </c>
      <c r="W43" s="451">
        <v>0</v>
      </c>
      <c r="X43" s="451">
        <v>0</v>
      </c>
      <c r="Y43" s="451">
        <v>365522</v>
      </c>
      <c r="Z43" s="451">
        <v>82968502</v>
      </c>
      <c r="AA43" s="451">
        <v>0</v>
      </c>
      <c r="AB43" s="451">
        <v>0</v>
      </c>
      <c r="AC43" s="451">
        <v>82968502</v>
      </c>
      <c r="AD43" s="451">
        <v>0</v>
      </c>
      <c r="AE43" s="451">
        <v>0</v>
      </c>
      <c r="AF43" s="451">
        <v>0</v>
      </c>
      <c r="AG43" s="451">
        <v>0</v>
      </c>
      <c r="AH43" s="451">
        <v>0</v>
      </c>
      <c r="AI43" s="451">
        <v>0</v>
      </c>
      <c r="AJ43" s="451">
        <v>0</v>
      </c>
      <c r="AK43" s="451">
        <v>0</v>
      </c>
      <c r="AL43" s="451">
        <v>0</v>
      </c>
      <c r="AM43" s="451">
        <v>0</v>
      </c>
      <c r="AN43" s="451">
        <v>0</v>
      </c>
      <c r="AO43" s="451">
        <v>1687209.39</v>
      </c>
      <c r="AP43" s="451">
        <v>3589324</v>
      </c>
      <c r="AQ43" s="324"/>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c r="EI43" s="310"/>
      <c r="EJ43" s="310"/>
      <c r="EK43" s="310"/>
      <c r="EL43" s="310"/>
      <c r="EM43" s="310"/>
      <c r="EN43" s="310"/>
      <c r="EO43" s="310"/>
      <c r="EP43" s="310"/>
      <c r="EQ43" s="310"/>
      <c r="ER43" s="310"/>
      <c r="ES43" s="310"/>
      <c r="ET43" s="310"/>
      <c r="EU43" s="310"/>
      <c r="EV43" s="310"/>
      <c r="EW43" s="310"/>
      <c r="EX43" s="310"/>
      <c r="EY43" s="310"/>
      <c r="EZ43" s="310"/>
      <c r="FA43" s="310"/>
      <c r="FB43" s="310"/>
      <c r="FC43" s="310"/>
      <c r="FD43" s="310"/>
      <c r="FE43" s="311"/>
      <c r="FF43" s="312"/>
    </row>
    <row r="44" spans="1:162" ht="12.75" x14ac:dyDescent="0.2">
      <c r="A44" s="446">
        <v>37</v>
      </c>
      <c r="B44" s="447" t="s">
        <v>655</v>
      </c>
      <c r="C44" s="448" t="s">
        <v>1093</v>
      </c>
      <c r="D44" s="449" t="s">
        <v>1103</v>
      </c>
      <c r="E44" s="450" t="s">
        <v>654</v>
      </c>
      <c r="F44" s="451">
        <v>26534611.600000001</v>
      </c>
      <c r="G44" s="451">
        <v>0</v>
      </c>
      <c r="H44" s="451">
        <v>0</v>
      </c>
      <c r="I44" s="451">
        <v>26534611.600000001</v>
      </c>
      <c r="J44" s="451">
        <v>325712.84999999998</v>
      </c>
      <c r="K44" s="451">
        <v>0</v>
      </c>
      <c r="L44" s="451">
        <v>0</v>
      </c>
      <c r="M44" s="451">
        <v>325712.84999999998</v>
      </c>
      <c r="N44" s="451">
        <v>-15489</v>
      </c>
      <c r="O44" s="451">
        <v>0</v>
      </c>
      <c r="P44" s="451">
        <v>0</v>
      </c>
      <c r="Q44" s="451">
        <v>-15489</v>
      </c>
      <c r="R44" s="451">
        <v>271958</v>
      </c>
      <c r="S44" s="451">
        <v>0</v>
      </c>
      <c r="T44" s="451">
        <v>0</v>
      </c>
      <c r="U44" s="451">
        <v>271958</v>
      </c>
      <c r="V44" s="451">
        <v>651036</v>
      </c>
      <c r="W44" s="451">
        <v>0</v>
      </c>
      <c r="X44" s="451">
        <v>0</v>
      </c>
      <c r="Y44" s="451">
        <v>651036</v>
      </c>
      <c r="Z44" s="451">
        <v>25301394</v>
      </c>
      <c r="AA44" s="451">
        <v>0</v>
      </c>
      <c r="AB44" s="451">
        <v>0</v>
      </c>
      <c r="AC44" s="451">
        <v>25301394</v>
      </c>
      <c r="AD44" s="451">
        <v>0</v>
      </c>
      <c r="AE44" s="451">
        <v>0</v>
      </c>
      <c r="AF44" s="451">
        <v>0</v>
      </c>
      <c r="AG44" s="451">
        <v>0</v>
      </c>
      <c r="AH44" s="451">
        <v>0</v>
      </c>
      <c r="AI44" s="451">
        <v>0</v>
      </c>
      <c r="AJ44" s="451">
        <v>0</v>
      </c>
      <c r="AK44" s="451">
        <v>0</v>
      </c>
      <c r="AL44" s="451">
        <v>0</v>
      </c>
      <c r="AM44" s="451">
        <v>0</v>
      </c>
      <c r="AN44" s="451">
        <v>0</v>
      </c>
      <c r="AO44" s="451">
        <v>1204488</v>
      </c>
      <c r="AP44" s="451">
        <v>441013.3</v>
      </c>
      <c r="AQ44" s="324"/>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c r="BY44" s="310"/>
      <c r="BZ44" s="310"/>
      <c r="CA44" s="310"/>
      <c r="CB44" s="310"/>
      <c r="CC44" s="310"/>
      <c r="CD44" s="310"/>
      <c r="CE44" s="310"/>
      <c r="CF44" s="310"/>
      <c r="CG44" s="310"/>
      <c r="CH44" s="310"/>
      <c r="CI44" s="310"/>
      <c r="CJ44" s="310"/>
      <c r="CK44" s="310"/>
      <c r="CL44" s="310"/>
      <c r="CM44" s="310"/>
      <c r="CN44" s="310"/>
      <c r="CO44" s="310"/>
      <c r="CP44" s="310"/>
      <c r="CQ44" s="310"/>
      <c r="CR44" s="310"/>
      <c r="CS44" s="310"/>
      <c r="CT44" s="310"/>
      <c r="CU44" s="310"/>
      <c r="CV44" s="310"/>
      <c r="CW44" s="310"/>
      <c r="CX44" s="310"/>
      <c r="CY44" s="310"/>
      <c r="CZ44" s="310"/>
      <c r="DA44" s="310"/>
      <c r="DB44" s="310"/>
      <c r="DC44" s="310"/>
      <c r="DD44" s="310"/>
      <c r="DE44" s="310"/>
      <c r="DF44" s="310"/>
      <c r="DG44" s="310"/>
      <c r="DH44" s="310"/>
      <c r="DI44" s="310"/>
      <c r="DJ44" s="310"/>
      <c r="DK44" s="310"/>
      <c r="DL44" s="310"/>
      <c r="DM44" s="310"/>
      <c r="DN44" s="310"/>
      <c r="DO44" s="310"/>
      <c r="DP44" s="310"/>
      <c r="DQ44" s="310"/>
      <c r="DR44" s="310"/>
      <c r="DS44" s="310"/>
      <c r="DT44" s="310"/>
      <c r="DU44" s="310"/>
      <c r="DV44" s="310"/>
      <c r="DW44" s="310"/>
      <c r="DX44" s="310"/>
      <c r="DY44" s="310"/>
      <c r="DZ44" s="310"/>
      <c r="EA44" s="310"/>
      <c r="EB44" s="310"/>
      <c r="EC44" s="310"/>
      <c r="ED44" s="310"/>
      <c r="EE44" s="310"/>
      <c r="EF44" s="310"/>
      <c r="EG44" s="310"/>
      <c r="EH44" s="310"/>
      <c r="EI44" s="310"/>
      <c r="EJ44" s="310"/>
      <c r="EK44" s="310"/>
      <c r="EL44" s="310"/>
      <c r="EM44" s="310"/>
      <c r="EN44" s="310"/>
      <c r="EO44" s="310"/>
      <c r="EP44" s="310"/>
      <c r="EQ44" s="310"/>
      <c r="ER44" s="310"/>
      <c r="ES44" s="310"/>
      <c r="ET44" s="310"/>
      <c r="EU44" s="310"/>
      <c r="EV44" s="310"/>
      <c r="EW44" s="310"/>
      <c r="EX44" s="310"/>
      <c r="EY44" s="310"/>
      <c r="EZ44" s="310"/>
      <c r="FA44" s="310"/>
      <c r="FB44" s="310"/>
      <c r="FC44" s="310"/>
      <c r="FD44" s="310"/>
      <c r="FE44" s="311"/>
      <c r="FF44" s="312"/>
    </row>
    <row r="45" spans="1:162" ht="12.75" x14ac:dyDescent="0.2">
      <c r="A45" s="446">
        <v>38</v>
      </c>
      <c r="B45" s="447" t="s">
        <v>657</v>
      </c>
      <c r="C45" s="448" t="s">
        <v>1093</v>
      </c>
      <c r="D45" s="449" t="s">
        <v>1097</v>
      </c>
      <c r="E45" s="450" t="s">
        <v>656</v>
      </c>
      <c r="F45" s="451">
        <v>39890160</v>
      </c>
      <c r="G45" s="451">
        <v>0</v>
      </c>
      <c r="H45" s="451">
        <v>0</v>
      </c>
      <c r="I45" s="451">
        <v>39890160</v>
      </c>
      <c r="J45" s="451">
        <v>87568</v>
      </c>
      <c r="K45" s="451">
        <v>0</v>
      </c>
      <c r="L45" s="451">
        <v>0</v>
      </c>
      <c r="M45" s="451">
        <v>87568</v>
      </c>
      <c r="N45" s="451">
        <v>193525</v>
      </c>
      <c r="O45" s="451">
        <v>0</v>
      </c>
      <c r="P45" s="451">
        <v>0</v>
      </c>
      <c r="Q45" s="451">
        <v>193525</v>
      </c>
      <c r="R45" s="451">
        <v>593881</v>
      </c>
      <c r="S45" s="451">
        <v>0</v>
      </c>
      <c r="T45" s="451">
        <v>0</v>
      </c>
      <c r="U45" s="451">
        <v>593881</v>
      </c>
      <c r="V45" s="451">
        <v>1268562</v>
      </c>
      <c r="W45" s="451">
        <v>0</v>
      </c>
      <c r="X45" s="451">
        <v>0</v>
      </c>
      <c r="Y45" s="451">
        <v>1268562</v>
      </c>
      <c r="Z45" s="451">
        <v>37746624</v>
      </c>
      <c r="AA45" s="451">
        <v>0</v>
      </c>
      <c r="AB45" s="451">
        <v>0</v>
      </c>
      <c r="AC45" s="451">
        <v>37746624</v>
      </c>
      <c r="AD45" s="451">
        <v>0</v>
      </c>
      <c r="AE45" s="451">
        <v>0</v>
      </c>
      <c r="AF45" s="451">
        <v>0</v>
      </c>
      <c r="AG45" s="451">
        <v>0</v>
      </c>
      <c r="AH45" s="451">
        <v>0</v>
      </c>
      <c r="AI45" s="451">
        <v>0</v>
      </c>
      <c r="AJ45" s="451">
        <v>0</v>
      </c>
      <c r="AK45" s="451">
        <v>0</v>
      </c>
      <c r="AL45" s="451">
        <v>0</v>
      </c>
      <c r="AM45" s="451">
        <v>0</v>
      </c>
      <c r="AN45" s="451">
        <v>0</v>
      </c>
      <c r="AO45" s="451">
        <v>1380544</v>
      </c>
      <c r="AP45" s="451">
        <v>94344</v>
      </c>
      <c r="AQ45" s="324"/>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0"/>
      <c r="CL45" s="310"/>
      <c r="CM45" s="310"/>
      <c r="CN45" s="310"/>
      <c r="CO45" s="310"/>
      <c r="CP45" s="310"/>
      <c r="CQ45" s="310"/>
      <c r="CR45" s="310"/>
      <c r="CS45" s="310"/>
      <c r="CT45" s="310"/>
      <c r="CU45" s="310"/>
      <c r="CV45" s="310"/>
      <c r="CW45" s="310"/>
      <c r="CX45" s="310"/>
      <c r="CY45" s="310"/>
      <c r="CZ45" s="310"/>
      <c r="DA45" s="310"/>
      <c r="DB45" s="310"/>
      <c r="DC45" s="310"/>
      <c r="DD45" s="310"/>
      <c r="DE45" s="310"/>
      <c r="DF45" s="310"/>
      <c r="DG45" s="310"/>
      <c r="DH45" s="310"/>
      <c r="DI45" s="310"/>
      <c r="DJ45" s="310"/>
      <c r="DK45" s="310"/>
      <c r="DL45" s="310"/>
      <c r="DM45" s="310"/>
      <c r="DN45" s="310"/>
      <c r="DO45" s="310"/>
      <c r="DP45" s="310"/>
      <c r="DQ45" s="310"/>
      <c r="DR45" s="310"/>
      <c r="DS45" s="310"/>
      <c r="DT45" s="310"/>
      <c r="DU45" s="310"/>
      <c r="DV45" s="310"/>
      <c r="DW45" s="310"/>
      <c r="DX45" s="310"/>
      <c r="DY45" s="310"/>
      <c r="DZ45" s="310"/>
      <c r="EA45" s="310"/>
      <c r="EB45" s="310"/>
      <c r="EC45" s="310"/>
      <c r="ED45" s="310"/>
      <c r="EE45" s="310"/>
      <c r="EF45" s="310"/>
      <c r="EG45" s="310"/>
      <c r="EH45" s="310"/>
      <c r="EI45" s="310"/>
      <c r="EJ45" s="310"/>
      <c r="EK45" s="310"/>
      <c r="EL45" s="310"/>
      <c r="EM45" s="310"/>
      <c r="EN45" s="310"/>
      <c r="EO45" s="310"/>
      <c r="EP45" s="310"/>
      <c r="EQ45" s="310"/>
      <c r="ER45" s="310"/>
      <c r="ES45" s="310"/>
      <c r="ET45" s="310"/>
      <c r="EU45" s="310"/>
      <c r="EV45" s="310"/>
      <c r="EW45" s="310"/>
      <c r="EX45" s="310"/>
      <c r="EY45" s="310"/>
      <c r="EZ45" s="310"/>
      <c r="FA45" s="310"/>
      <c r="FB45" s="310"/>
      <c r="FC45" s="310"/>
      <c r="FD45" s="310"/>
      <c r="FE45" s="311"/>
      <c r="FF45" s="312"/>
    </row>
    <row r="46" spans="1:162" ht="12.75" x14ac:dyDescent="0.2">
      <c r="A46" s="446">
        <v>39</v>
      </c>
      <c r="B46" s="447" t="s">
        <v>659</v>
      </c>
      <c r="C46" s="448" t="s">
        <v>1093</v>
      </c>
      <c r="D46" s="449" t="s">
        <v>1096</v>
      </c>
      <c r="E46" s="450" t="s">
        <v>658</v>
      </c>
      <c r="F46" s="451">
        <v>23599219</v>
      </c>
      <c r="G46" s="451">
        <v>0</v>
      </c>
      <c r="H46" s="451">
        <v>1006425</v>
      </c>
      <c r="I46" s="451">
        <v>24605644</v>
      </c>
      <c r="J46" s="451">
        <v>154698</v>
      </c>
      <c r="K46" s="451">
        <v>0</v>
      </c>
      <c r="L46" s="451">
        <v>0</v>
      </c>
      <c r="M46" s="451">
        <v>154698</v>
      </c>
      <c r="N46" s="451">
        <v>70000</v>
      </c>
      <c r="O46" s="451">
        <v>0</v>
      </c>
      <c r="P46" s="451">
        <v>455598</v>
      </c>
      <c r="Q46" s="451">
        <v>525598</v>
      </c>
      <c r="R46" s="451">
        <v>297486</v>
      </c>
      <c r="S46" s="451">
        <v>0</v>
      </c>
      <c r="T46" s="451">
        <v>12395</v>
      </c>
      <c r="U46" s="451">
        <v>309881</v>
      </c>
      <c r="V46" s="451">
        <v>824244</v>
      </c>
      <c r="W46" s="451">
        <v>0</v>
      </c>
      <c r="X46" s="451">
        <v>34343</v>
      </c>
      <c r="Y46" s="451">
        <v>858587</v>
      </c>
      <c r="Z46" s="451">
        <v>22252791</v>
      </c>
      <c r="AA46" s="451">
        <v>0</v>
      </c>
      <c r="AB46" s="451">
        <v>504089</v>
      </c>
      <c r="AC46" s="451">
        <v>22756880</v>
      </c>
      <c r="AD46" s="451">
        <v>0</v>
      </c>
      <c r="AE46" s="451">
        <v>0</v>
      </c>
      <c r="AF46" s="451">
        <v>0</v>
      </c>
      <c r="AG46" s="451">
        <v>0</v>
      </c>
      <c r="AH46" s="451">
        <v>0</v>
      </c>
      <c r="AI46" s="451">
        <v>-108</v>
      </c>
      <c r="AJ46" s="451">
        <v>0</v>
      </c>
      <c r="AK46" s="451">
        <v>1078673</v>
      </c>
      <c r="AL46" s="451">
        <v>0</v>
      </c>
      <c r="AM46" s="451">
        <v>0</v>
      </c>
      <c r="AN46" s="451">
        <v>0</v>
      </c>
      <c r="AO46" s="451">
        <v>1459448.6</v>
      </c>
      <c r="AP46" s="451">
        <v>500309.25</v>
      </c>
      <c r="AQ46" s="324"/>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310"/>
      <c r="CA46" s="310"/>
      <c r="CB46" s="310"/>
      <c r="CC46" s="310"/>
      <c r="CD46" s="310"/>
      <c r="CE46" s="310"/>
      <c r="CF46" s="310"/>
      <c r="CG46" s="310"/>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c r="DG46" s="310"/>
      <c r="DH46" s="310"/>
      <c r="DI46" s="310"/>
      <c r="DJ46" s="310"/>
      <c r="DK46" s="310"/>
      <c r="DL46" s="310"/>
      <c r="DM46" s="310"/>
      <c r="DN46" s="310"/>
      <c r="DO46" s="310"/>
      <c r="DP46" s="310"/>
      <c r="DQ46" s="310"/>
      <c r="DR46" s="310"/>
      <c r="DS46" s="310"/>
      <c r="DT46" s="310"/>
      <c r="DU46" s="310"/>
      <c r="DV46" s="310"/>
      <c r="DW46" s="310"/>
      <c r="DX46" s="310"/>
      <c r="DY46" s="310"/>
      <c r="DZ46" s="310"/>
      <c r="EA46" s="310"/>
      <c r="EB46" s="310"/>
      <c r="EC46" s="310"/>
      <c r="ED46" s="310"/>
      <c r="EE46" s="310"/>
      <c r="EF46" s="310"/>
      <c r="EG46" s="310"/>
      <c r="EH46" s="310"/>
      <c r="EI46" s="310"/>
      <c r="EJ46" s="310"/>
      <c r="EK46" s="310"/>
      <c r="EL46" s="310"/>
      <c r="EM46" s="310"/>
      <c r="EN46" s="310"/>
      <c r="EO46" s="310"/>
      <c r="EP46" s="310"/>
      <c r="EQ46" s="310"/>
      <c r="ER46" s="310"/>
      <c r="ES46" s="310"/>
      <c r="ET46" s="310"/>
      <c r="EU46" s="310"/>
      <c r="EV46" s="310"/>
      <c r="EW46" s="310"/>
      <c r="EX46" s="310"/>
      <c r="EY46" s="310"/>
      <c r="EZ46" s="310"/>
      <c r="FA46" s="310"/>
      <c r="FB46" s="310"/>
      <c r="FC46" s="310"/>
      <c r="FD46" s="310"/>
      <c r="FE46" s="311"/>
      <c r="FF46" s="312"/>
    </row>
    <row r="47" spans="1:162" ht="12.75" x14ac:dyDescent="0.2">
      <c r="A47" s="446">
        <v>40</v>
      </c>
      <c r="B47" s="447" t="s">
        <v>661</v>
      </c>
      <c r="C47" s="448" t="s">
        <v>1093</v>
      </c>
      <c r="D47" s="449" t="s">
        <v>1095</v>
      </c>
      <c r="E47" s="450" t="s">
        <v>660</v>
      </c>
      <c r="F47" s="451">
        <v>27887116.300000001</v>
      </c>
      <c r="G47" s="451">
        <v>0</v>
      </c>
      <c r="H47" s="451">
        <v>0</v>
      </c>
      <c r="I47" s="451">
        <v>27887116.300000001</v>
      </c>
      <c r="J47" s="451">
        <v>261186</v>
      </c>
      <c r="K47" s="451">
        <v>0</v>
      </c>
      <c r="L47" s="451">
        <v>0</v>
      </c>
      <c r="M47" s="451">
        <v>261186</v>
      </c>
      <c r="N47" s="451">
        <v>297685</v>
      </c>
      <c r="O47" s="451">
        <v>0</v>
      </c>
      <c r="P47" s="451">
        <v>0</v>
      </c>
      <c r="Q47" s="451">
        <v>297685</v>
      </c>
      <c r="R47" s="451">
        <v>303996</v>
      </c>
      <c r="S47" s="451">
        <v>0</v>
      </c>
      <c r="T47" s="451">
        <v>0</v>
      </c>
      <c r="U47" s="451">
        <v>303996</v>
      </c>
      <c r="V47" s="451">
        <v>1330558</v>
      </c>
      <c r="W47" s="451">
        <v>0</v>
      </c>
      <c r="X47" s="451">
        <v>0</v>
      </c>
      <c r="Y47" s="451">
        <v>1330558</v>
      </c>
      <c r="Z47" s="451">
        <v>25693691</v>
      </c>
      <c r="AA47" s="451">
        <v>0</v>
      </c>
      <c r="AB47" s="451">
        <v>0</v>
      </c>
      <c r="AC47" s="451">
        <v>25693691</v>
      </c>
      <c r="AD47" s="451">
        <v>0</v>
      </c>
      <c r="AE47" s="451">
        <v>0</v>
      </c>
      <c r="AF47" s="451">
        <v>0</v>
      </c>
      <c r="AG47" s="451">
        <v>0</v>
      </c>
      <c r="AH47" s="451">
        <v>0</v>
      </c>
      <c r="AI47" s="451">
        <v>0</v>
      </c>
      <c r="AJ47" s="451">
        <v>0</v>
      </c>
      <c r="AK47" s="451">
        <v>0</v>
      </c>
      <c r="AL47" s="451">
        <v>0</v>
      </c>
      <c r="AM47" s="451">
        <v>0</v>
      </c>
      <c r="AN47" s="451">
        <v>0</v>
      </c>
      <c r="AO47" s="451">
        <v>1719300</v>
      </c>
      <c r="AP47" s="451">
        <v>696534</v>
      </c>
      <c r="AQ47" s="324"/>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10"/>
      <c r="CP47" s="310"/>
      <c r="CQ47" s="310"/>
      <c r="CR47" s="310"/>
      <c r="CS47" s="310"/>
      <c r="CT47" s="310"/>
      <c r="CU47" s="310"/>
      <c r="CV47" s="310"/>
      <c r="CW47" s="310"/>
      <c r="CX47" s="310"/>
      <c r="CY47" s="310"/>
      <c r="CZ47" s="310"/>
      <c r="DA47" s="310"/>
      <c r="DB47" s="310"/>
      <c r="DC47" s="310"/>
      <c r="DD47" s="310"/>
      <c r="DE47" s="310"/>
      <c r="DF47" s="310"/>
      <c r="DG47" s="310"/>
      <c r="DH47" s="310"/>
      <c r="DI47" s="310"/>
      <c r="DJ47" s="310"/>
      <c r="DK47" s="310"/>
      <c r="DL47" s="310"/>
      <c r="DM47" s="310"/>
      <c r="DN47" s="310"/>
      <c r="DO47" s="310"/>
      <c r="DP47" s="310"/>
      <c r="DQ47" s="310"/>
      <c r="DR47" s="310"/>
      <c r="DS47" s="310"/>
      <c r="DT47" s="310"/>
      <c r="DU47" s="310"/>
      <c r="DV47" s="310"/>
      <c r="DW47" s="310"/>
      <c r="DX47" s="310"/>
      <c r="DY47" s="310"/>
      <c r="DZ47" s="310"/>
      <c r="EA47" s="310"/>
      <c r="EB47" s="310"/>
      <c r="EC47" s="310"/>
      <c r="ED47" s="310"/>
      <c r="EE47" s="310"/>
      <c r="EF47" s="310"/>
      <c r="EG47" s="310"/>
      <c r="EH47" s="310"/>
      <c r="EI47" s="310"/>
      <c r="EJ47" s="310"/>
      <c r="EK47" s="310"/>
      <c r="EL47" s="310"/>
      <c r="EM47" s="310"/>
      <c r="EN47" s="310"/>
      <c r="EO47" s="310"/>
      <c r="EP47" s="310"/>
      <c r="EQ47" s="310"/>
      <c r="ER47" s="310"/>
      <c r="ES47" s="310"/>
      <c r="ET47" s="310"/>
      <c r="EU47" s="310"/>
      <c r="EV47" s="310"/>
      <c r="EW47" s="310"/>
      <c r="EX47" s="310"/>
      <c r="EY47" s="310"/>
      <c r="EZ47" s="310"/>
      <c r="FA47" s="310"/>
      <c r="FB47" s="310"/>
      <c r="FC47" s="310"/>
      <c r="FD47" s="310"/>
      <c r="FE47" s="311"/>
      <c r="FF47" s="312"/>
    </row>
    <row r="48" spans="1:162" ht="12.75" x14ac:dyDescent="0.2">
      <c r="A48" s="446">
        <v>41</v>
      </c>
      <c r="B48" s="447" t="s">
        <v>663</v>
      </c>
      <c r="C48" s="448" t="s">
        <v>1100</v>
      </c>
      <c r="D48" s="449" t="s">
        <v>1095</v>
      </c>
      <c r="E48" s="450" t="s">
        <v>662</v>
      </c>
      <c r="F48" s="451">
        <v>49640468</v>
      </c>
      <c r="G48" s="451">
        <v>0</v>
      </c>
      <c r="H48" s="451">
        <v>0</v>
      </c>
      <c r="I48" s="451">
        <v>49640468</v>
      </c>
      <c r="J48" s="451">
        <v>662563</v>
      </c>
      <c r="K48" s="451">
        <v>0</v>
      </c>
      <c r="L48" s="451">
        <v>0</v>
      </c>
      <c r="M48" s="451">
        <v>662563</v>
      </c>
      <c r="N48" s="451">
        <v>725601</v>
      </c>
      <c r="O48" s="451">
        <v>0</v>
      </c>
      <c r="P48" s="451">
        <v>0</v>
      </c>
      <c r="Q48" s="451">
        <v>725601</v>
      </c>
      <c r="R48" s="451">
        <v>1000000</v>
      </c>
      <c r="S48" s="451">
        <v>0</v>
      </c>
      <c r="T48" s="451">
        <v>0</v>
      </c>
      <c r="U48" s="451">
        <v>1000000</v>
      </c>
      <c r="V48" s="451">
        <v>0</v>
      </c>
      <c r="W48" s="451">
        <v>0</v>
      </c>
      <c r="X48" s="451">
        <v>0</v>
      </c>
      <c r="Y48" s="451">
        <v>0</v>
      </c>
      <c r="Z48" s="451">
        <v>47252304</v>
      </c>
      <c r="AA48" s="451">
        <v>0</v>
      </c>
      <c r="AB48" s="451">
        <v>0</v>
      </c>
      <c r="AC48" s="451">
        <v>47252304</v>
      </c>
      <c r="AD48" s="451">
        <v>0</v>
      </c>
      <c r="AE48" s="451">
        <v>0</v>
      </c>
      <c r="AF48" s="451">
        <v>0</v>
      </c>
      <c r="AG48" s="451">
        <v>0</v>
      </c>
      <c r="AH48" s="451">
        <v>0</v>
      </c>
      <c r="AI48" s="451">
        <v>0</v>
      </c>
      <c r="AJ48" s="451">
        <v>0</v>
      </c>
      <c r="AK48" s="451">
        <v>0</v>
      </c>
      <c r="AL48" s="451">
        <v>0</v>
      </c>
      <c r="AM48" s="451">
        <v>0</v>
      </c>
      <c r="AN48" s="451">
        <v>0</v>
      </c>
      <c r="AO48" s="451">
        <v>0</v>
      </c>
      <c r="AP48" s="451">
        <v>0</v>
      </c>
      <c r="AQ48" s="324"/>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1"/>
      <c r="FF48" s="312"/>
    </row>
    <row r="49" spans="1:162" ht="12.75" x14ac:dyDescent="0.2">
      <c r="A49" s="446">
        <v>42</v>
      </c>
      <c r="B49" s="447" t="s">
        <v>665</v>
      </c>
      <c r="C49" s="448" t="s">
        <v>1100</v>
      </c>
      <c r="D49" s="449" t="s">
        <v>1101</v>
      </c>
      <c r="E49" s="450" t="s">
        <v>664</v>
      </c>
      <c r="F49" s="451">
        <v>59432772</v>
      </c>
      <c r="G49" s="451">
        <v>0</v>
      </c>
      <c r="H49" s="451">
        <v>0</v>
      </c>
      <c r="I49" s="451">
        <v>59432772</v>
      </c>
      <c r="J49" s="451">
        <v>-10089</v>
      </c>
      <c r="K49" s="451">
        <v>0</v>
      </c>
      <c r="L49" s="451">
        <v>0</v>
      </c>
      <c r="M49" s="451">
        <v>-10089</v>
      </c>
      <c r="N49" s="451">
        <v>1109832</v>
      </c>
      <c r="O49" s="451">
        <v>0</v>
      </c>
      <c r="P49" s="451">
        <v>0</v>
      </c>
      <c r="Q49" s="451">
        <v>1109832</v>
      </c>
      <c r="R49" s="451">
        <v>590848</v>
      </c>
      <c r="S49" s="451">
        <v>0</v>
      </c>
      <c r="T49" s="451">
        <v>0</v>
      </c>
      <c r="U49" s="451">
        <v>590848</v>
      </c>
      <c r="V49" s="451">
        <v>1660284</v>
      </c>
      <c r="W49" s="451">
        <v>0</v>
      </c>
      <c r="X49" s="451">
        <v>0</v>
      </c>
      <c r="Y49" s="451">
        <v>1660284</v>
      </c>
      <c r="Z49" s="451">
        <v>56081897</v>
      </c>
      <c r="AA49" s="451">
        <v>0</v>
      </c>
      <c r="AB49" s="451">
        <v>0</v>
      </c>
      <c r="AC49" s="451">
        <v>56081897</v>
      </c>
      <c r="AD49" s="451">
        <v>0</v>
      </c>
      <c r="AE49" s="451">
        <v>0</v>
      </c>
      <c r="AF49" s="451">
        <v>0</v>
      </c>
      <c r="AG49" s="451">
        <v>0</v>
      </c>
      <c r="AH49" s="451">
        <v>0</v>
      </c>
      <c r="AI49" s="451">
        <v>0</v>
      </c>
      <c r="AJ49" s="451">
        <v>0</v>
      </c>
      <c r="AK49" s="451">
        <v>0</v>
      </c>
      <c r="AL49" s="451">
        <v>0</v>
      </c>
      <c r="AM49" s="451">
        <v>0</v>
      </c>
      <c r="AN49" s="451">
        <v>0</v>
      </c>
      <c r="AO49" s="451">
        <v>6594921</v>
      </c>
      <c r="AP49" s="451">
        <v>1469511</v>
      </c>
      <c r="AQ49" s="324" t="s">
        <v>1120</v>
      </c>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c r="EI49" s="310"/>
      <c r="EJ49" s="310"/>
      <c r="EK49" s="310"/>
      <c r="EL49" s="310"/>
      <c r="EM49" s="310"/>
      <c r="EN49" s="310"/>
      <c r="EO49" s="310"/>
      <c r="EP49" s="310"/>
      <c r="EQ49" s="310"/>
      <c r="ER49" s="310"/>
      <c r="ES49" s="310"/>
      <c r="ET49" s="310"/>
      <c r="EU49" s="310"/>
      <c r="EV49" s="310"/>
      <c r="EW49" s="310"/>
      <c r="EX49" s="310"/>
      <c r="EY49" s="310"/>
      <c r="EZ49" s="310"/>
      <c r="FA49" s="310"/>
      <c r="FB49" s="310"/>
      <c r="FC49" s="310"/>
      <c r="FD49" s="310"/>
      <c r="FE49" s="311"/>
      <c r="FF49" s="312"/>
    </row>
    <row r="50" spans="1:162" ht="12.75" x14ac:dyDescent="0.2">
      <c r="A50" s="446">
        <v>43</v>
      </c>
      <c r="B50" s="447" t="s">
        <v>667</v>
      </c>
      <c r="C50" s="448" t="s">
        <v>1093</v>
      </c>
      <c r="D50" s="449" t="s">
        <v>1097</v>
      </c>
      <c r="E50" s="450" t="s">
        <v>666</v>
      </c>
      <c r="F50" s="451">
        <v>93851290</v>
      </c>
      <c r="G50" s="451">
        <v>0</v>
      </c>
      <c r="H50" s="451">
        <v>0</v>
      </c>
      <c r="I50" s="451">
        <v>93851290</v>
      </c>
      <c r="J50" s="451">
        <v>256946</v>
      </c>
      <c r="K50" s="451">
        <v>0</v>
      </c>
      <c r="L50" s="451">
        <v>0</v>
      </c>
      <c r="M50" s="451">
        <v>256946</v>
      </c>
      <c r="N50" s="451">
        <v>57899</v>
      </c>
      <c r="O50" s="451">
        <v>0</v>
      </c>
      <c r="P50" s="451">
        <v>0</v>
      </c>
      <c r="Q50" s="451">
        <v>57899</v>
      </c>
      <c r="R50" s="451">
        <v>2310839</v>
      </c>
      <c r="S50" s="451">
        <v>0</v>
      </c>
      <c r="T50" s="451">
        <v>0</v>
      </c>
      <c r="U50" s="451">
        <v>2310839</v>
      </c>
      <c r="V50" s="451">
        <v>5784086</v>
      </c>
      <c r="W50" s="451">
        <v>0</v>
      </c>
      <c r="X50" s="451">
        <v>0</v>
      </c>
      <c r="Y50" s="451">
        <v>5784086</v>
      </c>
      <c r="Z50" s="451">
        <v>85441520</v>
      </c>
      <c r="AA50" s="451">
        <v>0</v>
      </c>
      <c r="AB50" s="451">
        <v>0</v>
      </c>
      <c r="AC50" s="451">
        <v>85441520</v>
      </c>
      <c r="AD50" s="451">
        <v>0</v>
      </c>
      <c r="AE50" s="451">
        <v>0</v>
      </c>
      <c r="AF50" s="451">
        <v>0</v>
      </c>
      <c r="AG50" s="451">
        <v>0</v>
      </c>
      <c r="AH50" s="451">
        <v>0</v>
      </c>
      <c r="AI50" s="451">
        <v>0</v>
      </c>
      <c r="AJ50" s="451">
        <v>0</v>
      </c>
      <c r="AK50" s="451">
        <v>0</v>
      </c>
      <c r="AL50" s="451">
        <v>0</v>
      </c>
      <c r="AM50" s="451">
        <v>0</v>
      </c>
      <c r="AN50" s="451">
        <v>0</v>
      </c>
      <c r="AO50" s="451">
        <v>1226125</v>
      </c>
      <c r="AP50" s="451">
        <v>1492055</v>
      </c>
      <c r="AQ50" s="324"/>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310"/>
      <c r="CL50" s="310"/>
      <c r="CM50" s="310"/>
      <c r="CN50" s="310"/>
      <c r="CO50" s="310"/>
      <c r="CP50" s="310"/>
      <c r="CQ50" s="310"/>
      <c r="CR50" s="310"/>
      <c r="CS50" s="310"/>
      <c r="CT50" s="310"/>
      <c r="CU50" s="310"/>
      <c r="CV50" s="310"/>
      <c r="CW50" s="310"/>
      <c r="CX50" s="310"/>
      <c r="CY50" s="310"/>
      <c r="CZ50" s="310"/>
      <c r="DA50" s="310"/>
      <c r="DB50" s="310"/>
      <c r="DC50" s="310"/>
      <c r="DD50" s="310"/>
      <c r="DE50" s="310"/>
      <c r="DF50" s="310"/>
      <c r="DG50" s="310"/>
      <c r="DH50" s="310"/>
      <c r="DI50" s="310"/>
      <c r="DJ50" s="310"/>
      <c r="DK50" s="310"/>
      <c r="DL50" s="310"/>
      <c r="DM50" s="310"/>
      <c r="DN50" s="310"/>
      <c r="DO50" s="310"/>
      <c r="DP50" s="310"/>
      <c r="DQ50" s="310"/>
      <c r="DR50" s="310"/>
      <c r="DS50" s="310"/>
      <c r="DT50" s="310"/>
      <c r="DU50" s="310"/>
      <c r="DV50" s="310"/>
      <c r="DW50" s="310"/>
      <c r="DX50" s="310"/>
      <c r="DY50" s="310"/>
      <c r="DZ50" s="310"/>
      <c r="EA50" s="310"/>
      <c r="EB50" s="310"/>
      <c r="EC50" s="310"/>
      <c r="ED50" s="310"/>
      <c r="EE50" s="310"/>
      <c r="EF50" s="310"/>
      <c r="EG50" s="310"/>
      <c r="EH50" s="310"/>
      <c r="EI50" s="310"/>
      <c r="EJ50" s="310"/>
      <c r="EK50" s="310"/>
      <c r="EL50" s="310"/>
      <c r="EM50" s="310"/>
      <c r="EN50" s="310"/>
      <c r="EO50" s="310"/>
      <c r="EP50" s="310"/>
      <c r="EQ50" s="310"/>
      <c r="ER50" s="310"/>
      <c r="ES50" s="310"/>
      <c r="ET50" s="310"/>
      <c r="EU50" s="310"/>
      <c r="EV50" s="310"/>
      <c r="EW50" s="310"/>
      <c r="EX50" s="310"/>
      <c r="EY50" s="310"/>
      <c r="EZ50" s="310"/>
      <c r="FA50" s="310"/>
      <c r="FB50" s="310"/>
      <c r="FC50" s="310"/>
      <c r="FD50" s="310"/>
      <c r="FE50" s="311"/>
      <c r="FF50" s="312"/>
    </row>
    <row r="51" spans="1:162" ht="12.75" x14ac:dyDescent="0.2">
      <c r="A51" s="446">
        <v>44</v>
      </c>
      <c r="B51" s="447" t="s">
        <v>669</v>
      </c>
      <c r="C51" s="448" t="s">
        <v>1104</v>
      </c>
      <c r="D51" s="449" t="s">
        <v>1099</v>
      </c>
      <c r="E51" s="450" t="s">
        <v>668</v>
      </c>
      <c r="F51" s="451">
        <v>488520232</v>
      </c>
      <c r="G51" s="451">
        <v>0</v>
      </c>
      <c r="H51" s="451">
        <v>0</v>
      </c>
      <c r="I51" s="451">
        <v>488520232</v>
      </c>
      <c r="J51" s="451">
        <v>0</v>
      </c>
      <c r="K51" s="451">
        <v>0</v>
      </c>
      <c r="L51" s="451">
        <v>0</v>
      </c>
      <c r="M51" s="451">
        <v>0</v>
      </c>
      <c r="N51" s="451">
        <v>2233009</v>
      </c>
      <c r="O51" s="451">
        <v>0</v>
      </c>
      <c r="P51" s="451">
        <v>0</v>
      </c>
      <c r="Q51" s="451">
        <v>2233009</v>
      </c>
      <c r="R51" s="451">
        <v>7192495</v>
      </c>
      <c r="S51" s="451">
        <v>0</v>
      </c>
      <c r="T51" s="451">
        <v>0</v>
      </c>
      <c r="U51" s="451">
        <v>7192495</v>
      </c>
      <c r="V51" s="451">
        <v>19928251</v>
      </c>
      <c r="W51" s="451">
        <v>0</v>
      </c>
      <c r="X51" s="451">
        <v>0</v>
      </c>
      <c r="Y51" s="451">
        <v>19928251</v>
      </c>
      <c r="Z51" s="451">
        <v>459166477</v>
      </c>
      <c r="AA51" s="451">
        <v>0</v>
      </c>
      <c r="AB51" s="451">
        <v>0</v>
      </c>
      <c r="AC51" s="451">
        <v>459166477</v>
      </c>
      <c r="AD51" s="451">
        <v>0</v>
      </c>
      <c r="AE51" s="451">
        <v>0</v>
      </c>
      <c r="AF51" s="451">
        <v>0</v>
      </c>
      <c r="AG51" s="451">
        <v>0</v>
      </c>
      <c r="AH51" s="451">
        <v>0</v>
      </c>
      <c r="AI51" s="451">
        <v>0</v>
      </c>
      <c r="AJ51" s="451">
        <v>0</v>
      </c>
      <c r="AK51" s="451">
        <v>0</v>
      </c>
      <c r="AL51" s="451">
        <v>0</v>
      </c>
      <c r="AM51" s="451">
        <v>0</v>
      </c>
      <c r="AN51" s="451">
        <v>0</v>
      </c>
      <c r="AO51" s="451">
        <v>7562638</v>
      </c>
      <c r="AP51" s="451">
        <v>-7027884</v>
      </c>
      <c r="AQ51" s="324"/>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1"/>
      <c r="FF51" s="312"/>
    </row>
    <row r="52" spans="1:162" ht="12.75" x14ac:dyDescent="0.2">
      <c r="A52" s="446">
        <v>45</v>
      </c>
      <c r="B52" s="447" t="s">
        <v>671</v>
      </c>
      <c r="C52" s="448" t="s">
        <v>1093</v>
      </c>
      <c r="D52" s="449" t="s">
        <v>1103</v>
      </c>
      <c r="E52" s="450" t="s">
        <v>670</v>
      </c>
      <c r="F52" s="451">
        <v>34306937</v>
      </c>
      <c r="G52" s="451">
        <v>0</v>
      </c>
      <c r="H52" s="451">
        <v>0</v>
      </c>
      <c r="I52" s="451">
        <v>34306937</v>
      </c>
      <c r="J52" s="451">
        <v>41832.410000000003</v>
      </c>
      <c r="K52" s="451">
        <v>0</v>
      </c>
      <c r="L52" s="451">
        <v>0</v>
      </c>
      <c r="M52" s="451">
        <v>41832.410000000003</v>
      </c>
      <c r="N52" s="451">
        <v>1014846</v>
      </c>
      <c r="O52" s="451">
        <v>0</v>
      </c>
      <c r="P52" s="451">
        <v>0</v>
      </c>
      <c r="Q52" s="451">
        <v>1014846</v>
      </c>
      <c r="R52" s="451">
        <v>411830</v>
      </c>
      <c r="S52" s="451">
        <v>0</v>
      </c>
      <c r="T52" s="451">
        <v>0</v>
      </c>
      <c r="U52" s="451">
        <v>411830</v>
      </c>
      <c r="V52" s="451">
        <v>1235503</v>
      </c>
      <c r="W52" s="451">
        <v>0</v>
      </c>
      <c r="X52" s="451">
        <v>0</v>
      </c>
      <c r="Y52" s="451">
        <v>1235503</v>
      </c>
      <c r="Z52" s="451">
        <v>31602926</v>
      </c>
      <c r="AA52" s="451">
        <v>0</v>
      </c>
      <c r="AB52" s="451">
        <v>0</v>
      </c>
      <c r="AC52" s="451">
        <v>31602926</v>
      </c>
      <c r="AD52" s="451">
        <v>0</v>
      </c>
      <c r="AE52" s="451">
        <v>0</v>
      </c>
      <c r="AF52" s="451">
        <v>0</v>
      </c>
      <c r="AG52" s="451">
        <v>0</v>
      </c>
      <c r="AH52" s="451">
        <v>0</v>
      </c>
      <c r="AI52" s="451">
        <v>0</v>
      </c>
      <c r="AJ52" s="451">
        <v>0</v>
      </c>
      <c r="AK52" s="451">
        <v>0</v>
      </c>
      <c r="AL52" s="451">
        <v>0</v>
      </c>
      <c r="AM52" s="451">
        <v>0</v>
      </c>
      <c r="AN52" s="451">
        <v>0</v>
      </c>
      <c r="AO52" s="451">
        <v>2537592</v>
      </c>
      <c r="AP52" s="451">
        <v>659670</v>
      </c>
      <c r="AQ52" s="324"/>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c r="EZ52" s="310"/>
      <c r="FA52" s="310"/>
      <c r="FB52" s="310"/>
      <c r="FC52" s="310"/>
      <c r="FD52" s="310"/>
      <c r="FE52" s="311"/>
      <c r="FF52" s="312"/>
    </row>
    <row r="53" spans="1:162" ht="12.75" x14ac:dyDescent="0.2">
      <c r="A53" s="446">
        <v>46</v>
      </c>
      <c r="B53" s="447" t="s">
        <v>673</v>
      </c>
      <c r="C53" s="448" t="s">
        <v>1093</v>
      </c>
      <c r="D53" s="449" t="s">
        <v>1094</v>
      </c>
      <c r="E53" s="450" t="s">
        <v>672</v>
      </c>
      <c r="F53" s="451">
        <v>51475431</v>
      </c>
      <c r="G53" s="451">
        <v>0</v>
      </c>
      <c r="H53" s="451">
        <v>0</v>
      </c>
      <c r="I53" s="451">
        <v>51475431</v>
      </c>
      <c r="J53" s="451">
        <v>292570</v>
      </c>
      <c r="K53" s="451">
        <v>0</v>
      </c>
      <c r="L53" s="451">
        <v>0</v>
      </c>
      <c r="M53" s="451">
        <v>292570</v>
      </c>
      <c r="N53" s="451">
        <v>220766</v>
      </c>
      <c r="O53" s="451">
        <v>0</v>
      </c>
      <c r="P53" s="451">
        <v>0</v>
      </c>
      <c r="Q53" s="451">
        <v>220766</v>
      </c>
      <c r="R53" s="451">
        <v>463887</v>
      </c>
      <c r="S53" s="451">
        <v>0</v>
      </c>
      <c r="T53" s="451">
        <v>0</v>
      </c>
      <c r="U53" s="451">
        <v>463887</v>
      </c>
      <c r="V53" s="451">
        <v>684775</v>
      </c>
      <c r="W53" s="451">
        <v>0</v>
      </c>
      <c r="X53" s="451">
        <v>0</v>
      </c>
      <c r="Y53" s="451">
        <v>684775</v>
      </c>
      <c r="Z53" s="451">
        <v>49813433</v>
      </c>
      <c r="AA53" s="451">
        <v>0</v>
      </c>
      <c r="AB53" s="451">
        <v>0</v>
      </c>
      <c r="AC53" s="451">
        <v>49813433</v>
      </c>
      <c r="AD53" s="451">
        <v>0</v>
      </c>
      <c r="AE53" s="451">
        <v>0</v>
      </c>
      <c r="AF53" s="451">
        <v>0</v>
      </c>
      <c r="AG53" s="451">
        <v>0</v>
      </c>
      <c r="AH53" s="451">
        <v>0</v>
      </c>
      <c r="AI53" s="451">
        <v>0</v>
      </c>
      <c r="AJ53" s="451">
        <v>0</v>
      </c>
      <c r="AK53" s="451">
        <v>0</v>
      </c>
      <c r="AL53" s="451">
        <v>0</v>
      </c>
      <c r="AM53" s="451">
        <v>0</v>
      </c>
      <c r="AN53" s="451">
        <v>0</v>
      </c>
      <c r="AO53" s="451">
        <v>1426127</v>
      </c>
      <c r="AP53" s="451">
        <v>-1246756</v>
      </c>
      <c r="AQ53" s="324"/>
      <c r="AR53" s="310"/>
      <c r="AS53" s="310"/>
      <c r="AT53" s="310"/>
      <c r="AU53" s="310"/>
      <c r="AV53" s="310"/>
      <c r="AW53" s="310"/>
      <c r="AX53" s="310"/>
      <c r="AY53" s="310"/>
      <c r="AZ53" s="310"/>
      <c r="BA53" s="310"/>
      <c r="BB53" s="310"/>
      <c r="BC53" s="310"/>
      <c r="BD53" s="310"/>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0"/>
      <c r="CC53" s="310"/>
      <c r="CD53" s="310"/>
      <c r="CE53" s="310"/>
      <c r="CF53" s="310"/>
      <c r="CG53" s="310"/>
      <c r="CH53" s="310"/>
      <c r="CI53" s="310"/>
      <c r="CJ53" s="310"/>
      <c r="CK53" s="310"/>
      <c r="CL53" s="310"/>
      <c r="CM53" s="310"/>
      <c r="CN53" s="310"/>
      <c r="CO53" s="310"/>
      <c r="CP53" s="310"/>
      <c r="CQ53" s="310"/>
      <c r="CR53" s="310"/>
      <c r="CS53" s="310"/>
      <c r="CT53" s="310"/>
      <c r="CU53" s="310"/>
      <c r="CV53" s="310"/>
      <c r="CW53" s="310"/>
      <c r="CX53" s="310"/>
      <c r="CY53" s="310"/>
      <c r="CZ53" s="310"/>
      <c r="DA53" s="310"/>
      <c r="DB53" s="310"/>
      <c r="DC53" s="310"/>
      <c r="DD53" s="310"/>
      <c r="DE53" s="310"/>
      <c r="DF53" s="310"/>
      <c r="DG53" s="310"/>
      <c r="DH53" s="310"/>
      <c r="DI53" s="310"/>
      <c r="DJ53" s="310"/>
      <c r="DK53" s="310"/>
      <c r="DL53" s="310"/>
      <c r="DM53" s="310"/>
      <c r="DN53" s="310"/>
      <c r="DO53" s="310"/>
      <c r="DP53" s="310"/>
      <c r="DQ53" s="310"/>
      <c r="DR53" s="310"/>
      <c r="DS53" s="310"/>
      <c r="DT53" s="310"/>
      <c r="DU53" s="310"/>
      <c r="DV53" s="310"/>
      <c r="DW53" s="310"/>
      <c r="DX53" s="310"/>
      <c r="DY53" s="310"/>
      <c r="DZ53" s="310"/>
      <c r="EA53" s="310"/>
      <c r="EB53" s="310"/>
      <c r="EC53" s="310"/>
      <c r="ED53" s="310"/>
      <c r="EE53" s="310"/>
      <c r="EF53" s="310"/>
      <c r="EG53" s="310"/>
      <c r="EH53" s="310"/>
      <c r="EI53" s="310"/>
      <c r="EJ53" s="310"/>
      <c r="EK53" s="310"/>
      <c r="EL53" s="310"/>
      <c r="EM53" s="310"/>
      <c r="EN53" s="310"/>
      <c r="EO53" s="310"/>
      <c r="EP53" s="310"/>
      <c r="EQ53" s="310"/>
      <c r="ER53" s="310"/>
      <c r="ES53" s="310"/>
      <c r="ET53" s="310"/>
      <c r="EU53" s="310"/>
      <c r="EV53" s="310"/>
      <c r="EW53" s="310"/>
      <c r="EX53" s="310"/>
      <c r="EY53" s="310"/>
      <c r="EZ53" s="310"/>
      <c r="FA53" s="310"/>
      <c r="FB53" s="310"/>
      <c r="FC53" s="310"/>
      <c r="FD53" s="310"/>
      <c r="FE53" s="311"/>
      <c r="FF53" s="312"/>
    </row>
    <row r="54" spans="1:162" ht="12.75" x14ac:dyDescent="0.2">
      <c r="A54" s="446">
        <v>47</v>
      </c>
      <c r="B54" s="447" t="s">
        <v>675</v>
      </c>
      <c r="C54" s="448" t="s">
        <v>1093</v>
      </c>
      <c r="D54" s="449" t="s">
        <v>1095</v>
      </c>
      <c r="E54" s="450" t="s">
        <v>674</v>
      </c>
      <c r="F54" s="451">
        <v>41344982</v>
      </c>
      <c r="G54" s="451">
        <v>0</v>
      </c>
      <c r="H54" s="451">
        <v>0</v>
      </c>
      <c r="I54" s="451">
        <v>41344982</v>
      </c>
      <c r="J54" s="451">
        <v>441207</v>
      </c>
      <c r="K54" s="451">
        <v>0</v>
      </c>
      <c r="L54" s="451">
        <v>0</v>
      </c>
      <c r="M54" s="451">
        <v>441207</v>
      </c>
      <c r="N54" s="451">
        <v>59996</v>
      </c>
      <c r="O54" s="451">
        <v>0</v>
      </c>
      <c r="P54" s="451">
        <v>0</v>
      </c>
      <c r="Q54" s="451">
        <v>59996</v>
      </c>
      <c r="R54" s="451">
        <v>609317</v>
      </c>
      <c r="S54" s="451">
        <v>0</v>
      </c>
      <c r="T54" s="451">
        <v>0</v>
      </c>
      <c r="U54" s="451">
        <v>609317</v>
      </c>
      <c r="V54" s="451">
        <v>1411364</v>
      </c>
      <c r="W54" s="451">
        <v>0</v>
      </c>
      <c r="X54" s="451">
        <v>0</v>
      </c>
      <c r="Y54" s="451">
        <v>1411364</v>
      </c>
      <c r="Z54" s="451">
        <v>38823098</v>
      </c>
      <c r="AA54" s="451">
        <v>0</v>
      </c>
      <c r="AB54" s="451">
        <v>0</v>
      </c>
      <c r="AC54" s="451">
        <v>38823098</v>
      </c>
      <c r="AD54" s="451">
        <v>0</v>
      </c>
      <c r="AE54" s="451">
        <v>0</v>
      </c>
      <c r="AF54" s="451">
        <v>0</v>
      </c>
      <c r="AG54" s="451">
        <v>0</v>
      </c>
      <c r="AH54" s="451">
        <v>0</v>
      </c>
      <c r="AI54" s="451">
        <v>0</v>
      </c>
      <c r="AJ54" s="451">
        <v>0</v>
      </c>
      <c r="AK54" s="451">
        <v>0</v>
      </c>
      <c r="AL54" s="451">
        <v>0</v>
      </c>
      <c r="AM54" s="451">
        <v>0</v>
      </c>
      <c r="AN54" s="451">
        <v>0</v>
      </c>
      <c r="AO54" s="451">
        <v>698940</v>
      </c>
      <c r="AP54" s="451">
        <v>559717</v>
      </c>
      <c r="AQ54" s="324"/>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0"/>
      <c r="CC54" s="310"/>
      <c r="CD54" s="310"/>
      <c r="CE54" s="310"/>
      <c r="CF54" s="310"/>
      <c r="CG54" s="310"/>
      <c r="CH54" s="310"/>
      <c r="CI54" s="310"/>
      <c r="CJ54" s="310"/>
      <c r="CK54" s="310"/>
      <c r="CL54" s="310"/>
      <c r="CM54" s="310"/>
      <c r="CN54" s="310"/>
      <c r="CO54" s="310"/>
      <c r="CP54" s="310"/>
      <c r="CQ54" s="310"/>
      <c r="CR54" s="310"/>
      <c r="CS54" s="310"/>
      <c r="CT54" s="310"/>
      <c r="CU54" s="310"/>
      <c r="CV54" s="310"/>
      <c r="CW54" s="310"/>
      <c r="CX54" s="310"/>
      <c r="CY54" s="310"/>
      <c r="CZ54" s="310"/>
      <c r="DA54" s="310"/>
      <c r="DB54" s="310"/>
      <c r="DC54" s="310"/>
      <c r="DD54" s="310"/>
      <c r="DE54" s="310"/>
      <c r="DF54" s="310"/>
      <c r="DG54" s="310"/>
      <c r="DH54" s="310"/>
      <c r="DI54" s="310"/>
      <c r="DJ54" s="310"/>
      <c r="DK54" s="310"/>
      <c r="DL54" s="310"/>
      <c r="DM54" s="310"/>
      <c r="DN54" s="310"/>
      <c r="DO54" s="310"/>
      <c r="DP54" s="310"/>
      <c r="DQ54" s="310"/>
      <c r="DR54" s="310"/>
      <c r="DS54" s="310"/>
      <c r="DT54" s="310"/>
      <c r="DU54" s="310"/>
      <c r="DV54" s="310"/>
      <c r="DW54" s="310"/>
      <c r="DX54" s="310"/>
      <c r="DY54" s="310"/>
      <c r="DZ54" s="310"/>
      <c r="EA54" s="310"/>
      <c r="EB54" s="310"/>
      <c r="EC54" s="310"/>
      <c r="ED54" s="310"/>
      <c r="EE54" s="310"/>
      <c r="EF54" s="310"/>
      <c r="EG54" s="310"/>
      <c r="EH54" s="310"/>
      <c r="EI54" s="310"/>
      <c r="EJ54" s="310"/>
      <c r="EK54" s="310"/>
      <c r="EL54" s="310"/>
      <c r="EM54" s="310"/>
      <c r="EN54" s="310"/>
      <c r="EO54" s="310"/>
      <c r="EP54" s="310"/>
      <c r="EQ54" s="310"/>
      <c r="ER54" s="310"/>
      <c r="ES54" s="310"/>
      <c r="ET54" s="310"/>
      <c r="EU54" s="310"/>
      <c r="EV54" s="310"/>
      <c r="EW54" s="310"/>
      <c r="EX54" s="310"/>
      <c r="EY54" s="310"/>
      <c r="EZ54" s="310"/>
      <c r="FA54" s="310"/>
      <c r="FB54" s="310"/>
      <c r="FC54" s="310"/>
      <c r="FD54" s="310"/>
      <c r="FE54" s="311"/>
      <c r="FF54" s="312"/>
    </row>
    <row r="55" spans="1:162" ht="12.75" x14ac:dyDescent="0.2">
      <c r="A55" s="446">
        <v>48</v>
      </c>
      <c r="B55" s="447" t="s">
        <v>677</v>
      </c>
      <c r="C55" s="448" t="s">
        <v>1093</v>
      </c>
      <c r="D55" s="449" t="s">
        <v>1097</v>
      </c>
      <c r="E55" s="450" t="s">
        <v>676</v>
      </c>
      <c r="F55" s="451">
        <v>15067322</v>
      </c>
      <c r="G55" s="451">
        <v>0</v>
      </c>
      <c r="H55" s="451">
        <v>0</v>
      </c>
      <c r="I55" s="451">
        <v>15067322</v>
      </c>
      <c r="J55" s="451">
        <v>60876</v>
      </c>
      <c r="K55" s="451">
        <v>0</v>
      </c>
      <c r="L55" s="451">
        <v>0</v>
      </c>
      <c r="M55" s="451">
        <v>60876</v>
      </c>
      <c r="N55" s="451">
        <v>110590</v>
      </c>
      <c r="O55" s="451">
        <v>0</v>
      </c>
      <c r="P55" s="451">
        <v>0</v>
      </c>
      <c r="Q55" s="451">
        <v>110590</v>
      </c>
      <c r="R55" s="451">
        <v>198702</v>
      </c>
      <c r="S55" s="451">
        <v>0</v>
      </c>
      <c r="T55" s="451">
        <v>0</v>
      </c>
      <c r="U55" s="451">
        <v>198702</v>
      </c>
      <c r="V55" s="451">
        <v>274398</v>
      </c>
      <c r="W55" s="451">
        <v>0</v>
      </c>
      <c r="X55" s="451">
        <v>0</v>
      </c>
      <c r="Y55" s="451">
        <v>274398</v>
      </c>
      <c r="Z55" s="451">
        <v>14422756</v>
      </c>
      <c r="AA55" s="451">
        <v>0</v>
      </c>
      <c r="AB55" s="451">
        <v>0</v>
      </c>
      <c r="AC55" s="451">
        <v>14422756</v>
      </c>
      <c r="AD55" s="451">
        <v>0</v>
      </c>
      <c r="AE55" s="451">
        <v>0</v>
      </c>
      <c r="AF55" s="451">
        <v>0</v>
      </c>
      <c r="AG55" s="451">
        <v>0</v>
      </c>
      <c r="AH55" s="451">
        <v>0</v>
      </c>
      <c r="AI55" s="451">
        <v>0</v>
      </c>
      <c r="AJ55" s="451">
        <v>0</v>
      </c>
      <c r="AK55" s="451">
        <v>0</v>
      </c>
      <c r="AL55" s="451">
        <v>0</v>
      </c>
      <c r="AM55" s="451">
        <v>0</v>
      </c>
      <c r="AN55" s="451">
        <v>0</v>
      </c>
      <c r="AO55" s="451">
        <v>250324.45</v>
      </c>
      <c r="AP55" s="451">
        <v>143220.51999999999</v>
      </c>
      <c r="AQ55" s="324"/>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310"/>
      <c r="CD55" s="310"/>
      <c r="CE55" s="310"/>
      <c r="CF55" s="310"/>
      <c r="CG55" s="310"/>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c r="EI55" s="310"/>
      <c r="EJ55" s="310"/>
      <c r="EK55" s="310"/>
      <c r="EL55" s="310"/>
      <c r="EM55" s="310"/>
      <c r="EN55" s="310"/>
      <c r="EO55" s="310"/>
      <c r="EP55" s="310"/>
      <c r="EQ55" s="310"/>
      <c r="ER55" s="310"/>
      <c r="ES55" s="310"/>
      <c r="ET55" s="310"/>
      <c r="EU55" s="310"/>
      <c r="EV55" s="310"/>
      <c r="EW55" s="310"/>
      <c r="EX55" s="310"/>
      <c r="EY55" s="310"/>
      <c r="EZ55" s="310"/>
      <c r="FA55" s="310"/>
      <c r="FB55" s="310"/>
      <c r="FC55" s="310"/>
      <c r="FD55" s="310"/>
      <c r="FE55" s="311"/>
      <c r="FF55" s="312"/>
    </row>
    <row r="56" spans="1:162" ht="12.75" x14ac:dyDescent="0.2">
      <c r="A56" s="446">
        <v>49</v>
      </c>
      <c r="B56" s="447" t="s">
        <v>679</v>
      </c>
      <c r="C56" s="448" t="s">
        <v>794</v>
      </c>
      <c r="D56" s="449" t="s">
        <v>1097</v>
      </c>
      <c r="E56" s="450" t="s">
        <v>678</v>
      </c>
      <c r="F56" s="451">
        <v>76494093.200000003</v>
      </c>
      <c r="G56" s="451">
        <v>0</v>
      </c>
      <c r="H56" s="451">
        <v>0</v>
      </c>
      <c r="I56" s="451">
        <v>76494093.200000003</v>
      </c>
      <c r="J56" s="451">
        <v>706745.51</v>
      </c>
      <c r="K56" s="451">
        <v>0</v>
      </c>
      <c r="L56" s="451">
        <v>0</v>
      </c>
      <c r="M56" s="451">
        <v>706745.51</v>
      </c>
      <c r="N56" s="451">
        <v>174648</v>
      </c>
      <c r="O56" s="451">
        <v>0</v>
      </c>
      <c r="P56" s="451">
        <v>0</v>
      </c>
      <c r="Q56" s="451">
        <v>174648</v>
      </c>
      <c r="R56" s="451">
        <v>1074340</v>
      </c>
      <c r="S56" s="451">
        <v>0</v>
      </c>
      <c r="T56" s="451">
        <v>0</v>
      </c>
      <c r="U56" s="451">
        <v>1074340</v>
      </c>
      <c r="V56" s="451">
        <v>2981617</v>
      </c>
      <c r="W56" s="451">
        <v>0</v>
      </c>
      <c r="X56" s="451">
        <v>0</v>
      </c>
      <c r="Y56" s="451">
        <v>2981617</v>
      </c>
      <c r="Z56" s="451">
        <v>71556743</v>
      </c>
      <c r="AA56" s="451">
        <v>0</v>
      </c>
      <c r="AB56" s="451">
        <v>0</v>
      </c>
      <c r="AC56" s="451">
        <v>71556743</v>
      </c>
      <c r="AD56" s="451">
        <v>0</v>
      </c>
      <c r="AE56" s="451">
        <v>0</v>
      </c>
      <c r="AF56" s="451">
        <v>0</v>
      </c>
      <c r="AG56" s="451">
        <v>0</v>
      </c>
      <c r="AH56" s="451">
        <v>0</v>
      </c>
      <c r="AI56" s="451">
        <v>0</v>
      </c>
      <c r="AJ56" s="451">
        <v>0</v>
      </c>
      <c r="AK56" s="451">
        <v>0</v>
      </c>
      <c r="AL56" s="451">
        <v>0</v>
      </c>
      <c r="AM56" s="451">
        <v>0</v>
      </c>
      <c r="AN56" s="451">
        <v>0</v>
      </c>
      <c r="AO56" s="451">
        <v>5170106</v>
      </c>
      <c r="AP56" s="451">
        <v>642765</v>
      </c>
      <c r="AQ56" s="324"/>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1"/>
      <c r="FF56" s="312"/>
    </row>
    <row r="57" spans="1:162" ht="12.75" x14ac:dyDescent="0.2">
      <c r="A57" s="446">
        <v>50</v>
      </c>
      <c r="B57" s="447" t="s">
        <v>681</v>
      </c>
      <c r="C57" s="448" t="s">
        <v>1093</v>
      </c>
      <c r="D57" s="449" t="s">
        <v>1096</v>
      </c>
      <c r="E57" s="450" t="s">
        <v>680</v>
      </c>
      <c r="F57" s="451">
        <v>42371789</v>
      </c>
      <c r="G57" s="451">
        <v>0</v>
      </c>
      <c r="H57" s="451">
        <v>0</v>
      </c>
      <c r="I57" s="451">
        <v>42371789</v>
      </c>
      <c r="J57" s="451">
        <v>222665</v>
      </c>
      <c r="K57" s="451">
        <v>0</v>
      </c>
      <c r="L57" s="451">
        <v>0</v>
      </c>
      <c r="M57" s="451">
        <v>222665</v>
      </c>
      <c r="N57" s="451">
        <v>45067</v>
      </c>
      <c r="O57" s="451">
        <v>0</v>
      </c>
      <c r="P57" s="451">
        <v>0</v>
      </c>
      <c r="Q57" s="451">
        <v>45067</v>
      </c>
      <c r="R57" s="451">
        <v>636822</v>
      </c>
      <c r="S57" s="451">
        <v>0</v>
      </c>
      <c r="T57" s="451">
        <v>0</v>
      </c>
      <c r="U57" s="451">
        <v>636822</v>
      </c>
      <c r="V57" s="451">
        <v>1010466</v>
      </c>
      <c r="W57" s="451">
        <v>0</v>
      </c>
      <c r="X57" s="451">
        <v>0</v>
      </c>
      <c r="Y57" s="451">
        <v>1010466</v>
      </c>
      <c r="Z57" s="451">
        <v>40456769</v>
      </c>
      <c r="AA57" s="451">
        <v>0</v>
      </c>
      <c r="AB57" s="451">
        <v>0</v>
      </c>
      <c r="AC57" s="451">
        <v>40456769</v>
      </c>
      <c r="AD57" s="451">
        <v>121606</v>
      </c>
      <c r="AE57" s="451">
        <v>0</v>
      </c>
      <c r="AF57" s="451">
        <v>0</v>
      </c>
      <c r="AG57" s="451">
        <v>121606</v>
      </c>
      <c r="AH57" s="451">
        <v>0</v>
      </c>
      <c r="AI57" s="451">
        <v>0</v>
      </c>
      <c r="AJ57" s="451">
        <v>0</v>
      </c>
      <c r="AK57" s="451">
        <v>0</v>
      </c>
      <c r="AL57" s="451">
        <v>0</v>
      </c>
      <c r="AM57" s="451">
        <v>0</v>
      </c>
      <c r="AN57" s="451">
        <v>121606</v>
      </c>
      <c r="AO57" s="451">
        <v>1071944</v>
      </c>
      <c r="AP57" s="451">
        <v>622513</v>
      </c>
      <c r="AQ57" s="324"/>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S57" s="310"/>
      <c r="BT57" s="310"/>
      <c r="BU57" s="310"/>
      <c r="BV57" s="310"/>
      <c r="BW57" s="310"/>
      <c r="BX57" s="310"/>
      <c r="BY57" s="310"/>
      <c r="BZ57" s="310"/>
      <c r="CA57" s="310"/>
      <c r="CB57" s="310"/>
      <c r="CC57" s="310"/>
      <c r="CD57" s="310"/>
      <c r="CE57" s="310"/>
      <c r="CF57" s="310"/>
      <c r="CG57" s="310"/>
      <c r="CH57" s="310"/>
      <c r="CI57" s="310"/>
      <c r="CJ57" s="310"/>
      <c r="CK57" s="310"/>
      <c r="CL57" s="310"/>
      <c r="CM57" s="310"/>
      <c r="CN57" s="310"/>
      <c r="CO57" s="310"/>
      <c r="CP57" s="310"/>
      <c r="CQ57" s="310"/>
      <c r="CR57" s="310"/>
      <c r="CS57" s="310"/>
      <c r="CT57" s="310"/>
      <c r="CU57" s="310"/>
      <c r="CV57" s="310"/>
      <c r="CW57" s="310"/>
      <c r="CX57" s="310"/>
      <c r="CY57" s="310"/>
      <c r="CZ57" s="310"/>
      <c r="DA57" s="310"/>
      <c r="DB57" s="310"/>
      <c r="DC57" s="310"/>
      <c r="DD57" s="310"/>
      <c r="DE57" s="310"/>
      <c r="DF57" s="310"/>
      <c r="DG57" s="310"/>
      <c r="DH57" s="310"/>
      <c r="DI57" s="310"/>
      <c r="DJ57" s="310"/>
      <c r="DK57" s="310"/>
      <c r="DL57" s="310"/>
      <c r="DM57" s="310"/>
      <c r="DN57" s="310"/>
      <c r="DO57" s="310"/>
      <c r="DP57" s="310"/>
      <c r="DQ57" s="310"/>
      <c r="DR57" s="310"/>
      <c r="DS57" s="310"/>
      <c r="DT57" s="310"/>
      <c r="DU57" s="310"/>
      <c r="DV57" s="310"/>
      <c r="DW57" s="310"/>
      <c r="DX57" s="310"/>
      <c r="DY57" s="310"/>
      <c r="DZ57" s="310"/>
      <c r="EA57" s="310"/>
      <c r="EB57" s="310"/>
      <c r="EC57" s="310"/>
      <c r="ED57" s="310"/>
      <c r="EE57" s="310"/>
      <c r="EF57" s="310"/>
      <c r="EG57" s="310"/>
      <c r="EH57" s="310"/>
      <c r="EI57" s="310"/>
      <c r="EJ57" s="310"/>
      <c r="EK57" s="310"/>
      <c r="EL57" s="310"/>
      <c r="EM57" s="310"/>
      <c r="EN57" s="310"/>
      <c r="EO57" s="310"/>
      <c r="EP57" s="310"/>
      <c r="EQ57" s="310"/>
      <c r="ER57" s="310"/>
      <c r="ES57" s="310"/>
      <c r="ET57" s="310"/>
      <c r="EU57" s="310"/>
      <c r="EV57" s="310"/>
      <c r="EW57" s="310"/>
      <c r="EX57" s="310"/>
      <c r="EY57" s="310"/>
      <c r="EZ57" s="310"/>
      <c r="FA57" s="310"/>
      <c r="FB57" s="310"/>
      <c r="FC57" s="310"/>
      <c r="FD57" s="310"/>
      <c r="FE57" s="311"/>
      <c r="FF57" s="312"/>
    </row>
    <row r="58" spans="1:162" ht="12.75" x14ac:dyDescent="0.2">
      <c r="A58" s="446">
        <v>51</v>
      </c>
      <c r="B58" s="447" t="s">
        <v>683</v>
      </c>
      <c r="C58" s="448" t="s">
        <v>1093</v>
      </c>
      <c r="D58" s="449" t="s">
        <v>1097</v>
      </c>
      <c r="E58" s="450" t="s">
        <v>682</v>
      </c>
      <c r="F58" s="451">
        <v>76139572.599999994</v>
      </c>
      <c r="G58" s="451">
        <v>0</v>
      </c>
      <c r="H58" s="451">
        <v>0</v>
      </c>
      <c r="I58" s="451">
        <v>76139572.599999994</v>
      </c>
      <c r="J58" s="451">
        <v>1146223.93</v>
      </c>
      <c r="K58" s="451">
        <v>0</v>
      </c>
      <c r="L58" s="451">
        <v>0</v>
      </c>
      <c r="M58" s="451">
        <v>1146223.93</v>
      </c>
      <c r="N58" s="451">
        <v>-189411.9</v>
      </c>
      <c r="O58" s="451">
        <v>0</v>
      </c>
      <c r="P58" s="451">
        <v>0</v>
      </c>
      <c r="Q58" s="451">
        <v>-189411.9</v>
      </c>
      <c r="R58" s="451">
        <v>847889</v>
      </c>
      <c r="S58" s="451">
        <v>0</v>
      </c>
      <c r="T58" s="451">
        <v>0</v>
      </c>
      <c r="U58" s="451">
        <v>847889</v>
      </c>
      <c r="V58" s="451">
        <v>1835806</v>
      </c>
      <c r="W58" s="451">
        <v>0</v>
      </c>
      <c r="X58" s="451">
        <v>0</v>
      </c>
      <c r="Y58" s="451">
        <v>1835806</v>
      </c>
      <c r="Z58" s="451">
        <v>72499066</v>
      </c>
      <c r="AA58" s="451">
        <v>0</v>
      </c>
      <c r="AB58" s="451">
        <v>0</v>
      </c>
      <c r="AC58" s="451">
        <v>72499066</v>
      </c>
      <c r="AD58" s="451">
        <v>0</v>
      </c>
      <c r="AE58" s="451">
        <v>0</v>
      </c>
      <c r="AF58" s="451">
        <v>0</v>
      </c>
      <c r="AG58" s="451">
        <v>0</v>
      </c>
      <c r="AH58" s="451">
        <v>0</v>
      </c>
      <c r="AI58" s="451">
        <v>0</v>
      </c>
      <c r="AJ58" s="451">
        <v>0</v>
      </c>
      <c r="AK58" s="451">
        <v>0</v>
      </c>
      <c r="AL58" s="451">
        <v>0</v>
      </c>
      <c r="AM58" s="451">
        <v>0</v>
      </c>
      <c r="AN58" s="451">
        <v>0</v>
      </c>
      <c r="AO58" s="451">
        <v>2698213.07</v>
      </c>
      <c r="AP58" s="451">
        <v>1750506.94</v>
      </c>
      <c r="AQ58" s="324"/>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310"/>
      <c r="BY58" s="310"/>
      <c r="BZ58" s="310"/>
      <c r="CA58" s="310"/>
      <c r="CB58" s="310"/>
      <c r="CC58" s="310"/>
      <c r="CD58" s="310"/>
      <c r="CE58" s="310"/>
      <c r="CF58" s="310"/>
      <c r="CG58" s="310"/>
      <c r="CH58" s="310"/>
      <c r="CI58" s="310"/>
      <c r="CJ58" s="310"/>
      <c r="CK58" s="310"/>
      <c r="CL58" s="310"/>
      <c r="CM58" s="310"/>
      <c r="CN58" s="310"/>
      <c r="CO58" s="310"/>
      <c r="CP58" s="310"/>
      <c r="CQ58" s="310"/>
      <c r="CR58" s="310"/>
      <c r="CS58" s="310"/>
      <c r="CT58" s="310"/>
      <c r="CU58" s="310"/>
      <c r="CV58" s="310"/>
      <c r="CW58" s="310"/>
      <c r="CX58" s="310"/>
      <c r="CY58" s="310"/>
      <c r="CZ58" s="310"/>
      <c r="DA58" s="310"/>
      <c r="DB58" s="310"/>
      <c r="DC58" s="310"/>
      <c r="DD58" s="310"/>
      <c r="DE58" s="310"/>
      <c r="DF58" s="310"/>
      <c r="DG58" s="310"/>
      <c r="DH58" s="310"/>
      <c r="DI58" s="310"/>
      <c r="DJ58" s="310"/>
      <c r="DK58" s="310"/>
      <c r="DL58" s="310"/>
      <c r="DM58" s="310"/>
      <c r="DN58" s="310"/>
      <c r="DO58" s="310"/>
      <c r="DP58" s="310"/>
      <c r="DQ58" s="310"/>
      <c r="DR58" s="310"/>
      <c r="DS58" s="310"/>
      <c r="DT58" s="310"/>
      <c r="DU58" s="310"/>
      <c r="DV58" s="310"/>
      <c r="DW58" s="310"/>
      <c r="DX58" s="310"/>
      <c r="DY58" s="310"/>
      <c r="DZ58" s="310"/>
      <c r="EA58" s="310"/>
      <c r="EB58" s="310"/>
      <c r="EC58" s="310"/>
      <c r="ED58" s="310"/>
      <c r="EE58" s="310"/>
      <c r="EF58" s="310"/>
      <c r="EG58" s="310"/>
      <c r="EH58" s="310"/>
      <c r="EI58" s="310"/>
      <c r="EJ58" s="310"/>
      <c r="EK58" s="310"/>
      <c r="EL58" s="310"/>
      <c r="EM58" s="310"/>
      <c r="EN58" s="310"/>
      <c r="EO58" s="310"/>
      <c r="EP58" s="310"/>
      <c r="EQ58" s="310"/>
      <c r="ER58" s="310"/>
      <c r="ES58" s="310"/>
      <c r="ET58" s="310"/>
      <c r="EU58" s="310"/>
      <c r="EV58" s="310"/>
      <c r="EW58" s="310"/>
      <c r="EX58" s="310"/>
      <c r="EY58" s="310"/>
      <c r="EZ58" s="310"/>
      <c r="FA58" s="310"/>
      <c r="FB58" s="310"/>
      <c r="FC58" s="310"/>
      <c r="FD58" s="310"/>
      <c r="FE58" s="311"/>
      <c r="FF58" s="312"/>
    </row>
    <row r="59" spans="1:162" ht="12.75" x14ac:dyDescent="0.2">
      <c r="A59" s="446">
        <v>52</v>
      </c>
      <c r="B59" s="447" t="s">
        <v>685</v>
      </c>
      <c r="C59" s="448" t="s">
        <v>1093</v>
      </c>
      <c r="D59" s="449" t="s">
        <v>1102</v>
      </c>
      <c r="E59" s="450" t="s">
        <v>684</v>
      </c>
      <c r="F59" s="451">
        <v>54281305</v>
      </c>
      <c r="G59" s="451">
        <v>0</v>
      </c>
      <c r="H59" s="451">
        <v>0</v>
      </c>
      <c r="I59" s="451">
        <v>54281305</v>
      </c>
      <c r="J59" s="451">
        <v>263619</v>
      </c>
      <c r="K59" s="451">
        <v>0</v>
      </c>
      <c r="L59" s="451">
        <v>0</v>
      </c>
      <c r="M59" s="451">
        <v>263619</v>
      </c>
      <c r="N59" s="451">
        <v>29639</v>
      </c>
      <c r="O59" s="451">
        <v>0</v>
      </c>
      <c r="P59" s="451">
        <v>0</v>
      </c>
      <c r="Q59" s="451">
        <v>29639</v>
      </c>
      <c r="R59" s="451">
        <v>640000</v>
      </c>
      <c r="S59" s="451">
        <v>0</v>
      </c>
      <c r="T59" s="451">
        <v>0</v>
      </c>
      <c r="U59" s="451">
        <v>640000</v>
      </c>
      <c r="V59" s="451">
        <v>645000</v>
      </c>
      <c r="W59" s="451">
        <v>0</v>
      </c>
      <c r="X59" s="451">
        <v>0</v>
      </c>
      <c r="Y59" s="451">
        <v>645000</v>
      </c>
      <c r="Z59" s="451">
        <v>52703047</v>
      </c>
      <c r="AA59" s="451">
        <v>0</v>
      </c>
      <c r="AB59" s="451">
        <v>0</v>
      </c>
      <c r="AC59" s="451">
        <v>52703047</v>
      </c>
      <c r="AD59" s="451">
        <v>0</v>
      </c>
      <c r="AE59" s="451">
        <v>0</v>
      </c>
      <c r="AF59" s="451">
        <v>0</v>
      </c>
      <c r="AG59" s="451">
        <v>0</v>
      </c>
      <c r="AH59" s="451">
        <v>0</v>
      </c>
      <c r="AI59" s="451">
        <v>0</v>
      </c>
      <c r="AJ59" s="451">
        <v>0</v>
      </c>
      <c r="AK59" s="451">
        <v>0</v>
      </c>
      <c r="AL59" s="451">
        <v>0</v>
      </c>
      <c r="AM59" s="451">
        <v>0</v>
      </c>
      <c r="AN59" s="451">
        <v>0</v>
      </c>
      <c r="AO59" s="451">
        <v>1271155</v>
      </c>
      <c r="AP59" s="451">
        <v>4228046</v>
      </c>
      <c r="AQ59" s="324"/>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S59" s="310"/>
      <c r="BT59" s="310"/>
      <c r="BU59" s="310"/>
      <c r="BV59" s="310"/>
      <c r="BW59" s="310"/>
      <c r="BX59" s="310"/>
      <c r="BY59" s="310"/>
      <c r="BZ59" s="310"/>
      <c r="CA59" s="310"/>
      <c r="CB59" s="310"/>
      <c r="CC59" s="310"/>
      <c r="CD59" s="310"/>
      <c r="CE59" s="310"/>
      <c r="CF59" s="310"/>
      <c r="CG59" s="310"/>
      <c r="CH59" s="310"/>
      <c r="CI59" s="310"/>
      <c r="CJ59" s="310"/>
      <c r="CK59" s="310"/>
      <c r="CL59" s="310"/>
      <c r="CM59" s="310"/>
      <c r="CN59" s="310"/>
      <c r="CO59" s="310"/>
      <c r="CP59" s="310"/>
      <c r="CQ59" s="310"/>
      <c r="CR59" s="310"/>
      <c r="CS59" s="310"/>
      <c r="CT59" s="310"/>
      <c r="CU59" s="310"/>
      <c r="CV59" s="310"/>
      <c r="CW59" s="310"/>
      <c r="CX59" s="310"/>
      <c r="CY59" s="310"/>
      <c r="CZ59" s="310"/>
      <c r="DA59" s="310"/>
      <c r="DB59" s="310"/>
      <c r="DC59" s="310"/>
      <c r="DD59" s="310"/>
      <c r="DE59" s="310"/>
      <c r="DF59" s="310"/>
      <c r="DG59" s="310"/>
      <c r="DH59" s="310"/>
      <c r="DI59" s="310"/>
      <c r="DJ59" s="310"/>
      <c r="DK59" s="310"/>
      <c r="DL59" s="310"/>
      <c r="DM59" s="310"/>
      <c r="DN59" s="310"/>
      <c r="DO59" s="310"/>
      <c r="DP59" s="310"/>
      <c r="DQ59" s="310"/>
      <c r="DR59" s="310"/>
      <c r="DS59" s="310"/>
      <c r="DT59" s="310"/>
      <c r="DU59" s="310"/>
      <c r="DV59" s="310"/>
      <c r="DW59" s="310"/>
      <c r="DX59" s="310"/>
      <c r="DY59" s="310"/>
      <c r="DZ59" s="310"/>
      <c r="EA59" s="310"/>
      <c r="EB59" s="310"/>
      <c r="EC59" s="310"/>
      <c r="ED59" s="310"/>
      <c r="EE59" s="310"/>
      <c r="EF59" s="310"/>
      <c r="EG59" s="310"/>
      <c r="EH59" s="310"/>
      <c r="EI59" s="310"/>
      <c r="EJ59" s="310"/>
      <c r="EK59" s="310"/>
      <c r="EL59" s="310"/>
      <c r="EM59" s="310"/>
      <c r="EN59" s="310"/>
      <c r="EO59" s="310"/>
      <c r="EP59" s="310"/>
      <c r="EQ59" s="310"/>
      <c r="ER59" s="310"/>
      <c r="ES59" s="310"/>
      <c r="ET59" s="310"/>
      <c r="EU59" s="310"/>
      <c r="EV59" s="310"/>
      <c r="EW59" s="310"/>
      <c r="EX59" s="310"/>
      <c r="EY59" s="310"/>
      <c r="EZ59" s="310"/>
      <c r="FA59" s="310"/>
      <c r="FB59" s="310"/>
      <c r="FC59" s="310"/>
      <c r="FD59" s="310"/>
      <c r="FE59" s="311"/>
      <c r="FF59" s="312"/>
    </row>
    <row r="60" spans="1:162" ht="12.75" x14ac:dyDescent="0.2">
      <c r="A60" s="446">
        <v>53</v>
      </c>
      <c r="B60" s="447" t="s">
        <v>687</v>
      </c>
      <c r="C60" s="448" t="s">
        <v>1093</v>
      </c>
      <c r="D60" s="449" t="s">
        <v>1094</v>
      </c>
      <c r="E60" s="450" t="s">
        <v>686</v>
      </c>
      <c r="F60" s="451">
        <v>70111848</v>
      </c>
      <c r="G60" s="451">
        <v>0</v>
      </c>
      <c r="H60" s="451">
        <v>0</v>
      </c>
      <c r="I60" s="451">
        <v>70111848</v>
      </c>
      <c r="J60" s="451">
        <v>134868</v>
      </c>
      <c r="K60" s="451">
        <v>0</v>
      </c>
      <c r="L60" s="451">
        <v>0</v>
      </c>
      <c r="M60" s="451">
        <v>134868</v>
      </c>
      <c r="N60" s="451">
        <v>116472</v>
      </c>
      <c r="O60" s="451">
        <v>0</v>
      </c>
      <c r="P60" s="451">
        <v>0</v>
      </c>
      <c r="Q60" s="451">
        <v>116472</v>
      </c>
      <c r="R60" s="451">
        <v>832060</v>
      </c>
      <c r="S60" s="451">
        <v>0</v>
      </c>
      <c r="T60" s="451">
        <v>0</v>
      </c>
      <c r="U60" s="451">
        <v>832060</v>
      </c>
      <c r="V60" s="451">
        <v>2518628</v>
      </c>
      <c r="W60" s="451">
        <v>0</v>
      </c>
      <c r="X60" s="451">
        <v>0</v>
      </c>
      <c r="Y60" s="451">
        <v>2518628</v>
      </c>
      <c r="Z60" s="451">
        <v>66509820</v>
      </c>
      <c r="AA60" s="451">
        <v>0</v>
      </c>
      <c r="AB60" s="451">
        <v>0</v>
      </c>
      <c r="AC60" s="451">
        <v>66509820</v>
      </c>
      <c r="AD60" s="451">
        <v>19966</v>
      </c>
      <c r="AE60" s="451">
        <v>0</v>
      </c>
      <c r="AF60" s="451">
        <v>0</v>
      </c>
      <c r="AG60" s="451">
        <v>19966</v>
      </c>
      <c r="AH60" s="451">
        <v>0</v>
      </c>
      <c r="AI60" s="451">
        <v>0</v>
      </c>
      <c r="AJ60" s="451">
        <v>0</v>
      </c>
      <c r="AK60" s="451">
        <v>0</v>
      </c>
      <c r="AL60" s="451">
        <v>0</v>
      </c>
      <c r="AM60" s="451">
        <v>0</v>
      </c>
      <c r="AN60" s="451">
        <v>19966</v>
      </c>
      <c r="AO60" s="451">
        <v>1529718</v>
      </c>
      <c r="AP60" s="451">
        <v>1906129</v>
      </c>
      <c r="AQ60" s="324"/>
      <c r="AR60" s="310"/>
      <c r="AS60" s="310"/>
      <c r="AT60" s="310"/>
      <c r="AU60" s="310"/>
      <c r="AV60" s="310"/>
      <c r="AW60" s="310"/>
      <c r="AX60" s="310"/>
      <c r="AY60" s="310"/>
      <c r="AZ60" s="310"/>
      <c r="BA60" s="310"/>
      <c r="BB60" s="310"/>
      <c r="BC60" s="310"/>
      <c r="BD60" s="310"/>
      <c r="BE60" s="310"/>
      <c r="BF60" s="310"/>
      <c r="BG60" s="310"/>
      <c r="BH60" s="310"/>
      <c r="BI60" s="310"/>
      <c r="BJ60" s="310"/>
      <c r="BK60" s="310"/>
      <c r="BL60" s="310"/>
      <c r="BM60" s="310"/>
      <c r="BN60" s="310"/>
      <c r="BO60" s="310"/>
      <c r="BP60" s="310"/>
      <c r="BQ60" s="310"/>
      <c r="BR60" s="310"/>
      <c r="BS60" s="310"/>
      <c r="BT60" s="310"/>
      <c r="BU60" s="310"/>
      <c r="BV60" s="310"/>
      <c r="BW60" s="310"/>
      <c r="BX60" s="310"/>
      <c r="BY60" s="310"/>
      <c r="BZ60" s="310"/>
      <c r="CA60" s="310"/>
      <c r="CB60" s="310"/>
      <c r="CC60" s="310"/>
      <c r="CD60" s="310"/>
      <c r="CE60" s="310"/>
      <c r="CF60" s="310"/>
      <c r="CG60" s="310"/>
      <c r="CH60" s="310"/>
      <c r="CI60" s="310"/>
      <c r="CJ60" s="310"/>
      <c r="CK60" s="310"/>
      <c r="CL60" s="310"/>
      <c r="CM60" s="310"/>
      <c r="CN60" s="310"/>
      <c r="CO60" s="310"/>
      <c r="CP60" s="310"/>
      <c r="CQ60" s="310"/>
      <c r="CR60" s="310"/>
      <c r="CS60" s="310"/>
      <c r="CT60" s="310"/>
      <c r="CU60" s="310"/>
      <c r="CV60" s="310"/>
      <c r="CW60" s="310"/>
      <c r="CX60" s="310"/>
      <c r="CY60" s="310"/>
      <c r="CZ60" s="310"/>
      <c r="DA60" s="310"/>
      <c r="DB60" s="310"/>
      <c r="DC60" s="310"/>
      <c r="DD60" s="310"/>
      <c r="DE60" s="310"/>
      <c r="DF60" s="310"/>
      <c r="DG60" s="310"/>
      <c r="DH60" s="310"/>
      <c r="DI60" s="310"/>
      <c r="DJ60" s="310"/>
      <c r="DK60" s="310"/>
      <c r="DL60" s="310"/>
      <c r="DM60" s="310"/>
      <c r="DN60" s="310"/>
      <c r="DO60" s="310"/>
      <c r="DP60" s="310"/>
      <c r="DQ60" s="310"/>
      <c r="DR60" s="310"/>
      <c r="DS60" s="310"/>
      <c r="DT60" s="310"/>
      <c r="DU60" s="310"/>
      <c r="DV60" s="310"/>
      <c r="DW60" s="310"/>
      <c r="DX60" s="310"/>
      <c r="DY60" s="310"/>
      <c r="DZ60" s="310"/>
      <c r="EA60" s="310"/>
      <c r="EB60" s="310"/>
      <c r="EC60" s="310"/>
      <c r="ED60" s="310"/>
      <c r="EE60" s="310"/>
      <c r="EF60" s="310"/>
      <c r="EG60" s="310"/>
      <c r="EH60" s="310"/>
      <c r="EI60" s="310"/>
      <c r="EJ60" s="310"/>
      <c r="EK60" s="310"/>
      <c r="EL60" s="310"/>
      <c r="EM60" s="310"/>
      <c r="EN60" s="310"/>
      <c r="EO60" s="310"/>
      <c r="EP60" s="310"/>
      <c r="EQ60" s="310"/>
      <c r="ER60" s="310"/>
      <c r="ES60" s="310"/>
      <c r="ET60" s="310"/>
      <c r="EU60" s="310"/>
      <c r="EV60" s="310"/>
      <c r="EW60" s="310"/>
      <c r="EX60" s="310"/>
      <c r="EY60" s="310"/>
      <c r="EZ60" s="310"/>
      <c r="FA60" s="310"/>
      <c r="FB60" s="310"/>
      <c r="FC60" s="310"/>
      <c r="FD60" s="310"/>
      <c r="FE60" s="311"/>
      <c r="FF60" s="312"/>
    </row>
    <row r="61" spans="1:162" ht="12.75" x14ac:dyDescent="0.2">
      <c r="A61" s="446">
        <v>54</v>
      </c>
      <c r="B61" s="447" t="s">
        <v>689</v>
      </c>
      <c r="C61" s="448" t="s">
        <v>794</v>
      </c>
      <c r="D61" s="449" t="s">
        <v>1095</v>
      </c>
      <c r="E61" s="450" t="s">
        <v>688</v>
      </c>
      <c r="F61" s="451">
        <v>136586427</v>
      </c>
      <c r="G61" s="451">
        <v>0</v>
      </c>
      <c r="H61" s="451">
        <v>0</v>
      </c>
      <c r="I61" s="451">
        <v>136586427</v>
      </c>
      <c r="J61" s="451">
        <v>867834.67</v>
      </c>
      <c r="K61" s="451">
        <v>0</v>
      </c>
      <c r="L61" s="451">
        <v>0</v>
      </c>
      <c r="M61" s="451">
        <v>867834.67</v>
      </c>
      <c r="N61" s="451">
        <v>-1580035</v>
      </c>
      <c r="O61" s="451">
        <v>0</v>
      </c>
      <c r="P61" s="451">
        <v>0</v>
      </c>
      <c r="Q61" s="451">
        <v>-1580035</v>
      </c>
      <c r="R61" s="451">
        <v>1801446</v>
      </c>
      <c r="S61" s="451">
        <v>0</v>
      </c>
      <c r="T61" s="451">
        <v>0</v>
      </c>
      <c r="U61" s="451">
        <v>1801446</v>
      </c>
      <c r="V61" s="451">
        <v>4901848</v>
      </c>
      <c r="W61" s="451">
        <v>0</v>
      </c>
      <c r="X61" s="451">
        <v>0</v>
      </c>
      <c r="Y61" s="451">
        <v>4901848</v>
      </c>
      <c r="Z61" s="451">
        <v>130595333</v>
      </c>
      <c r="AA61" s="451">
        <v>0</v>
      </c>
      <c r="AB61" s="451">
        <v>0</v>
      </c>
      <c r="AC61" s="451">
        <v>130595333</v>
      </c>
      <c r="AD61" s="451">
        <v>0</v>
      </c>
      <c r="AE61" s="451">
        <v>0</v>
      </c>
      <c r="AF61" s="451">
        <v>0</v>
      </c>
      <c r="AG61" s="451">
        <v>0</v>
      </c>
      <c r="AH61" s="451">
        <v>0</v>
      </c>
      <c r="AI61" s="451">
        <v>0</v>
      </c>
      <c r="AJ61" s="451">
        <v>0</v>
      </c>
      <c r="AK61" s="451">
        <v>0</v>
      </c>
      <c r="AL61" s="451">
        <v>0</v>
      </c>
      <c r="AM61" s="451">
        <v>0</v>
      </c>
      <c r="AN61" s="451">
        <v>0</v>
      </c>
      <c r="AO61" s="451">
        <v>6305619</v>
      </c>
      <c r="AP61" s="451">
        <v>1010203</v>
      </c>
      <c r="AQ61" s="324"/>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0"/>
      <c r="CC61" s="310"/>
      <c r="CD61" s="310"/>
      <c r="CE61" s="310"/>
      <c r="CF61" s="310"/>
      <c r="CG61" s="310"/>
      <c r="CH61" s="310"/>
      <c r="CI61" s="310"/>
      <c r="CJ61" s="310"/>
      <c r="CK61" s="310"/>
      <c r="CL61" s="310"/>
      <c r="CM61" s="310"/>
      <c r="CN61" s="310"/>
      <c r="CO61" s="310"/>
      <c r="CP61" s="310"/>
      <c r="CQ61" s="310"/>
      <c r="CR61" s="310"/>
      <c r="CS61" s="310"/>
      <c r="CT61" s="310"/>
      <c r="CU61" s="310"/>
      <c r="CV61" s="310"/>
      <c r="CW61" s="310"/>
      <c r="CX61" s="310"/>
      <c r="CY61" s="310"/>
      <c r="CZ61" s="310"/>
      <c r="DA61" s="310"/>
      <c r="DB61" s="310"/>
      <c r="DC61" s="310"/>
      <c r="DD61" s="310"/>
      <c r="DE61" s="310"/>
      <c r="DF61" s="310"/>
      <c r="DG61" s="310"/>
      <c r="DH61" s="310"/>
      <c r="DI61" s="310"/>
      <c r="DJ61" s="310"/>
      <c r="DK61" s="310"/>
      <c r="DL61" s="310"/>
      <c r="DM61" s="310"/>
      <c r="DN61" s="310"/>
      <c r="DO61" s="310"/>
      <c r="DP61" s="310"/>
      <c r="DQ61" s="310"/>
      <c r="DR61" s="310"/>
      <c r="DS61" s="310"/>
      <c r="DT61" s="310"/>
      <c r="DU61" s="310"/>
      <c r="DV61" s="310"/>
      <c r="DW61" s="310"/>
      <c r="DX61" s="310"/>
      <c r="DY61" s="310"/>
      <c r="DZ61" s="310"/>
      <c r="EA61" s="310"/>
      <c r="EB61" s="310"/>
      <c r="EC61" s="310"/>
      <c r="ED61" s="310"/>
      <c r="EE61" s="310"/>
      <c r="EF61" s="310"/>
      <c r="EG61" s="310"/>
      <c r="EH61" s="310"/>
      <c r="EI61" s="310"/>
      <c r="EJ61" s="310"/>
      <c r="EK61" s="310"/>
      <c r="EL61" s="310"/>
      <c r="EM61" s="310"/>
      <c r="EN61" s="310"/>
      <c r="EO61" s="310"/>
      <c r="EP61" s="310"/>
      <c r="EQ61" s="310"/>
      <c r="ER61" s="310"/>
      <c r="ES61" s="310"/>
      <c r="ET61" s="310"/>
      <c r="EU61" s="310"/>
      <c r="EV61" s="310"/>
      <c r="EW61" s="310"/>
      <c r="EX61" s="310"/>
      <c r="EY61" s="310"/>
      <c r="EZ61" s="310"/>
      <c r="FA61" s="310"/>
      <c r="FB61" s="310"/>
      <c r="FC61" s="310"/>
      <c r="FD61" s="310"/>
      <c r="FE61" s="311"/>
      <c r="FF61" s="312"/>
    </row>
    <row r="62" spans="1:162" ht="12.75" x14ac:dyDescent="0.2">
      <c r="A62" s="446">
        <v>55</v>
      </c>
      <c r="B62" s="447" t="s">
        <v>691</v>
      </c>
      <c r="C62" s="448" t="s">
        <v>794</v>
      </c>
      <c r="D62" s="449" t="s">
        <v>1095</v>
      </c>
      <c r="E62" s="450" t="s">
        <v>713</v>
      </c>
      <c r="F62" s="451">
        <v>154223826</v>
      </c>
      <c r="G62" s="451">
        <v>0</v>
      </c>
      <c r="H62" s="451">
        <v>0</v>
      </c>
      <c r="I62" s="451">
        <v>154223826</v>
      </c>
      <c r="J62" s="451">
        <v>2410241</v>
      </c>
      <c r="K62" s="451">
        <v>0</v>
      </c>
      <c r="L62" s="451">
        <v>0</v>
      </c>
      <c r="M62" s="451">
        <v>2410241</v>
      </c>
      <c r="N62" s="451">
        <v>379204</v>
      </c>
      <c r="O62" s="451">
        <v>0</v>
      </c>
      <c r="P62" s="451">
        <v>0</v>
      </c>
      <c r="Q62" s="451">
        <v>379204</v>
      </c>
      <c r="R62" s="451">
        <v>2013201</v>
      </c>
      <c r="S62" s="451">
        <v>0</v>
      </c>
      <c r="T62" s="451">
        <v>0</v>
      </c>
      <c r="U62" s="451">
        <v>2013201</v>
      </c>
      <c r="V62" s="451">
        <v>6488794</v>
      </c>
      <c r="W62" s="451">
        <v>0</v>
      </c>
      <c r="X62" s="451">
        <v>0</v>
      </c>
      <c r="Y62" s="451">
        <v>6488794</v>
      </c>
      <c r="Z62" s="451">
        <v>142932386</v>
      </c>
      <c r="AA62" s="451">
        <v>0</v>
      </c>
      <c r="AB62" s="451">
        <v>0</v>
      </c>
      <c r="AC62" s="451">
        <v>142932386</v>
      </c>
      <c r="AD62" s="451">
        <v>0</v>
      </c>
      <c r="AE62" s="451">
        <v>0</v>
      </c>
      <c r="AF62" s="451">
        <v>0</v>
      </c>
      <c r="AG62" s="451">
        <v>0</v>
      </c>
      <c r="AH62" s="451">
        <v>0</v>
      </c>
      <c r="AI62" s="451">
        <v>0</v>
      </c>
      <c r="AJ62" s="451">
        <v>0</v>
      </c>
      <c r="AK62" s="451">
        <v>0</v>
      </c>
      <c r="AL62" s="451">
        <v>0</v>
      </c>
      <c r="AM62" s="451">
        <v>0</v>
      </c>
      <c r="AN62" s="451">
        <v>0</v>
      </c>
      <c r="AO62" s="451">
        <v>4544971</v>
      </c>
      <c r="AP62" s="451">
        <v>4254766</v>
      </c>
      <c r="AQ62" s="324"/>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0"/>
      <c r="CC62" s="310"/>
      <c r="CD62" s="310"/>
      <c r="CE62" s="310"/>
      <c r="CF62" s="310"/>
      <c r="CG62" s="310"/>
      <c r="CH62" s="310"/>
      <c r="CI62" s="310"/>
      <c r="CJ62" s="310"/>
      <c r="CK62" s="310"/>
      <c r="CL62" s="310"/>
      <c r="CM62" s="310"/>
      <c r="CN62" s="310"/>
      <c r="CO62" s="310"/>
      <c r="CP62" s="310"/>
      <c r="CQ62" s="310"/>
      <c r="CR62" s="310"/>
      <c r="CS62" s="310"/>
      <c r="CT62" s="310"/>
      <c r="CU62" s="310"/>
      <c r="CV62" s="310"/>
      <c r="CW62" s="310"/>
      <c r="CX62" s="310"/>
      <c r="CY62" s="310"/>
      <c r="CZ62" s="310"/>
      <c r="DA62" s="310"/>
      <c r="DB62" s="310"/>
      <c r="DC62" s="310"/>
      <c r="DD62" s="310"/>
      <c r="DE62" s="310"/>
      <c r="DF62" s="310"/>
      <c r="DG62" s="310"/>
      <c r="DH62" s="310"/>
      <c r="DI62" s="310"/>
      <c r="DJ62" s="310"/>
      <c r="DK62" s="310"/>
      <c r="DL62" s="310"/>
      <c r="DM62" s="310"/>
      <c r="DN62" s="310"/>
      <c r="DO62" s="310"/>
      <c r="DP62" s="310"/>
      <c r="DQ62" s="310"/>
      <c r="DR62" s="310"/>
      <c r="DS62" s="310"/>
      <c r="DT62" s="310"/>
      <c r="DU62" s="310"/>
      <c r="DV62" s="310"/>
      <c r="DW62" s="310"/>
      <c r="DX62" s="310"/>
      <c r="DY62" s="310"/>
      <c r="DZ62" s="310"/>
      <c r="EA62" s="310"/>
      <c r="EB62" s="310"/>
      <c r="EC62" s="310"/>
      <c r="ED62" s="310"/>
      <c r="EE62" s="310"/>
      <c r="EF62" s="310"/>
      <c r="EG62" s="310"/>
      <c r="EH62" s="310"/>
      <c r="EI62" s="310"/>
      <c r="EJ62" s="310"/>
      <c r="EK62" s="310"/>
      <c r="EL62" s="310"/>
      <c r="EM62" s="310"/>
      <c r="EN62" s="310"/>
      <c r="EO62" s="310"/>
      <c r="EP62" s="310"/>
      <c r="EQ62" s="310"/>
      <c r="ER62" s="310"/>
      <c r="ES62" s="310"/>
      <c r="ET62" s="310"/>
      <c r="EU62" s="310"/>
      <c r="EV62" s="310"/>
      <c r="EW62" s="310"/>
      <c r="EX62" s="310"/>
      <c r="EY62" s="310"/>
      <c r="EZ62" s="310"/>
      <c r="FA62" s="310"/>
      <c r="FB62" s="310"/>
      <c r="FC62" s="310"/>
      <c r="FD62" s="310"/>
      <c r="FE62" s="311"/>
      <c r="FF62" s="312"/>
    </row>
    <row r="63" spans="1:162" ht="12.75" x14ac:dyDescent="0.2">
      <c r="A63" s="446">
        <v>56</v>
      </c>
      <c r="B63" s="447" t="s">
        <v>693</v>
      </c>
      <c r="C63" s="448" t="s">
        <v>1093</v>
      </c>
      <c r="D63" s="449" t="s">
        <v>1096</v>
      </c>
      <c r="E63" s="450" t="s">
        <v>692</v>
      </c>
      <c r="F63" s="451">
        <v>35705267</v>
      </c>
      <c r="G63" s="451">
        <v>0</v>
      </c>
      <c r="H63" s="451">
        <v>0</v>
      </c>
      <c r="I63" s="451">
        <v>35705267</v>
      </c>
      <c r="J63" s="451">
        <v>328232.23</v>
      </c>
      <c r="K63" s="451">
        <v>0</v>
      </c>
      <c r="L63" s="451">
        <v>0</v>
      </c>
      <c r="M63" s="451">
        <v>328232.23</v>
      </c>
      <c r="N63" s="451">
        <v>52984</v>
      </c>
      <c r="O63" s="451">
        <v>0</v>
      </c>
      <c r="P63" s="451">
        <v>0</v>
      </c>
      <c r="Q63" s="451">
        <v>52984</v>
      </c>
      <c r="R63" s="451">
        <v>327252</v>
      </c>
      <c r="S63" s="451">
        <v>0</v>
      </c>
      <c r="T63" s="451">
        <v>0</v>
      </c>
      <c r="U63" s="451">
        <v>327252</v>
      </c>
      <c r="V63" s="451">
        <v>1387571</v>
      </c>
      <c r="W63" s="451">
        <v>0</v>
      </c>
      <c r="X63" s="451">
        <v>0</v>
      </c>
      <c r="Y63" s="451">
        <v>1387571</v>
      </c>
      <c r="Z63" s="451">
        <v>33609228</v>
      </c>
      <c r="AA63" s="451">
        <v>0</v>
      </c>
      <c r="AB63" s="451">
        <v>0</v>
      </c>
      <c r="AC63" s="451">
        <v>33609228</v>
      </c>
      <c r="AD63" s="451">
        <v>0</v>
      </c>
      <c r="AE63" s="451">
        <v>0</v>
      </c>
      <c r="AF63" s="451">
        <v>0</v>
      </c>
      <c r="AG63" s="451">
        <v>0</v>
      </c>
      <c r="AH63" s="451">
        <v>0</v>
      </c>
      <c r="AI63" s="451">
        <v>0</v>
      </c>
      <c r="AJ63" s="451">
        <v>0</v>
      </c>
      <c r="AK63" s="451">
        <v>0</v>
      </c>
      <c r="AL63" s="451">
        <v>0</v>
      </c>
      <c r="AM63" s="451">
        <v>0</v>
      </c>
      <c r="AN63" s="451">
        <v>0</v>
      </c>
      <c r="AO63" s="451">
        <v>1399350</v>
      </c>
      <c r="AP63" s="451">
        <v>509261</v>
      </c>
      <c r="AQ63" s="324"/>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c r="CC63" s="310"/>
      <c r="CD63" s="310"/>
      <c r="CE63" s="310"/>
      <c r="CF63" s="310"/>
      <c r="CG63" s="310"/>
      <c r="CH63" s="310"/>
      <c r="CI63" s="310"/>
      <c r="CJ63" s="310"/>
      <c r="CK63" s="310"/>
      <c r="CL63" s="310"/>
      <c r="CM63" s="310"/>
      <c r="CN63" s="310"/>
      <c r="CO63" s="310"/>
      <c r="CP63" s="310"/>
      <c r="CQ63" s="310"/>
      <c r="CR63" s="310"/>
      <c r="CS63" s="310"/>
      <c r="CT63" s="310"/>
      <c r="CU63" s="310"/>
      <c r="CV63" s="310"/>
      <c r="CW63" s="310"/>
      <c r="CX63" s="310"/>
      <c r="CY63" s="310"/>
      <c r="CZ63" s="310"/>
      <c r="DA63" s="310"/>
      <c r="DB63" s="310"/>
      <c r="DC63" s="310"/>
      <c r="DD63" s="310"/>
      <c r="DE63" s="310"/>
      <c r="DF63" s="310"/>
      <c r="DG63" s="310"/>
      <c r="DH63" s="310"/>
      <c r="DI63" s="310"/>
      <c r="DJ63" s="310"/>
      <c r="DK63" s="310"/>
      <c r="DL63" s="310"/>
      <c r="DM63" s="310"/>
      <c r="DN63" s="310"/>
      <c r="DO63" s="310"/>
      <c r="DP63" s="310"/>
      <c r="DQ63" s="310"/>
      <c r="DR63" s="310"/>
      <c r="DS63" s="310"/>
      <c r="DT63" s="310"/>
      <c r="DU63" s="310"/>
      <c r="DV63" s="310"/>
      <c r="DW63" s="310"/>
      <c r="DX63" s="310"/>
      <c r="DY63" s="310"/>
      <c r="DZ63" s="310"/>
      <c r="EA63" s="310"/>
      <c r="EB63" s="310"/>
      <c r="EC63" s="310"/>
      <c r="ED63" s="310"/>
      <c r="EE63" s="310"/>
      <c r="EF63" s="310"/>
      <c r="EG63" s="310"/>
      <c r="EH63" s="310"/>
      <c r="EI63" s="310"/>
      <c r="EJ63" s="310"/>
      <c r="EK63" s="310"/>
      <c r="EL63" s="310"/>
      <c r="EM63" s="310"/>
      <c r="EN63" s="310"/>
      <c r="EO63" s="310"/>
      <c r="EP63" s="310"/>
      <c r="EQ63" s="310"/>
      <c r="ER63" s="310"/>
      <c r="ES63" s="310"/>
      <c r="ET63" s="310"/>
      <c r="EU63" s="310"/>
      <c r="EV63" s="310"/>
      <c r="EW63" s="310"/>
      <c r="EX63" s="310"/>
      <c r="EY63" s="310"/>
      <c r="EZ63" s="310"/>
      <c r="FA63" s="310"/>
      <c r="FB63" s="310"/>
      <c r="FC63" s="310"/>
      <c r="FD63" s="310"/>
      <c r="FE63" s="311"/>
      <c r="FF63" s="312"/>
    </row>
    <row r="64" spans="1:162" ht="12.75" x14ac:dyDescent="0.2">
      <c r="A64" s="446">
        <v>57</v>
      </c>
      <c r="B64" s="447" t="s">
        <v>695</v>
      </c>
      <c r="C64" s="448" t="s">
        <v>1093</v>
      </c>
      <c r="D64" s="449" t="s">
        <v>1094</v>
      </c>
      <c r="E64" s="450" t="s">
        <v>694</v>
      </c>
      <c r="F64" s="451">
        <v>43501703</v>
      </c>
      <c r="G64" s="451">
        <v>0</v>
      </c>
      <c r="H64" s="451">
        <v>0</v>
      </c>
      <c r="I64" s="451">
        <v>43501703</v>
      </c>
      <c r="J64" s="451">
        <v>72783</v>
      </c>
      <c r="K64" s="451">
        <v>0</v>
      </c>
      <c r="L64" s="451">
        <v>0</v>
      </c>
      <c r="M64" s="451">
        <v>72783</v>
      </c>
      <c r="N64" s="451">
        <v>105217</v>
      </c>
      <c r="O64" s="451">
        <v>0</v>
      </c>
      <c r="P64" s="451">
        <v>0</v>
      </c>
      <c r="Q64" s="451">
        <v>105217</v>
      </c>
      <c r="R64" s="451">
        <v>222758</v>
      </c>
      <c r="S64" s="451">
        <v>0</v>
      </c>
      <c r="T64" s="451">
        <v>0</v>
      </c>
      <c r="U64" s="451">
        <v>222758</v>
      </c>
      <c r="V64" s="451">
        <v>1858516</v>
      </c>
      <c r="W64" s="451">
        <v>0</v>
      </c>
      <c r="X64" s="451">
        <v>0</v>
      </c>
      <c r="Y64" s="451">
        <v>1858516</v>
      </c>
      <c r="Z64" s="451">
        <v>41242429</v>
      </c>
      <c r="AA64" s="451">
        <v>0</v>
      </c>
      <c r="AB64" s="451">
        <v>0</v>
      </c>
      <c r="AC64" s="451">
        <v>41242429</v>
      </c>
      <c r="AD64" s="451">
        <v>0</v>
      </c>
      <c r="AE64" s="451">
        <v>0</v>
      </c>
      <c r="AF64" s="451">
        <v>0</v>
      </c>
      <c r="AG64" s="451">
        <v>0</v>
      </c>
      <c r="AH64" s="451">
        <v>0</v>
      </c>
      <c r="AI64" s="451">
        <v>0</v>
      </c>
      <c r="AJ64" s="451">
        <v>0</v>
      </c>
      <c r="AK64" s="451">
        <v>0</v>
      </c>
      <c r="AL64" s="451">
        <v>0</v>
      </c>
      <c r="AM64" s="451">
        <v>0</v>
      </c>
      <c r="AN64" s="451">
        <v>0</v>
      </c>
      <c r="AO64" s="451">
        <v>1543021</v>
      </c>
      <c r="AP64" s="451">
        <v>599560</v>
      </c>
      <c r="AQ64" s="324"/>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10"/>
      <c r="CX64" s="310"/>
      <c r="CY64" s="310"/>
      <c r="CZ64" s="310"/>
      <c r="DA64" s="310"/>
      <c r="DB64" s="310"/>
      <c r="DC64" s="310"/>
      <c r="DD64" s="310"/>
      <c r="DE64" s="310"/>
      <c r="DF64" s="310"/>
      <c r="DG64" s="310"/>
      <c r="DH64" s="310"/>
      <c r="DI64" s="310"/>
      <c r="DJ64" s="310"/>
      <c r="DK64" s="310"/>
      <c r="DL64" s="310"/>
      <c r="DM64" s="310"/>
      <c r="DN64" s="310"/>
      <c r="DO64" s="310"/>
      <c r="DP64" s="310"/>
      <c r="DQ64" s="310"/>
      <c r="DR64" s="310"/>
      <c r="DS64" s="310"/>
      <c r="DT64" s="310"/>
      <c r="DU64" s="310"/>
      <c r="DV64" s="310"/>
      <c r="DW64" s="310"/>
      <c r="DX64" s="310"/>
      <c r="DY64" s="310"/>
      <c r="DZ64" s="310"/>
      <c r="EA64" s="310"/>
      <c r="EB64" s="310"/>
      <c r="EC64" s="310"/>
      <c r="ED64" s="310"/>
      <c r="EE64" s="310"/>
      <c r="EF64" s="310"/>
      <c r="EG64" s="310"/>
      <c r="EH64" s="310"/>
      <c r="EI64" s="310"/>
      <c r="EJ64" s="310"/>
      <c r="EK64" s="310"/>
      <c r="EL64" s="310"/>
      <c r="EM64" s="310"/>
      <c r="EN64" s="310"/>
      <c r="EO64" s="310"/>
      <c r="EP64" s="310"/>
      <c r="EQ64" s="310"/>
      <c r="ER64" s="310"/>
      <c r="ES64" s="310"/>
      <c r="ET64" s="310"/>
      <c r="EU64" s="310"/>
      <c r="EV64" s="310"/>
      <c r="EW64" s="310"/>
      <c r="EX64" s="310"/>
      <c r="EY64" s="310"/>
      <c r="EZ64" s="310"/>
      <c r="FA64" s="310"/>
      <c r="FB64" s="310"/>
      <c r="FC64" s="310"/>
      <c r="FD64" s="310"/>
      <c r="FE64" s="311"/>
      <c r="FF64" s="312"/>
    </row>
    <row r="65" spans="1:162" ht="12.75" x14ac:dyDescent="0.2">
      <c r="A65" s="446">
        <v>58</v>
      </c>
      <c r="B65" s="447" t="s">
        <v>697</v>
      </c>
      <c r="C65" s="448" t="s">
        <v>1093</v>
      </c>
      <c r="D65" s="449" t="s">
        <v>1094</v>
      </c>
      <c r="E65" s="450" t="s">
        <v>696</v>
      </c>
      <c r="F65" s="451">
        <v>20443942.199999999</v>
      </c>
      <c r="G65" s="451">
        <v>0</v>
      </c>
      <c r="H65" s="451">
        <v>0</v>
      </c>
      <c r="I65" s="451">
        <v>20443942.199999999</v>
      </c>
      <c r="J65" s="451">
        <v>96877</v>
      </c>
      <c r="K65" s="451">
        <v>0</v>
      </c>
      <c r="L65" s="451">
        <v>0</v>
      </c>
      <c r="M65" s="451">
        <v>96877</v>
      </c>
      <c r="N65" s="451">
        <v>-6887</v>
      </c>
      <c r="O65" s="451">
        <v>0</v>
      </c>
      <c r="P65" s="451">
        <v>0</v>
      </c>
      <c r="Q65" s="451">
        <v>-6887</v>
      </c>
      <c r="R65" s="451">
        <v>386172</v>
      </c>
      <c r="S65" s="451">
        <v>0</v>
      </c>
      <c r="T65" s="451">
        <v>0</v>
      </c>
      <c r="U65" s="451">
        <v>386172</v>
      </c>
      <c r="V65" s="451">
        <v>1070721</v>
      </c>
      <c r="W65" s="451">
        <v>0</v>
      </c>
      <c r="X65" s="451">
        <v>0</v>
      </c>
      <c r="Y65" s="451">
        <v>1070721</v>
      </c>
      <c r="Z65" s="451">
        <v>18897059</v>
      </c>
      <c r="AA65" s="451">
        <v>0</v>
      </c>
      <c r="AB65" s="451">
        <v>0</v>
      </c>
      <c r="AC65" s="451">
        <v>18897059</v>
      </c>
      <c r="AD65" s="451">
        <v>0</v>
      </c>
      <c r="AE65" s="451">
        <v>0</v>
      </c>
      <c r="AF65" s="451">
        <v>0</v>
      </c>
      <c r="AG65" s="451">
        <v>0</v>
      </c>
      <c r="AH65" s="451">
        <v>0</v>
      </c>
      <c r="AI65" s="451">
        <v>0</v>
      </c>
      <c r="AJ65" s="451">
        <v>0</v>
      </c>
      <c r="AK65" s="451">
        <v>0</v>
      </c>
      <c r="AL65" s="451">
        <v>0</v>
      </c>
      <c r="AM65" s="451">
        <v>0</v>
      </c>
      <c r="AN65" s="451">
        <v>0</v>
      </c>
      <c r="AO65" s="451">
        <v>668186</v>
      </c>
      <c r="AP65" s="451">
        <v>293370</v>
      </c>
      <c r="AQ65" s="324"/>
      <c r="AR65" s="310"/>
      <c r="AS65" s="310"/>
      <c r="AT65" s="310"/>
      <c r="AU65" s="310"/>
      <c r="AV65" s="310"/>
      <c r="AW65" s="310"/>
      <c r="AX65" s="310"/>
      <c r="AY65" s="310"/>
      <c r="AZ65" s="310"/>
      <c r="BA65" s="310"/>
      <c r="BB65" s="310"/>
      <c r="BC65" s="310"/>
      <c r="BD65" s="310"/>
      <c r="BE65" s="310"/>
      <c r="BF65" s="310"/>
      <c r="BG65" s="310"/>
      <c r="BH65" s="310"/>
      <c r="BI65" s="310"/>
      <c r="BJ65" s="310"/>
      <c r="BK65" s="310"/>
      <c r="BL65" s="310"/>
      <c r="BM65" s="310"/>
      <c r="BN65" s="310"/>
      <c r="BO65" s="310"/>
      <c r="BP65" s="310"/>
      <c r="BQ65" s="310"/>
      <c r="BR65" s="310"/>
      <c r="BS65" s="310"/>
      <c r="BT65" s="310"/>
      <c r="BU65" s="310"/>
      <c r="BV65" s="310"/>
      <c r="BW65" s="310"/>
      <c r="BX65" s="310"/>
      <c r="BY65" s="310"/>
      <c r="BZ65" s="310"/>
      <c r="CA65" s="310"/>
      <c r="CB65" s="310"/>
      <c r="CC65" s="310"/>
      <c r="CD65" s="310"/>
      <c r="CE65" s="310"/>
      <c r="CF65" s="310"/>
      <c r="CG65" s="310"/>
      <c r="CH65" s="310"/>
      <c r="CI65" s="310"/>
      <c r="CJ65" s="310"/>
      <c r="CK65" s="310"/>
      <c r="CL65" s="310"/>
      <c r="CM65" s="310"/>
      <c r="CN65" s="310"/>
      <c r="CO65" s="310"/>
      <c r="CP65" s="310"/>
      <c r="CQ65" s="310"/>
      <c r="CR65" s="310"/>
      <c r="CS65" s="310"/>
      <c r="CT65" s="310"/>
      <c r="CU65" s="310"/>
      <c r="CV65" s="310"/>
      <c r="CW65" s="310"/>
      <c r="CX65" s="310"/>
      <c r="CY65" s="310"/>
      <c r="CZ65" s="310"/>
      <c r="DA65" s="310"/>
      <c r="DB65" s="310"/>
      <c r="DC65" s="310"/>
      <c r="DD65" s="310"/>
      <c r="DE65" s="310"/>
      <c r="DF65" s="310"/>
      <c r="DG65" s="310"/>
      <c r="DH65" s="310"/>
      <c r="DI65" s="310"/>
      <c r="DJ65" s="310"/>
      <c r="DK65" s="310"/>
      <c r="DL65" s="310"/>
      <c r="DM65" s="310"/>
      <c r="DN65" s="310"/>
      <c r="DO65" s="310"/>
      <c r="DP65" s="310"/>
      <c r="DQ65" s="310"/>
      <c r="DR65" s="310"/>
      <c r="DS65" s="310"/>
      <c r="DT65" s="310"/>
      <c r="DU65" s="310"/>
      <c r="DV65" s="310"/>
      <c r="DW65" s="310"/>
      <c r="DX65" s="310"/>
      <c r="DY65" s="310"/>
      <c r="DZ65" s="310"/>
      <c r="EA65" s="310"/>
      <c r="EB65" s="310"/>
      <c r="EC65" s="310"/>
      <c r="ED65" s="310"/>
      <c r="EE65" s="310"/>
      <c r="EF65" s="310"/>
      <c r="EG65" s="310"/>
      <c r="EH65" s="310"/>
      <c r="EI65" s="310"/>
      <c r="EJ65" s="310"/>
      <c r="EK65" s="310"/>
      <c r="EL65" s="310"/>
      <c r="EM65" s="310"/>
      <c r="EN65" s="310"/>
      <c r="EO65" s="310"/>
      <c r="EP65" s="310"/>
      <c r="EQ65" s="310"/>
      <c r="ER65" s="310"/>
      <c r="ES65" s="310"/>
      <c r="ET65" s="310"/>
      <c r="EU65" s="310"/>
      <c r="EV65" s="310"/>
      <c r="EW65" s="310"/>
      <c r="EX65" s="310"/>
      <c r="EY65" s="310"/>
      <c r="EZ65" s="310"/>
      <c r="FA65" s="310"/>
      <c r="FB65" s="310"/>
      <c r="FC65" s="310"/>
      <c r="FD65" s="310"/>
      <c r="FE65" s="311"/>
      <c r="FF65" s="312"/>
    </row>
    <row r="66" spans="1:162" ht="12.75" x14ac:dyDescent="0.2">
      <c r="A66" s="446">
        <v>59</v>
      </c>
      <c r="B66" s="447" t="s">
        <v>699</v>
      </c>
      <c r="C66" s="448" t="s">
        <v>1093</v>
      </c>
      <c r="D66" s="449" t="s">
        <v>1095</v>
      </c>
      <c r="E66" s="450" t="s">
        <v>698</v>
      </c>
      <c r="F66" s="451">
        <v>26456313</v>
      </c>
      <c r="G66" s="451">
        <v>0</v>
      </c>
      <c r="H66" s="451">
        <v>0</v>
      </c>
      <c r="I66" s="451">
        <v>26456313</v>
      </c>
      <c r="J66" s="451">
        <v>276481</v>
      </c>
      <c r="K66" s="451">
        <v>0</v>
      </c>
      <c r="L66" s="451">
        <v>0</v>
      </c>
      <c r="M66" s="451">
        <v>276481</v>
      </c>
      <c r="N66" s="451">
        <v>78654</v>
      </c>
      <c r="O66" s="451">
        <v>0</v>
      </c>
      <c r="P66" s="451">
        <v>0</v>
      </c>
      <c r="Q66" s="451">
        <v>78654</v>
      </c>
      <c r="R66" s="451">
        <v>350000</v>
      </c>
      <c r="S66" s="451">
        <v>0</v>
      </c>
      <c r="T66" s="451">
        <v>0</v>
      </c>
      <c r="U66" s="451">
        <v>350000</v>
      </c>
      <c r="V66" s="451">
        <v>900000</v>
      </c>
      <c r="W66" s="451">
        <v>0</v>
      </c>
      <c r="X66" s="451">
        <v>0</v>
      </c>
      <c r="Y66" s="451">
        <v>900000</v>
      </c>
      <c r="Z66" s="451">
        <v>24851178</v>
      </c>
      <c r="AA66" s="451">
        <v>0</v>
      </c>
      <c r="AB66" s="451">
        <v>0</v>
      </c>
      <c r="AC66" s="451">
        <v>24851178</v>
      </c>
      <c r="AD66" s="451">
        <v>0</v>
      </c>
      <c r="AE66" s="451">
        <v>0</v>
      </c>
      <c r="AF66" s="451">
        <v>0</v>
      </c>
      <c r="AG66" s="451">
        <v>0</v>
      </c>
      <c r="AH66" s="451">
        <v>0</v>
      </c>
      <c r="AI66" s="451">
        <v>0</v>
      </c>
      <c r="AJ66" s="451">
        <v>0</v>
      </c>
      <c r="AK66" s="451">
        <v>0</v>
      </c>
      <c r="AL66" s="451">
        <v>0</v>
      </c>
      <c r="AM66" s="451">
        <v>0</v>
      </c>
      <c r="AN66" s="451">
        <v>0</v>
      </c>
      <c r="AO66" s="451">
        <v>1108500</v>
      </c>
      <c r="AP66" s="451">
        <v>328785</v>
      </c>
      <c r="AQ66" s="324"/>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310"/>
      <c r="BY66" s="310"/>
      <c r="BZ66" s="310"/>
      <c r="CA66" s="310"/>
      <c r="CB66" s="310"/>
      <c r="CC66" s="310"/>
      <c r="CD66" s="310"/>
      <c r="CE66" s="310"/>
      <c r="CF66" s="310"/>
      <c r="CG66" s="310"/>
      <c r="CH66" s="310"/>
      <c r="CI66" s="310"/>
      <c r="CJ66" s="310"/>
      <c r="CK66" s="310"/>
      <c r="CL66" s="310"/>
      <c r="CM66" s="310"/>
      <c r="CN66" s="310"/>
      <c r="CO66" s="310"/>
      <c r="CP66" s="310"/>
      <c r="CQ66" s="310"/>
      <c r="CR66" s="310"/>
      <c r="CS66" s="310"/>
      <c r="CT66" s="310"/>
      <c r="CU66" s="310"/>
      <c r="CV66" s="310"/>
      <c r="CW66" s="310"/>
      <c r="CX66" s="310"/>
      <c r="CY66" s="310"/>
      <c r="CZ66" s="310"/>
      <c r="DA66" s="310"/>
      <c r="DB66" s="310"/>
      <c r="DC66" s="310"/>
      <c r="DD66" s="310"/>
      <c r="DE66" s="310"/>
      <c r="DF66" s="310"/>
      <c r="DG66" s="310"/>
      <c r="DH66" s="310"/>
      <c r="DI66" s="310"/>
      <c r="DJ66" s="310"/>
      <c r="DK66" s="310"/>
      <c r="DL66" s="310"/>
      <c r="DM66" s="310"/>
      <c r="DN66" s="310"/>
      <c r="DO66" s="310"/>
      <c r="DP66" s="310"/>
      <c r="DQ66" s="310"/>
      <c r="DR66" s="310"/>
      <c r="DS66" s="310"/>
      <c r="DT66" s="310"/>
      <c r="DU66" s="310"/>
      <c r="DV66" s="310"/>
      <c r="DW66" s="310"/>
      <c r="DX66" s="310"/>
      <c r="DY66" s="310"/>
      <c r="DZ66" s="310"/>
      <c r="EA66" s="310"/>
      <c r="EB66" s="310"/>
      <c r="EC66" s="310"/>
      <c r="ED66" s="310"/>
      <c r="EE66" s="310"/>
      <c r="EF66" s="310"/>
      <c r="EG66" s="310"/>
      <c r="EH66" s="310"/>
      <c r="EI66" s="310"/>
      <c r="EJ66" s="310"/>
      <c r="EK66" s="310"/>
      <c r="EL66" s="310"/>
      <c r="EM66" s="310"/>
      <c r="EN66" s="310"/>
      <c r="EO66" s="310"/>
      <c r="EP66" s="310"/>
      <c r="EQ66" s="310"/>
      <c r="ER66" s="310"/>
      <c r="ES66" s="310"/>
      <c r="ET66" s="310"/>
      <c r="EU66" s="310"/>
      <c r="EV66" s="310"/>
      <c r="EW66" s="310"/>
      <c r="EX66" s="310"/>
      <c r="EY66" s="310"/>
      <c r="EZ66" s="310"/>
      <c r="FA66" s="310"/>
      <c r="FB66" s="310"/>
      <c r="FC66" s="310"/>
      <c r="FD66" s="310"/>
      <c r="FE66" s="311"/>
      <c r="FF66" s="312"/>
    </row>
    <row r="67" spans="1:162" ht="12.75" x14ac:dyDescent="0.2">
      <c r="A67" s="446">
        <v>60</v>
      </c>
      <c r="B67" s="447" t="s">
        <v>701</v>
      </c>
      <c r="C67" s="448" t="s">
        <v>1093</v>
      </c>
      <c r="D67" s="449" t="s">
        <v>1102</v>
      </c>
      <c r="E67" s="450" t="s">
        <v>700</v>
      </c>
      <c r="F67" s="451">
        <v>17122567</v>
      </c>
      <c r="G67" s="451">
        <v>0</v>
      </c>
      <c r="H67" s="451">
        <v>0</v>
      </c>
      <c r="I67" s="451">
        <v>17122567</v>
      </c>
      <c r="J67" s="451">
        <v>-19570</v>
      </c>
      <c r="K67" s="451">
        <v>0</v>
      </c>
      <c r="L67" s="451">
        <v>0</v>
      </c>
      <c r="M67" s="451">
        <v>-19570</v>
      </c>
      <c r="N67" s="451">
        <v>109406</v>
      </c>
      <c r="O67" s="451">
        <v>0</v>
      </c>
      <c r="P67" s="451">
        <v>0</v>
      </c>
      <c r="Q67" s="451">
        <v>109406</v>
      </c>
      <c r="R67" s="451">
        <v>270832</v>
      </c>
      <c r="S67" s="451">
        <v>0</v>
      </c>
      <c r="T67" s="451">
        <v>0</v>
      </c>
      <c r="U67" s="451">
        <v>270832</v>
      </c>
      <c r="V67" s="451">
        <v>636220</v>
      </c>
      <c r="W67" s="451">
        <v>0</v>
      </c>
      <c r="X67" s="451">
        <v>0</v>
      </c>
      <c r="Y67" s="451">
        <v>636220</v>
      </c>
      <c r="Z67" s="451">
        <v>16125679</v>
      </c>
      <c r="AA67" s="451">
        <v>0</v>
      </c>
      <c r="AB67" s="451">
        <v>0</v>
      </c>
      <c r="AC67" s="451">
        <v>16125679</v>
      </c>
      <c r="AD67" s="451">
        <v>0</v>
      </c>
      <c r="AE67" s="451">
        <v>0</v>
      </c>
      <c r="AF67" s="451">
        <v>0</v>
      </c>
      <c r="AG67" s="451">
        <v>0</v>
      </c>
      <c r="AH67" s="451">
        <v>0</v>
      </c>
      <c r="AI67" s="451">
        <v>0</v>
      </c>
      <c r="AJ67" s="451">
        <v>0</v>
      </c>
      <c r="AK67" s="451">
        <v>0</v>
      </c>
      <c r="AL67" s="451">
        <v>0</v>
      </c>
      <c r="AM67" s="451">
        <v>0</v>
      </c>
      <c r="AN67" s="451">
        <v>0</v>
      </c>
      <c r="AO67" s="451">
        <v>700750</v>
      </c>
      <c r="AP67" s="451">
        <v>-78294</v>
      </c>
      <c r="AQ67" s="324" t="s">
        <v>1120</v>
      </c>
      <c r="AR67" s="310"/>
      <c r="AS67" s="310"/>
      <c r="AT67" s="310"/>
      <c r="AU67" s="310"/>
      <c r="AV67" s="310"/>
      <c r="AW67" s="310"/>
      <c r="AX67" s="310"/>
      <c r="AY67" s="310"/>
      <c r="AZ67" s="310"/>
      <c r="BA67" s="310"/>
      <c r="BB67" s="310"/>
      <c r="BC67" s="310"/>
      <c r="BD67" s="310"/>
      <c r="BE67" s="310"/>
      <c r="BF67" s="310"/>
      <c r="BG67" s="310"/>
      <c r="BH67" s="310"/>
      <c r="BI67" s="310"/>
      <c r="BJ67" s="310"/>
      <c r="BK67" s="310"/>
      <c r="BL67" s="310"/>
      <c r="BM67" s="310"/>
      <c r="BN67" s="310"/>
      <c r="BO67" s="310"/>
      <c r="BP67" s="310"/>
      <c r="BQ67" s="310"/>
      <c r="BR67" s="310"/>
      <c r="BS67" s="310"/>
      <c r="BT67" s="310"/>
      <c r="BU67" s="310"/>
      <c r="BV67" s="310"/>
      <c r="BW67" s="310"/>
      <c r="BX67" s="310"/>
      <c r="BY67" s="310"/>
      <c r="BZ67" s="310"/>
      <c r="CA67" s="310"/>
      <c r="CB67" s="310"/>
      <c r="CC67" s="310"/>
      <c r="CD67" s="310"/>
      <c r="CE67" s="310"/>
      <c r="CF67" s="310"/>
      <c r="CG67" s="310"/>
      <c r="CH67" s="310"/>
      <c r="CI67" s="310"/>
      <c r="CJ67" s="310"/>
      <c r="CK67" s="310"/>
      <c r="CL67" s="310"/>
      <c r="CM67" s="310"/>
      <c r="CN67" s="310"/>
      <c r="CO67" s="310"/>
      <c r="CP67" s="310"/>
      <c r="CQ67" s="310"/>
      <c r="CR67" s="310"/>
      <c r="CS67" s="310"/>
      <c r="CT67" s="310"/>
      <c r="CU67" s="310"/>
      <c r="CV67" s="310"/>
      <c r="CW67" s="310"/>
      <c r="CX67" s="310"/>
      <c r="CY67" s="310"/>
      <c r="CZ67" s="310"/>
      <c r="DA67" s="310"/>
      <c r="DB67" s="310"/>
      <c r="DC67" s="310"/>
      <c r="DD67" s="310"/>
      <c r="DE67" s="310"/>
      <c r="DF67" s="310"/>
      <c r="DG67" s="310"/>
      <c r="DH67" s="310"/>
      <c r="DI67" s="310"/>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10"/>
      <c r="EF67" s="310"/>
      <c r="EG67" s="310"/>
      <c r="EH67" s="310"/>
      <c r="EI67" s="310"/>
      <c r="EJ67" s="310"/>
      <c r="EK67" s="310"/>
      <c r="EL67" s="310"/>
      <c r="EM67" s="310"/>
      <c r="EN67" s="310"/>
      <c r="EO67" s="310"/>
      <c r="EP67" s="310"/>
      <c r="EQ67" s="310"/>
      <c r="ER67" s="310"/>
      <c r="ES67" s="310"/>
      <c r="ET67" s="310"/>
      <c r="EU67" s="310"/>
      <c r="EV67" s="310"/>
      <c r="EW67" s="310"/>
      <c r="EX67" s="310"/>
      <c r="EY67" s="310"/>
      <c r="EZ67" s="310"/>
      <c r="FA67" s="310"/>
      <c r="FB67" s="310"/>
      <c r="FC67" s="310"/>
      <c r="FD67" s="310"/>
      <c r="FE67" s="311"/>
      <c r="FF67" s="312"/>
    </row>
    <row r="68" spans="1:162" ht="12.75" x14ac:dyDescent="0.2">
      <c r="A68" s="446">
        <v>61</v>
      </c>
      <c r="B68" s="447" t="s">
        <v>0</v>
      </c>
      <c r="C68" s="448" t="s">
        <v>1104</v>
      </c>
      <c r="D68" s="449" t="s">
        <v>1099</v>
      </c>
      <c r="E68" s="450" t="s">
        <v>702</v>
      </c>
      <c r="F68" s="451">
        <v>791164983</v>
      </c>
      <c r="G68" s="451">
        <v>0</v>
      </c>
      <c r="H68" s="451">
        <v>0</v>
      </c>
      <c r="I68" s="451">
        <v>791164983</v>
      </c>
      <c r="J68" s="451">
        <v>962125</v>
      </c>
      <c r="K68" s="451">
        <v>0</v>
      </c>
      <c r="L68" s="451">
        <v>0</v>
      </c>
      <c r="M68" s="451">
        <v>962125</v>
      </c>
      <c r="N68" s="451">
        <v>803552</v>
      </c>
      <c r="O68" s="451">
        <v>0</v>
      </c>
      <c r="P68" s="451">
        <v>0</v>
      </c>
      <c r="Q68" s="451">
        <v>803552</v>
      </c>
      <c r="R68" s="451">
        <v>32963077</v>
      </c>
      <c r="S68" s="451">
        <v>0</v>
      </c>
      <c r="T68" s="451">
        <v>0</v>
      </c>
      <c r="U68" s="451">
        <v>32963077</v>
      </c>
      <c r="V68" s="451">
        <v>80741101</v>
      </c>
      <c r="W68" s="451">
        <v>0</v>
      </c>
      <c r="X68" s="451">
        <v>0</v>
      </c>
      <c r="Y68" s="451">
        <v>80741101</v>
      </c>
      <c r="Z68" s="451">
        <v>675695128</v>
      </c>
      <c r="AA68" s="451">
        <v>0</v>
      </c>
      <c r="AB68" s="451">
        <v>0</v>
      </c>
      <c r="AC68" s="451">
        <v>675695128</v>
      </c>
      <c r="AD68" s="451">
        <v>0</v>
      </c>
      <c r="AE68" s="451">
        <v>0</v>
      </c>
      <c r="AF68" s="451">
        <v>0</v>
      </c>
      <c r="AG68" s="451">
        <v>0</v>
      </c>
      <c r="AH68" s="451">
        <v>0</v>
      </c>
      <c r="AI68" s="451">
        <v>0</v>
      </c>
      <c r="AJ68" s="451">
        <v>0</v>
      </c>
      <c r="AK68" s="451">
        <v>0</v>
      </c>
      <c r="AL68" s="451">
        <v>0</v>
      </c>
      <c r="AM68" s="451">
        <v>0</v>
      </c>
      <c r="AN68" s="451">
        <v>0</v>
      </c>
      <c r="AO68" s="451">
        <v>17873083</v>
      </c>
      <c r="AP68" s="451">
        <v>34507844</v>
      </c>
      <c r="AQ68" s="324"/>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10"/>
      <c r="CX68" s="310"/>
      <c r="CY68" s="310"/>
      <c r="CZ68" s="310"/>
      <c r="DA68" s="310"/>
      <c r="DB68" s="310"/>
      <c r="DC68" s="310"/>
      <c r="DD68" s="310"/>
      <c r="DE68" s="310"/>
      <c r="DF68" s="310"/>
      <c r="DG68" s="310"/>
      <c r="DH68" s="310"/>
      <c r="DI68" s="310"/>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10"/>
      <c r="EF68" s="310"/>
      <c r="EG68" s="310"/>
      <c r="EH68" s="310"/>
      <c r="EI68" s="310"/>
      <c r="EJ68" s="310"/>
      <c r="EK68" s="310"/>
      <c r="EL68" s="310"/>
      <c r="EM68" s="310"/>
      <c r="EN68" s="310"/>
      <c r="EO68" s="310"/>
      <c r="EP68" s="310"/>
      <c r="EQ68" s="310"/>
      <c r="ER68" s="310"/>
      <c r="ES68" s="310"/>
      <c r="ET68" s="310"/>
      <c r="EU68" s="310"/>
      <c r="EV68" s="310"/>
      <c r="EW68" s="310"/>
      <c r="EX68" s="310"/>
      <c r="EY68" s="310"/>
      <c r="EZ68" s="310"/>
      <c r="FA68" s="310"/>
      <c r="FB68" s="310"/>
      <c r="FC68" s="310"/>
      <c r="FD68" s="310"/>
      <c r="FE68" s="311"/>
      <c r="FF68" s="312"/>
    </row>
    <row r="69" spans="1:162" ht="12.75" x14ac:dyDescent="0.2">
      <c r="A69" s="446">
        <v>62</v>
      </c>
      <c r="B69" s="447" t="s">
        <v>2</v>
      </c>
      <c r="C69" s="448" t="s">
        <v>1093</v>
      </c>
      <c r="D69" s="449" t="s">
        <v>1097</v>
      </c>
      <c r="E69" s="450" t="s">
        <v>1</v>
      </c>
      <c r="F69" s="451">
        <v>61010017</v>
      </c>
      <c r="G69" s="451">
        <v>0</v>
      </c>
      <c r="H69" s="451">
        <v>0</v>
      </c>
      <c r="I69" s="451">
        <v>61010017</v>
      </c>
      <c r="J69" s="451">
        <v>296901</v>
      </c>
      <c r="K69" s="451">
        <v>0</v>
      </c>
      <c r="L69" s="451">
        <v>0</v>
      </c>
      <c r="M69" s="451">
        <v>296901</v>
      </c>
      <c r="N69" s="451">
        <v>277983</v>
      </c>
      <c r="O69" s="451">
        <v>0</v>
      </c>
      <c r="P69" s="451">
        <v>0</v>
      </c>
      <c r="Q69" s="451">
        <v>277983</v>
      </c>
      <c r="R69" s="451">
        <v>435411</v>
      </c>
      <c r="S69" s="451">
        <v>0</v>
      </c>
      <c r="T69" s="451">
        <v>0</v>
      </c>
      <c r="U69" s="451">
        <v>435411</v>
      </c>
      <c r="V69" s="451">
        <v>1236430</v>
      </c>
      <c r="W69" s="451">
        <v>0</v>
      </c>
      <c r="X69" s="451">
        <v>0</v>
      </c>
      <c r="Y69" s="451">
        <v>1236430</v>
      </c>
      <c r="Z69" s="451">
        <v>58763292</v>
      </c>
      <c r="AA69" s="451">
        <v>0</v>
      </c>
      <c r="AB69" s="451">
        <v>0</v>
      </c>
      <c r="AC69" s="451">
        <v>58763292</v>
      </c>
      <c r="AD69" s="451">
        <v>0</v>
      </c>
      <c r="AE69" s="451">
        <v>0</v>
      </c>
      <c r="AF69" s="451">
        <v>0</v>
      </c>
      <c r="AG69" s="451">
        <v>0</v>
      </c>
      <c r="AH69" s="451">
        <v>0</v>
      </c>
      <c r="AI69" s="451">
        <v>0</v>
      </c>
      <c r="AJ69" s="451">
        <v>0</v>
      </c>
      <c r="AK69" s="451">
        <v>0</v>
      </c>
      <c r="AL69" s="451">
        <v>0</v>
      </c>
      <c r="AM69" s="451">
        <v>0</v>
      </c>
      <c r="AN69" s="451">
        <v>0</v>
      </c>
      <c r="AO69" s="451">
        <v>2326661</v>
      </c>
      <c r="AP69" s="451">
        <v>728507</v>
      </c>
      <c r="AQ69" s="324"/>
      <c r="AR69" s="310"/>
      <c r="AS69" s="310"/>
      <c r="AT69" s="310"/>
      <c r="AU69" s="310"/>
      <c r="AV69" s="310"/>
      <c r="AW69" s="310"/>
      <c r="AX69" s="310"/>
      <c r="AY69" s="310"/>
      <c r="AZ69" s="310"/>
      <c r="BA69" s="310"/>
      <c r="BB69" s="310"/>
      <c r="BC69" s="310"/>
      <c r="BD69" s="310"/>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0"/>
      <c r="CC69" s="310"/>
      <c r="CD69" s="310"/>
      <c r="CE69" s="310"/>
      <c r="CF69" s="310"/>
      <c r="CG69" s="310"/>
      <c r="CH69" s="310"/>
      <c r="CI69" s="310"/>
      <c r="CJ69" s="310"/>
      <c r="CK69" s="310"/>
      <c r="CL69" s="310"/>
      <c r="CM69" s="310"/>
      <c r="CN69" s="310"/>
      <c r="CO69" s="310"/>
      <c r="CP69" s="310"/>
      <c r="CQ69" s="310"/>
      <c r="CR69" s="310"/>
      <c r="CS69" s="310"/>
      <c r="CT69" s="310"/>
      <c r="CU69" s="310"/>
      <c r="CV69" s="310"/>
      <c r="CW69" s="310"/>
      <c r="CX69" s="310"/>
      <c r="CY69" s="310"/>
      <c r="CZ69" s="310"/>
      <c r="DA69" s="310"/>
      <c r="DB69" s="310"/>
      <c r="DC69" s="310"/>
      <c r="DD69" s="310"/>
      <c r="DE69" s="310"/>
      <c r="DF69" s="310"/>
      <c r="DG69" s="310"/>
      <c r="DH69" s="310"/>
      <c r="DI69" s="310"/>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10"/>
      <c r="EF69" s="310"/>
      <c r="EG69" s="310"/>
      <c r="EH69" s="310"/>
      <c r="EI69" s="310"/>
      <c r="EJ69" s="310"/>
      <c r="EK69" s="310"/>
      <c r="EL69" s="310"/>
      <c r="EM69" s="310"/>
      <c r="EN69" s="310"/>
      <c r="EO69" s="310"/>
      <c r="EP69" s="310"/>
      <c r="EQ69" s="310"/>
      <c r="ER69" s="310"/>
      <c r="ES69" s="310"/>
      <c r="ET69" s="310"/>
      <c r="EU69" s="310"/>
      <c r="EV69" s="310"/>
      <c r="EW69" s="310"/>
      <c r="EX69" s="310"/>
      <c r="EY69" s="310"/>
      <c r="EZ69" s="310"/>
      <c r="FA69" s="310"/>
      <c r="FB69" s="310"/>
      <c r="FC69" s="310"/>
      <c r="FD69" s="310"/>
      <c r="FE69" s="311"/>
      <c r="FF69" s="312"/>
    </row>
    <row r="70" spans="1:162" ht="12.75" x14ac:dyDescent="0.2">
      <c r="A70" s="446">
        <v>63</v>
      </c>
      <c r="B70" s="447" t="s">
        <v>4</v>
      </c>
      <c r="C70" s="448" t="s">
        <v>1093</v>
      </c>
      <c r="D70" s="449" t="s">
        <v>1095</v>
      </c>
      <c r="E70" s="450" t="s">
        <v>3</v>
      </c>
      <c r="F70" s="451">
        <v>42431950</v>
      </c>
      <c r="G70" s="451">
        <v>0</v>
      </c>
      <c r="H70" s="451">
        <v>0</v>
      </c>
      <c r="I70" s="451">
        <v>42431950</v>
      </c>
      <c r="J70" s="451">
        <v>31578</v>
      </c>
      <c r="K70" s="451">
        <v>0</v>
      </c>
      <c r="L70" s="451">
        <v>0</v>
      </c>
      <c r="M70" s="451">
        <v>31578</v>
      </c>
      <c r="N70" s="451">
        <v>72717</v>
      </c>
      <c r="O70" s="451">
        <v>0</v>
      </c>
      <c r="P70" s="451">
        <v>0</v>
      </c>
      <c r="Q70" s="451">
        <v>72717</v>
      </c>
      <c r="R70" s="451">
        <v>6234313</v>
      </c>
      <c r="S70" s="451">
        <v>0</v>
      </c>
      <c r="T70" s="451">
        <v>0</v>
      </c>
      <c r="U70" s="451">
        <v>6234313</v>
      </c>
      <c r="V70" s="451">
        <v>15773367</v>
      </c>
      <c r="W70" s="451">
        <v>0</v>
      </c>
      <c r="X70" s="451">
        <v>0</v>
      </c>
      <c r="Y70" s="451">
        <v>15773367</v>
      </c>
      <c r="Z70" s="451">
        <v>20319975</v>
      </c>
      <c r="AA70" s="451">
        <v>0</v>
      </c>
      <c r="AB70" s="451">
        <v>0</v>
      </c>
      <c r="AC70" s="451">
        <v>20319975</v>
      </c>
      <c r="AD70" s="451">
        <v>358</v>
      </c>
      <c r="AE70" s="451">
        <v>0</v>
      </c>
      <c r="AF70" s="451">
        <v>0</v>
      </c>
      <c r="AG70" s="451">
        <v>358</v>
      </c>
      <c r="AH70" s="451">
        <v>0</v>
      </c>
      <c r="AI70" s="451">
        <v>0</v>
      </c>
      <c r="AJ70" s="451">
        <v>0</v>
      </c>
      <c r="AK70" s="451">
        <v>0</v>
      </c>
      <c r="AL70" s="451">
        <v>0</v>
      </c>
      <c r="AM70" s="451">
        <v>0</v>
      </c>
      <c r="AN70" s="451">
        <v>358</v>
      </c>
      <c r="AO70" s="451">
        <v>798697</v>
      </c>
      <c r="AP70" s="451">
        <v>184215</v>
      </c>
      <c r="AQ70" s="324"/>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310"/>
      <c r="BY70" s="310"/>
      <c r="BZ70" s="310"/>
      <c r="CA70" s="310"/>
      <c r="CB70" s="310"/>
      <c r="CC70" s="310"/>
      <c r="CD70" s="310"/>
      <c r="CE70" s="310"/>
      <c r="CF70" s="310"/>
      <c r="CG70" s="310"/>
      <c r="CH70" s="310"/>
      <c r="CI70" s="310"/>
      <c r="CJ70" s="310"/>
      <c r="CK70" s="310"/>
      <c r="CL70" s="310"/>
      <c r="CM70" s="310"/>
      <c r="CN70" s="310"/>
      <c r="CO70" s="310"/>
      <c r="CP70" s="310"/>
      <c r="CQ70" s="310"/>
      <c r="CR70" s="310"/>
      <c r="CS70" s="310"/>
      <c r="CT70" s="310"/>
      <c r="CU70" s="310"/>
      <c r="CV70" s="310"/>
      <c r="CW70" s="310"/>
      <c r="CX70" s="310"/>
      <c r="CY70" s="310"/>
      <c r="CZ70" s="310"/>
      <c r="DA70" s="310"/>
      <c r="DB70" s="310"/>
      <c r="DC70" s="310"/>
      <c r="DD70" s="310"/>
      <c r="DE70" s="310"/>
      <c r="DF70" s="310"/>
      <c r="DG70" s="310"/>
      <c r="DH70" s="310"/>
      <c r="DI70" s="310"/>
      <c r="DJ70" s="310"/>
      <c r="DK70" s="310"/>
      <c r="DL70" s="310"/>
      <c r="DM70" s="310"/>
      <c r="DN70" s="310"/>
      <c r="DO70" s="310"/>
      <c r="DP70" s="310"/>
      <c r="DQ70" s="310"/>
      <c r="DR70" s="310"/>
      <c r="DS70" s="310"/>
      <c r="DT70" s="310"/>
      <c r="DU70" s="310"/>
      <c r="DV70" s="310"/>
      <c r="DW70" s="310"/>
      <c r="DX70" s="310"/>
      <c r="DY70" s="310"/>
      <c r="DZ70" s="310"/>
      <c r="EA70" s="310"/>
      <c r="EB70" s="310"/>
      <c r="EC70" s="310"/>
      <c r="ED70" s="310"/>
      <c r="EE70" s="310"/>
      <c r="EF70" s="310"/>
      <c r="EG70" s="310"/>
      <c r="EH70" s="310"/>
      <c r="EI70" s="310"/>
      <c r="EJ70" s="310"/>
      <c r="EK70" s="310"/>
      <c r="EL70" s="310"/>
      <c r="EM70" s="310"/>
      <c r="EN70" s="310"/>
      <c r="EO70" s="310"/>
      <c r="EP70" s="310"/>
      <c r="EQ70" s="310"/>
      <c r="ER70" s="310"/>
      <c r="ES70" s="310"/>
      <c r="ET70" s="310"/>
      <c r="EU70" s="310"/>
      <c r="EV70" s="310"/>
      <c r="EW70" s="310"/>
      <c r="EX70" s="310"/>
      <c r="EY70" s="310"/>
      <c r="EZ70" s="310"/>
      <c r="FA70" s="310"/>
      <c r="FB70" s="310"/>
      <c r="FC70" s="310"/>
      <c r="FD70" s="310"/>
      <c r="FE70" s="311"/>
      <c r="FF70" s="312"/>
    </row>
    <row r="71" spans="1:162" ht="12.75" x14ac:dyDescent="0.2">
      <c r="A71" s="446">
        <v>64</v>
      </c>
      <c r="B71" s="447" t="s">
        <v>6</v>
      </c>
      <c r="C71" s="448" t="s">
        <v>1093</v>
      </c>
      <c r="D71" s="449" t="s">
        <v>1096</v>
      </c>
      <c r="E71" s="450" t="s">
        <v>5</v>
      </c>
      <c r="F71" s="451">
        <v>32228879</v>
      </c>
      <c r="G71" s="451">
        <v>0</v>
      </c>
      <c r="H71" s="451">
        <v>0</v>
      </c>
      <c r="I71" s="451">
        <v>32228879</v>
      </c>
      <c r="J71" s="451">
        <v>50745</v>
      </c>
      <c r="K71" s="451">
        <v>0</v>
      </c>
      <c r="L71" s="451">
        <v>0</v>
      </c>
      <c r="M71" s="451">
        <v>50745</v>
      </c>
      <c r="N71" s="451">
        <v>157641</v>
      </c>
      <c r="O71" s="451">
        <v>0</v>
      </c>
      <c r="P71" s="451">
        <v>0</v>
      </c>
      <c r="Q71" s="451">
        <v>157641</v>
      </c>
      <c r="R71" s="451">
        <v>1135</v>
      </c>
      <c r="S71" s="451">
        <v>0</v>
      </c>
      <c r="T71" s="451">
        <v>0</v>
      </c>
      <c r="U71" s="451">
        <v>1135</v>
      </c>
      <c r="V71" s="451">
        <v>1156764</v>
      </c>
      <c r="W71" s="451">
        <v>0</v>
      </c>
      <c r="X71" s="451">
        <v>0</v>
      </c>
      <c r="Y71" s="451">
        <v>1156764</v>
      </c>
      <c r="Z71" s="451">
        <v>30862594</v>
      </c>
      <c r="AA71" s="451">
        <v>0</v>
      </c>
      <c r="AB71" s="451">
        <v>0</v>
      </c>
      <c r="AC71" s="451">
        <v>30862594</v>
      </c>
      <c r="AD71" s="451">
        <v>0</v>
      </c>
      <c r="AE71" s="451">
        <v>0</v>
      </c>
      <c r="AF71" s="451">
        <v>0</v>
      </c>
      <c r="AG71" s="451">
        <v>0</v>
      </c>
      <c r="AH71" s="451">
        <v>0</v>
      </c>
      <c r="AI71" s="451">
        <v>0</v>
      </c>
      <c r="AJ71" s="451">
        <v>0</v>
      </c>
      <c r="AK71" s="451">
        <v>0</v>
      </c>
      <c r="AL71" s="451">
        <v>0</v>
      </c>
      <c r="AM71" s="451">
        <v>0</v>
      </c>
      <c r="AN71" s="451">
        <v>0</v>
      </c>
      <c r="AO71" s="451">
        <v>2529294</v>
      </c>
      <c r="AP71" s="451">
        <v>852669</v>
      </c>
      <c r="AQ71" s="324"/>
      <c r="AR71" s="310"/>
      <c r="AS71" s="310"/>
      <c r="AT71" s="310"/>
      <c r="AU71" s="310"/>
      <c r="AV71" s="310"/>
      <c r="AW71" s="310"/>
      <c r="AX71" s="310"/>
      <c r="AY71" s="310"/>
      <c r="AZ71" s="310"/>
      <c r="BA71" s="310"/>
      <c r="BB71" s="310"/>
      <c r="BC71" s="310"/>
      <c r="BD71" s="310"/>
      <c r="BE71" s="310"/>
      <c r="BF71" s="310"/>
      <c r="BG71" s="310"/>
      <c r="BH71" s="310"/>
      <c r="BI71" s="310"/>
      <c r="BJ71" s="310"/>
      <c r="BK71" s="310"/>
      <c r="BL71" s="310"/>
      <c r="BM71" s="310"/>
      <c r="BN71" s="310"/>
      <c r="BO71" s="310"/>
      <c r="BP71" s="310"/>
      <c r="BQ71" s="310"/>
      <c r="BR71" s="310"/>
      <c r="BS71" s="310"/>
      <c r="BT71" s="310"/>
      <c r="BU71" s="310"/>
      <c r="BV71" s="310"/>
      <c r="BW71" s="310"/>
      <c r="BX71" s="310"/>
      <c r="BY71" s="310"/>
      <c r="BZ71" s="310"/>
      <c r="CA71" s="310"/>
      <c r="CB71" s="310"/>
      <c r="CC71" s="310"/>
      <c r="CD71" s="310"/>
      <c r="CE71" s="310"/>
      <c r="CF71" s="310"/>
      <c r="CG71" s="310"/>
      <c r="CH71" s="310"/>
      <c r="CI71" s="310"/>
      <c r="CJ71" s="310"/>
      <c r="CK71" s="310"/>
      <c r="CL71" s="310"/>
      <c r="CM71" s="310"/>
      <c r="CN71" s="310"/>
      <c r="CO71" s="310"/>
      <c r="CP71" s="310"/>
      <c r="CQ71" s="310"/>
      <c r="CR71" s="310"/>
      <c r="CS71" s="310"/>
      <c r="CT71" s="310"/>
      <c r="CU71" s="310"/>
      <c r="CV71" s="310"/>
      <c r="CW71" s="310"/>
      <c r="CX71" s="310"/>
      <c r="CY71" s="310"/>
      <c r="CZ71" s="310"/>
      <c r="DA71" s="310"/>
      <c r="DB71" s="310"/>
      <c r="DC71" s="310"/>
      <c r="DD71" s="310"/>
      <c r="DE71" s="310"/>
      <c r="DF71" s="310"/>
      <c r="DG71" s="310"/>
      <c r="DH71" s="310"/>
      <c r="DI71" s="310"/>
      <c r="DJ71" s="310"/>
      <c r="DK71" s="310"/>
      <c r="DL71" s="310"/>
      <c r="DM71" s="310"/>
      <c r="DN71" s="310"/>
      <c r="DO71" s="310"/>
      <c r="DP71" s="310"/>
      <c r="DQ71" s="310"/>
      <c r="DR71" s="310"/>
      <c r="DS71" s="310"/>
      <c r="DT71" s="310"/>
      <c r="DU71" s="310"/>
      <c r="DV71" s="310"/>
      <c r="DW71" s="310"/>
      <c r="DX71" s="310"/>
      <c r="DY71" s="310"/>
      <c r="DZ71" s="310"/>
      <c r="EA71" s="310"/>
      <c r="EB71" s="310"/>
      <c r="EC71" s="310"/>
      <c r="ED71" s="310"/>
      <c r="EE71" s="310"/>
      <c r="EF71" s="310"/>
      <c r="EG71" s="310"/>
      <c r="EH71" s="310"/>
      <c r="EI71" s="310"/>
      <c r="EJ71" s="310"/>
      <c r="EK71" s="310"/>
      <c r="EL71" s="310"/>
      <c r="EM71" s="310"/>
      <c r="EN71" s="310"/>
      <c r="EO71" s="310"/>
      <c r="EP71" s="310"/>
      <c r="EQ71" s="310"/>
      <c r="ER71" s="310"/>
      <c r="ES71" s="310"/>
      <c r="ET71" s="310"/>
      <c r="EU71" s="310"/>
      <c r="EV71" s="310"/>
      <c r="EW71" s="310"/>
      <c r="EX71" s="310"/>
      <c r="EY71" s="310"/>
      <c r="EZ71" s="310"/>
      <c r="FA71" s="310"/>
      <c r="FB71" s="310"/>
      <c r="FC71" s="310"/>
      <c r="FD71" s="310"/>
      <c r="FE71" s="311"/>
      <c r="FF71" s="312"/>
    </row>
    <row r="72" spans="1:162" ht="12.75" x14ac:dyDescent="0.2">
      <c r="A72" s="446">
        <v>65</v>
      </c>
      <c r="B72" s="447" t="s">
        <v>8</v>
      </c>
      <c r="C72" s="448" t="s">
        <v>794</v>
      </c>
      <c r="D72" s="449" t="s">
        <v>1102</v>
      </c>
      <c r="E72" s="450" t="s">
        <v>7</v>
      </c>
      <c r="F72" s="451">
        <v>151151230</v>
      </c>
      <c r="G72" s="451">
        <v>0</v>
      </c>
      <c r="H72" s="451">
        <v>347172</v>
      </c>
      <c r="I72" s="451">
        <v>151498402</v>
      </c>
      <c r="J72" s="451">
        <v>830126</v>
      </c>
      <c r="K72" s="451">
        <v>0</v>
      </c>
      <c r="L72" s="451">
        <v>13397</v>
      </c>
      <c r="M72" s="451">
        <v>843523</v>
      </c>
      <c r="N72" s="451">
        <v>843340</v>
      </c>
      <c r="O72" s="451">
        <v>0</v>
      </c>
      <c r="P72" s="451">
        <v>0</v>
      </c>
      <c r="Q72" s="451">
        <v>843340</v>
      </c>
      <c r="R72" s="451">
        <v>2084000</v>
      </c>
      <c r="S72" s="451">
        <v>0</v>
      </c>
      <c r="T72" s="451">
        <v>0</v>
      </c>
      <c r="U72" s="451">
        <v>2084000</v>
      </c>
      <c r="V72" s="451">
        <v>6254000</v>
      </c>
      <c r="W72" s="451">
        <v>0</v>
      </c>
      <c r="X72" s="451">
        <v>0</v>
      </c>
      <c r="Y72" s="451">
        <v>6254000</v>
      </c>
      <c r="Z72" s="451">
        <v>141139764</v>
      </c>
      <c r="AA72" s="451">
        <v>0</v>
      </c>
      <c r="AB72" s="451">
        <v>333775</v>
      </c>
      <c r="AC72" s="451">
        <v>141473539</v>
      </c>
      <c r="AD72" s="451">
        <v>136761</v>
      </c>
      <c r="AE72" s="451">
        <v>0</v>
      </c>
      <c r="AF72" s="451">
        <v>0</v>
      </c>
      <c r="AG72" s="451">
        <v>136761</v>
      </c>
      <c r="AH72" s="451">
        <v>0</v>
      </c>
      <c r="AI72" s="451">
        <v>6</v>
      </c>
      <c r="AJ72" s="451">
        <v>0</v>
      </c>
      <c r="AK72" s="451">
        <v>413286</v>
      </c>
      <c r="AL72" s="451">
        <v>0</v>
      </c>
      <c r="AM72" s="451">
        <v>0</v>
      </c>
      <c r="AN72" s="451">
        <v>136761</v>
      </c>
      <c r="AO72" s="451">
        <v>8877456</v>
      </c>
      <c r="AP72" s="451">
        <v>5203588</v>
      </c>
      <c r="AQ72" s="324"/>
      <c r="AR72" s="310"/>
      <c r="AS72" s="310"/>
      <c r="AT72" s="310"/>
      <c r="AU72" s="310"/>
      <c r="AV72" s="310"/>
      <c r="AW72" s="310"/>
      <c r="AX72" s="310"/>
      <c r="AY72" s="310"/>
      <c r="AZ72" s="310"/>
      <c r="BA72" s="310"/>
      <c r="BB72" s="310"/>
      <c r="BC72" s="310"/>
      <c r="BD72" s="310"/>
      <c r="BE72" s="310"/>
      <c r="BF72" s="310"/>
      <c r="BG72" s="310"/>
      <c r="BH72" s="310"/>
      <c r="BI72" s="310"/>
      <c r="BJ72" s="310"/>
      <c r="BK72" s="310"/>
      <c r="BL72" s="310"/>
      <c r="BM72" s="310"/>
      <c r="BN72" s="310"/>
      <c r="BO72" s="310"/>
      <c r="BP72" s="310"/>
      <c r="BQ72" s="310"/>
      <c r="BR72" s="310"/>
      <c r="BS72" s="310"/>
      <c r="BT72" s="310"/>
      <c r="BU72" s="310"/>
      <c r="BV72" s="310"/>
      <c r="BW72" s="310"/>
      <c r="BX72" s="310"/>
      <c r="BY72" s="310"/>
      <c r="BZ72" s="310"/>
      <c r="CA72" s="310"/>
      <c r="CB72" s="310"/>
      <c r="CC72" s="310"/>
      <c r="CD72" s="310"/>
      <c r="CE72" s="310"/>
      <c r="CF72" s="310"/>
      <c r="CG72" s="310"/>
      <c r="CH72" s="310"/>
      <c r="CI72" s="310"/>
      <c r="CJ72" s="310"/>
      <c r="CK72" s="310"/>
      <c r="CL72" s="310"/>
      <c r="CM72" s="310"/>
      <c r="CN72" s="310"/>
      <c r="CO72" s="310"/>
      <c r="CP72" s="310"/>
      <c r="CQ72" s="310"/>
      <c r="CR72" s="310"/>
      <c r="CS72" s="310"/>
      <c r="CT72" s="310"/>
      <c r="CU72" s="310"/>
      <c r="CV72" s="310"/>
      <c r="CW72" s="310"/>
      <c r="CX72" s="310"/>
      <c r="CY72" s="310"/>
      <c r="CZ72" s="310"/>
      <c r="DA72" s="310"/>
      <c r="DB72" s="310"/>
      <c r="DC72" s="310"/>
      <c r="DD72" s="310"/>
      <c r="DE72" s="310"/>
      <c r="DF72" s="310"/>
      <c r="DG72" s="310"/>
      <c r="DH72" s="310"/>
      <c r="DI72" s="310"/>
      <c r="DJ72" s="310"/>
      <c r="DK72" s="310"/>
      <c r="DL72" s="310"/>
      <c r="DM72" s="310"/>
      <c r="DN72" s="310"/>
      <c r="DO72" s="310"/>
      <c r="DP72" s="310"/>
      <c r="DQ72" s="310"/>
      <c r="DR72" s="310"/>
      <c r="DS72" s="310"/>
      <c r="DT72" s="310"/>
      <c r="DU72" s="310"/>
      <c r="DV72" s="310"/>
      <c r="DW72" s="310"/>
      <c r="DX72" s="310"/>
      <c r="DY72" s="310"/>
      <c r="DZ72" s="310"/>
      <c r="EA72" s="310"/>
      <c r="EB72" s="310"/>
      <c r="EC72" s="310"/>
      <c r="ED72" s="310"/>
      <c r="EE72" s="310"/>
      <c r="EF72" s="310"/>
      <c r="EG72" s="310"/>
      <c r="EH72" s="310"/>
      <c r="EI72" s="310"/>
      <c r="EJ72" s="310"/>
      <c r="EK72" s="310"/>
      <c r="EL72" s="310"/>
      <c r="EM72" s="310"/>
      <c r="EN72" s="310"/>
      <c r="EO72" s="310"/>
      <c r="EP72" s="310"/>
      <c r="EQ72" s="310"/>
      <c r="ER72" s="310"/>
      <c r="ES72" s="310"/>
      <c r="ET72" s="310"/>
      <c r="EU72" s="310"/>
      <c r="EV72" s="310"/>
      <c r="EW72" s="310"/>
      <c r="EX72" s="310"/>
      <c r="EY72" s="310"/>
      <c r="EZ72" s="310"/>
      <c r="FA72" s="310"/>
      <c r="FB72" s="310"/>
      <c r="FC72" s="310"/>
      <c r="FD72" s="310"/>
      <c r="FE72" s="311"/>
      <c r="FF72" s="312"/>
    </row>
    <row r="73" spans="1:162" ht="12.75" x14ac:dyDescent="0.2">
      <c r="A73" s="446">
        <v>66</v>
      </c>
      <c r="B73" s="447" t="s">
        <v>10</v>
      </c>
      <c r="C73" s="448" t="s">
        <v>1093</v>
      </c>
      <c r="D73" s="449" t="s">
        <v>1102</v>
      </c>
      <c r="E73" s="450" t="s">
        <v>9</v>
      </c>
      <c r="F73" s="451">
        <v>28424970</v>
      </c>
      <c r="G73" s="451">
        <v>0</v>
      </c>
      <c r="H73" s="451">
        <v>0</v>
      </c>
      <c r="I73" s="451">
        <v>28424970</v>
      </c>
      <c r="J73" s="451">
        <v>123101</v>
      </c>
      <c r="K73" s="451">
        <v>0</v>
      </c>
      <c r="L73" s="451">
        <v>0</v>
      </c>
      <c r="M73" s="451">
        <v>123101</v>
      </c>
      <c r="N73" s="451">
        <v>47943</v>
      </c>
      <c r="O73" s="451">
        <v>0</v>
      </c>
      <c r="P73" s="451">
        <v>0</v>
      </c>
      <c r="Q73" s="451">
        <v>47943</v>
      </c>
      <c r="R73" s="451">
        <v>287237</v>
      </c>
      <c r="S73" s="451">
        <v>0</v>
      </c>
      <c r="T73" s="451">
        <v>0</v>
      </c>
      <c r="U73" s="451">
        <v>287237</v>
      </c>
      <c r="V73" s="451">
        <v>880455</v>
      </c>
      <c r="W73" s="451">
        <v>0</v>
      </c>
      <c r="X73" s="451">
        <v>0</v>
      </c>
      <c r="Y73" s="451">
        <v>880455</v>
      </c>
      <c r="Z73" s="451">
        <v>27086234</v>
      </c>
      <c r="AA73" s="451">
        <v>0</v>
      </c>
      <c r="AB73" s="451">
        <v>0</v>
      </c>
      <c r="AC73" s="451">
        <v>27086234</v>
      </c>
      <c r="AD73" s="451">
        <v>0</v>
      </c>
      <c r="AE73" s="451">
        <v>0</v>
      </c>
      <c r="AF73" s="451">
        <v>0</v>
      </c>
      <c r="AG73" s="451">
        <v>0</v>
      </c>
      <c r="AH73" s="451">
        <v>0</v>
      </c>
      <c r="AI73" s="451">
        <v>0</v>
      </c>
      <c r="AJ73" s="451">
        <v>0</v>
      </c>
      <c r="AK73" s="451">
        <v>0</v>
      </c>
      <c r="AL73" s="451">
        <v>0</v>
      </c>
      <c r="AM73" s="451">
        <v>0</v>
      </c>
      <c r="AN73" s="451">
        <v>0</v>
      </c>
      <c r="AO73" s="451">
        <v>724495</v>
      </c>
      <c r="AP73" s="451">
        <v>360980</v>
      </c>
      <c r="AQ73" s="324"/>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310"/>
      <c r="BY73" s="310"/>
      <c r="BZ73" s="310"/>
      <c r="CA73" s="310"/>
      <c r="CB73" s="310"/>
      <c r="CC73" s="310"/>
      <c r="CD73" s="310"/>
      <c r="CE73" s="310"/>
      <c r="CF73" s="310"/>
      <c r="CG73" s="310"/>
      <c r="CH73" s="310"/>
      <c r="CI73" s="310"/>
      <c r="CJ73" s="310"/>
      <c r="CK73" s="310"/>
      <c r="CL73" s="310"/>
      <c r="CM73" s="310"/>
      <c r="CN73" s="310"/>
      <c r="CO73" s="310"/>
      <c r="CP73" s="310"/>
      <c r="CQ73" s="310"/>
      <c r="CR73" s="310"/>
      <c r="CS73" s="310"/>
      <c r="CT73" s="310"/>
      <c r="CU73" s="310"/>
      <c r="CV73" s="310"/>
      <c r="CW73" s="310"/>
      <c r="CX73" s="310"/>
      <c r="CY73" s="310"/>
      <c r="CZ73" s="310"/>
      <c r="DA73" s="310"/>
      <c r="DB73" s="310"/>
      <c r="DC73" s="310"/>
      <c r="DD73" s="310"/>
      <c r="DE73" s="310"/>
      <c r="DF73" s="310"/>
      <c r="DG73" s="310"/>
      <c r="DH73" s="310"/>
      <c r="DI73" s="310"/>
      <c r="DJ73" s="310"/>
      <c r="DK73" s="310"/>
      <c r="DL73" s="310"/>
      <c r="DM73" s="310"/>
      <c r="DN73" s="310"/>
      <c r="DO73" s="310"/>
      <c r="DP73" s="310"/>
      <c r="DQ73" s="310"/>
      <c r="DR73" s="310"/>
      <c r="DS73" s="310"/>
      <c r="DT73" s="310"/>
      <c r="DU73" s="310"/>
      <c r="DV73" s="310"/>
      <c r="DW73" s="310"/>
      <c r="DX73" s="310"/>
      <c r="DY73" s="310"/>
      <c r="DZ73" s="310"/>
      <c r="EA73" s="310"/>
      <c r="EB73" s="310"/>
      <c r="EC73" s="310"/>
      <c r="ED73" s="310"/>
      <c r="EE73" s="310"/>
      <c r="EF73" s="310"/>
      <c r="EG73" s="310"/>
      <c r="EH73" s="310"/>
      <c r="EI73" s="310"/>
      <c r="EJ73" s="310"/>
      <c r="EK73" s="310"/>
      <c r="EL73" s="310"/>
      <c r="EM73" s="310"/>
      <c r="EN73" s="310"/>
      <c r="EO73" s="310"/>
      <c r="EP73" s="310"/>
      <c r="EQ73" s="310"/>
      <c r="ER73" s="310"/>
      <c r="ES73" s="310"/>
      <c r="ET73" s="310"/>
      <c r="EU73" s="310"/>
      <c r="EV73" s="310"/>
      <c r="EW73" s="310"/>
      <c r="EX73" s="310"/>
      <c r="EY73" s="310"/>
      <c r="EZ73" s="310"/>
      <c r="FA73" s="310"/>
      <c r="FB73" s="310"/>
      <c r="FC73" s="310"/>
      <c r="FD73" s="310"/>
      <c r="FE73" s="311"/>
      <c r="FF73" s="312"/>
    </row>
    <row r="74" spans="1:162" ht="12.75" x14ac:dyDescent="0.2">
      <c r="A74" s="446">
        <v>67</v>
      </c>
      <c r="B74" s="447" t="s">
        <v>12</v>
      </c>
      <c r="C74" s="448" t="s">
        <v>1100</v>
      </c>
      <c r="D74" s="449" t="s">
        <v>1103</v>
      </c>
      <c r="E74" s="450" t="s">
        <v>11</v>
      </c>
      <c r="F74" s="451">
        <v>116903914</v>
      </c>
      <c r="G74" s="451">
        <v>0</v>
      </c>
      <c r="H74" s="451">
        <v>0</v>
      </c>
      <c r="I74" s="451">
        <v>116903914</v>
      </c>
      <c r="J74" s="451">
        <v>1142556</v>
      </c>
      <c r="K74" s="451">
        <v>0</v>
      </c>
      <c r="L74" s="451">
        <v>0</v>
      </c>
      <c r="M74" s="451">
        <v>1142556</v>
      </c>
      <c r="N74" s="451">
        <v>308845</v>
      </c>
      <c r="O74" s="451">
        <v>0</v>
      </c>
      <c r="P74" s="451">
        <v>0</v>
      </c>
      <c r="Q74" s="451">
        <v>308845</v>
      </c>
      <c r="R74" s="451">
        <v>5660061</v>
      </c>
      <c r="S74" s="451">
        <v>0</v>
      </c>
      <c r="T74" s="451">
        <v>0</v>
      </c>
      <c r="U74" s="451">
        <v>5660061</v>
      </c>
      <c r="V74" s="451">
        <v>4528240</v>
      </c>
      <c r="W74" s="451">
        <v>0</v>
      </c>
      <c r="X74" s="451">
        <v>0</v>
      </c>
      <c r="Y74" s="451">
        <v>4528240</v>
      </c>
      <c r="Z74" s="451">
        <v>105264212</v>
      </c>
      <c r="AA74" s="451">
        <v>0</v>
      </c>
      <c r="AB74" s="451">
        <v>0</v>
      </c>
      <c r="AC74" s="451">
        <v>105264212</v>
      </c>
      <c r="AD74" s="451">
        <v>0</v>
      </c>
      <c r="AE74" s="451">
        <v>0</v>
      </c>
      <c r="AF74" s="451">
        <v>0</v>
      </c>
      <c r="AG74" s="451">
        <v>0</v>
      </c>
      <c r="AH74" s="451">
        <v>0</v>
      </c>
      <c r="AI74" s="451">
        <v>0</v>
      </c>
      <c r="AJ74" s="451">
        <v>0</v>
      </c>
      <c r="AK74" s="451">
        <v>0</v>
      </c>
      <c r="AL74" s="451">
        <v>0</v>
      </c>
      <c r="AM74" s="451">
        <v>0</v>
      </c>
      <c r="AN74" s="451">
        <v>0</v>
      </c>
      <c r="AO74" s="451">
        <v>6469524</v>
      </c>
      <c r="AP74" s="451">
        <v>2416831</v>
      </c>
      <c r="AQ74" s="324"/>
      <c r="AR74" s="310"/>
      <c r="AS74" s="310"/>
      <c r="AT74" s="310"/>
      <c r="AU74" s="310"/>
      <c r="AV74" s="310"/>
      <c r="AW74" s="310"/>
      <c r="AX74" s="310"/>
      <c r="AY74" s="310"/>
      <c r="AZ74" s="310"/>
      <c r="BA74" s="310"/>
      <c r="BB74" s="310"/>
      <c r="BC74" s="310"/>
      <c r="BD74" s="310"/>
      <c r="BE74" s="310"/>
      <c r="BF74" s="310"/>
      <c r="BG74" s="310"/>
      <c r="BH74" s="310"/>
      <c r="BI74" s="310"/>
      <c r="BJ74" s="310"/>
      <c r="BK74" s="310"/>
      <c r="BL74" s="310"/>
      <c r="BM74" s="310"/>
      <c r="BN74" s="310"/>
      <c r="BO74" s="310"/>
      <c r="BP74" s="310"/>
      <c r="BQ74" s="310"/>
      <c r="BR74" s="310"/>
      <c r="BS74" s="310"/>
      <c r="BT74" s="310"/>
      <c r="BU74" s="310"/>
      <c r="BV74" s="310"/>
      <c r="BW74" s="310"/>
      <c r="BX74" s="310"/>
      <c r="BY74" s="310"/>
      <c r="BZ74" s="310"/>
      <c r="CA74" s="310"/>
      <c r="CB74" s="310"/>
      <c r="CC74" s="310"/>
      <c r="CD74" s="310"/>
      <c r="CE74" s="310"/>
      <c r="CF74" s="310"/>
      <c r="CG74" s="310"/>
      <c r="CH74" s="310"/>
      <c r="CI74" s="310"/>
      <c r="CJ74" s="310"/>
      <c r="CK74" s="310"/>
      <c r="CL74" s="310"/>
      <c r="CM74" s="310"/>
      <c r="CN74" s="310"/>
      <c r="CO74" s="310"/>
      <c r="CP74" s="310"/>
      <c r="CQ74" s="310"/>
      <c r="CR74" s="310"/>
      <c r="CS74" s="310"/>
      <c r="CT74" s="310"/>
      <c r="CU74" s="310"/>
      <c r="CV74" s="310"/>
      <c r="CW74" s="310"/>
      <c r="CX74" s="310"/>
      <c r="CY74" s="310"/>
      <c r="CZ74" s="310"/>
      <c r="DA74" s="310"/>
      <c r="DB74" s="310"/>
      <c r="DC74" s="310"/>
      <c r="DD74" s="310"/>
      <c r="DE74" s="310"/>
      <c r="DF74" s="310"/>
      <c r="DG74" s="310"/>
      <c r="DH74" s="310"/>
      <c r="DI74" s="310"/>
      <c r="DJ74" s="310"/>
      <c r="DK74" s="310"/>
      <c r="DL74" s="310"/>
      <c r="DM74" s="310"/>
      <c r="DN74" s="310"/>
      <c r="DO74" s="310"/>
      <c r="DP74" s="310"/>
      <c r="DQ74" s="310"/>
      <c r="DR74" s="310"/>
      <c r="DS74" s="310"/>
      <c r="DT74" s="310"/>
      <c r="DU74" s="310"/>
      <c r="DV74" s="310"/>
      <c r="DW74" s="310"/>
      <c r="DX74" s="310"/>
      <c r="DY74" s="310"/>
      <c r="DZ74" s="310"/>
      <c r="EA74" s="310"/>
      <c r="EB74" s="310"/>
      <c r="EC74" s="310"/>
      <c r="ED74" s="310"/>
      <c r="EE74" s="310"/>
      <c r="EF74" s="310"/>
      <c r="EG74" s="310"/>
      <c r="EH74" s="310"/>
      <c r="EI74" s="310"/>
      <c r="EJ74" s="310"/>
      <c r="EK74" s="310"/>
      <c r="EL74" s="310"/>
      <c r="EM74" s="310"/>
      <c r="EN74" s="310"/>
      <c r="EO74" s="310"/>
      <c r="EP74" s="310"/>
      <c r="EQ74" s="310"/>
      <c r="ER74" s="310"/>
      <c r="ES74" s="310"/>
      <c r="ET74" s="310"/>
      <c r="EU74" s="310"/>
      <c r="EV74" s="310"/>
      <c r="EW74" s="310"/>
      <c r="EX74" s="310"/>
      <c r="EY74" s="310"/>
      <c r="EZ74" s="310"/>
      <c r="FA74" s="310"/>
      <c r="FB74" s="310"/>
      <c r="FC74" s="310"/>
      <c r="FD74" s="310"/>
      <c r="FE74" s="311"/>
      <c r="FF74" s="312"/>
    </row>
    <row r="75" spans="1:162" ht="12.75" x14ac:dyDescent="0.2">
      <c r="A75" s="446">
        <v>68</v>
      </c>
      <c r="B75" s="447" t="s">
        <v>14</v>
      </c>
      <c r="C75" s="448" t="s">
        <v>1093</v>
      </c>
      <c r="D75" s="449" t="s">
        <v>1101</v>
      </c>
      <c r="E75" s="450" t="s">
        <v>13</v>
      </c>
      <c r="F75" s="451">
        <v>17824415</v>
      </c>
      <c r="G75" s="451">
        <v>0</v>
      </c>
      <c r="H75" s="451">
        <v>0</v>
      </c>
      <c r="I75" s="451">
        <v>17824415</v>
      </c>
      <c r="J75" s="451">
        <v>101056.77</v>
      </c>
      <c r="K75" s="451">
        <v>0</v>
      </c>
      <c r="L75" s="451">
        <v>0</v>
      </c>
      <c r="M75" s="451">
        <v>101056.77</v>
      </c>
      <c r="N75" s="451">
        <v>64550</v>
      </c>
      <c r="O75" s="451">
        <v>0</v>
      </c>
      <c r="P75" s="451">
        <v>0</v>
      </c>
      <c r="Q75" s="451">
        <v>64550</v>
      </c>
      <c r="R75" s="451">
        <v>318000</v>
      </c>
      <c r="S75" s="451">
        <v>0</v>
      </c>
      <c r="T75" s="451">
        <v>0</v>
      </c>
      <c r="U75" s="451">
        <v>318000</v>
      </c>
      <c r="V75" s="451">
        <v>881000</v>
      </c>
      <c r="W75" s="451">
        <v>0</v>
      </c>
      <c r="X75" s="451">
        <v>0</v>
      </c>
      <c r="Y75" s="451">
        <v>881000</v>
      </c>
      <c r="Z75" s="451">
        <v>16459808</v>
      </c>
      <c r="AA75" s="451">
        <v>0</v>
      </c>
      <c r="AB75" s="451">
        <v>0</v>
      </c>
      <c r="AC75" s="451">
        <v>16459808</v>
      </c>
      <c r="AD75" s="451">
        <v>0</v>
      </c>
      <c r="AE75" s="451">
        <v>0</v>
      </c>
      <c r="AF75" s="451">
        <v>0</v>
      </c>
      <c r="AG75" s="451">
        <v>0</v>
      </c>
      <c r="AH75" s="451">
        <v>0</v>
      </c>
      <c r="AI75" s="451">
        <v>0</v>
      </c>
      <c r="AJ75" s="451">
        <v>0</v>
      </c>
      <c r="AK75" s="451">
        <v>0</v>
      </c>
      <c r="AL75" s="451">
        <v>0</v>
      </c>
      <c r="AM75" s="451">
        <v>0</v>
      </c>
      <c r="AN75" s="451">
        <v>0</v>
      </c>
      <c r="AO75" s="451">
        <v>622216</v>
      </c>
      <c r="AP75" s="451">
        <v>100400</v>
      </c>
      <c r="AQ75" s="324"/>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310"/>
      <c r="CA75" s="310"/>
      <c r="CB75" s="310"/>
      <c r="CC75" s="310"/>
      <c r="CD75" s="310"/>
      <c r="CE75" s="310"/>
      <c r="CF75" s="310"/>
      <c r="CG75" s="310"/>
      <c r="CH75" s="310"/>
      <c r="CI75" s="310"/>
      <c r="CJ75" s="310"/>
      <c r="CK75" s="310"/>
      <c r="CL75" s="310"/>
      <c r="CM75" s="310"/>
      <c r="CN75" s="310"/>
      <c r="CO75" s="310"/>
      <c r="CP75" s="310"/>
      <c r="CQ75" s="310"/>
      <c r="CR75" s="310"/>
      <c r="CS75" s="310"/>
      <c r="CT75" s="310"/>
      <c r="CU75" s="310"/>
      <c r="CV75" s="310"/>
      <c r="CW75" s="310"/>
      <c r="CX75" s="310"/>
      <c r="CY75" s="310"/>
      <c r="CZ75" s="310"/>
      <c r="DA75" s="310"/>
      <c r="DB75" s="310"/>
      <c r="DC75" s="310"/>
      <c r="DD75" s="310"/>
      <c r="DE75" s="310"/>
      <c r="DF75" s="310"/>
      <c r="DG75" s="310"/>
      <c r="DH75" s="310"/>
      <c r="DI75" s="310"/>
      <c r="DJ75" s="310"/>
      <c r="DK75" s="310"/>
      <c r="DL75" s="310"/>
      <c r="DM75" s="310"/>
      <c r="DN75" s="310"/>
      <c r="DO75" s="310"/>
      <c r="DP75" s="310"/>
      <c r="DQ75" s="310"/>
      <c r="DR75" s="310"/>
      <c r="DS75" s="310"/>
      <c r="DT75" s="310"/>
      <c r="DU75" s="310"/>
      <c r="DV75" s="310"/>
      <c r="DW75" s="310"/>
      <c r="DX75" s="310"/>
      <c r="DY75" s="310"/>
      <c r="DZ75" s="310"/>
      <c r="EA75" s="310"/>
      <c r="EB75" s="310"/>
      <c r="EC75" s="310"/>
      <c r="ED75" s="310"/>
      <c r="EE75" s="310"/>
      <c r="EF75" s="310"/>
      <c r="EG75" s="310"/>
      <c r="EH75" s="310"/>
      <c r="EI75" s="310"/>
      <c r="EJ75" s="310"/>
      <c r="EK75" s="310"/>
      <c r="EL75" s="310"/>
      <c r="EM75" s="310"/>
      <c r="EN75" s="310"/>
      <c r="EO75" s="310"/>
      <c r="EP75" s="310"/>
      <c r="EQ75" s="310"/>
      <c r="ER75" s="310"/>
      <c r="ES75" s="310"/>
      <c r="ET75" s="310"/>
      <c r="EU75" s="310"/>
      <c r="EV75" s="310"/>
      <c r="EW75" s="310"/>
      <c r="EX75" s="310"/>
      <c r="EY75" s="310"/>
      <c r="EZ75" s="310"/>
      <c r="FA75" s="310"/>
      <c r="FB75" s="310"/>
      <c r="FC75" s="310"/>
      <c r="FD75" s="310"/>
      <c r="FE75" s="311"/>
      <c r="FF75" s="312"/>
    </row>
    <row r="76" spans="1:162" ht="12.75" x14ac:dyDescent="0.2">
      <c r="A76" s="446">
        <v>69</v>
      </c>
      <c r="B76" s="447" t="s">
        <v>16</v>
      </c>
      <c r="C76" s="448" t="s">
        <v>1093</v>
      </c>
      <c r="D76" s="449" t="s">
        <v>1094</v>
      </c>
      <c r="E76" s="450" t="s">
        <v>15</v>
      </c>
      <c r="F76" s="451">
        <v>112686297</v>
      </c>
      <c r="G76" s="451">
        <v>0</v>
      </c>
      <c r="H76" s="451">
        <v>0</v>
      </c>
      <c r="I76" s="451">
        <v>112686297</v>
      </c>
      <c r="J76" s="451">
        <v>592812</v>
      </c>
      <c r="K76" s="451">
        <v>0</v>
      </c>
      <c r="L76" s="451">
        <v>0</v>
      </c>
      <c r="M76" s="451">
        <v>592812</v>
      </c>
      <c r="N76" s="451">
        <v>-446001</v>
      </c>
      <c r="O76" s="451">
        <v>0</v>
      </c>
      <c r="P76" s="451">
        <v>0</v>
      </c>
      <c r="Q76" s="451">
        <v>-446001</v>
      </c>
      <c r="R76" s="451">
        <v>1697291</v>
      </c>
      <c r="S76" s="451">
        <v>0</v>
      </c>
      <c r="T76" s="451">
        <v>0</v>
      </c>
      <c r="U76" s="451">
        <v>1697291</v>
      </c>
      <c r="V76" s="451">
        <v>3870086</v>
      </c>
      <c r="W76" s="451">
        <v>0</v>
      </c>
      <c r="X76" s="451">
        <v>0</v>
      </c>
      <c r="Y76" s="451">
        <v>3870086</v>
      </c>
      <c r="Z76" s="451">
        <v>106972109</v>
      </c>
      <c r="AA76" s="451">
        <v>0</v>
      </c>
      <c r="AB76" s="451">
        <v>0</v>
      </c>
      <c r="AC76" s="451">
        <v>106972109</v>
      </c>
      <c r="AD76" s="451">
        <v>0</v>
      </c>
      <c r="AE76" s="451">
        <v>0</v>
      </c>
      <c r="AF76" s="451">
        <v>0</v>
      </c>
      <c r="AG76" s="451">
        <v>0</v>
      </c>
      <c r="AH76" s="451">
        <v>0</v>
      </c>
      <c r="AI76" s="451">
        <v>0</v>
      </c>
      <c r="AJ76" s="451">
        <v>0</v>
      </c>
      <c r="AK76" s="451">
        <v>0</v>
      </c>
      <c r="AL76" s="451">
        <v>0</v>
      </c>
      <c r="AM76" s="451">
        <v>0</v>
      </c>
      <c r="AN76" s="451">
        <v>0</v>
      </c>
      <c r="AO76" s="451">
        <v>1462710</v>
      </c>
      <c r="AP76" s="451">
        <v>3425944</v>
      </c>
      <c r="AQ76" s="324"/>
      <c r="AR76" s="310"/>
      <c r="AS76" s="310"/>
      <c r="AT76" s="310"/>
      <c r="AU76" s="310"/>
      <c r="AV76" s="310"/>
      <c r="AW76" s="310"/>
      <c r="AX76" s="310"/>
      <c r="AY76" s="310"/>
      <c r="AZ76" s="310"/>
      <c r="BA76" s="310"/>
      <c r="BB76" s="310"/>
      <c r="BC76" s="310"/>
      <c r="BD76" s="310"/>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0"/>
      <c r="CC76" s="310"/>
      <c r="CD76" s="310"/>
      <c r="CE76" s="310"/>
      <c r="CF76" s="310"/>
      <c r="CG76" s="310"/>
      <c r="CH76" s="310"/>
      <c r="CI76" s="310"/>
      <c r="CJ76" s="310"/>
      <c r="CK76" s="310"/>
      <c r="CL76" s="310"/>
      <c r="CM76" s="310"/>
      <c r="CN76" s="310"/>
      <c r="CO76" s="310"/>
      <c r="CP76" s="310"/>
      <c r="CQ76" s="310"/>
      <c r="CR76" s="310"/>
      <c r="CS76" s="310"/>
      <c r="CT76" s="310"/>
      <c r="CU76" s="310"/>
      <c r="CV76" s="310"/>
      <c r="CW76" s="310"/>
      <c r="CX76" s="310"/>
      <c r="CY76" s="310"/>
      <c r="CZ76" s="310"/>
      <c r="DA76" s="310"/>
      <c r="DB76" s="310"/>
      <c r="DC76" s="310"/>
      <c r="DD76" s="310"/>
      <c r="DE76" s="310"/>
      <c r="DF76" s="310"/>
      <c r="DG76" s="310"/>
      <c r="DH76" s="310"/>
      <c r="DI76" s="310"/>
      <c r="DJ76" s="310"/>
      <c r="DK76" s="310"/>
      <c r="DL76" s="310"/>
      <c r="DM76" s="310"/>
      <c r="DN76" s="310"/>
      <c r="DO76" s="310"/>
      <c r="DP76" s="310"/>
      <c r="DQ76" s="310"/>
      <c r="DR76" s="310"/>
      <c r="DS76" s="310"/>
      <c r="DT76" s="310"/>
      <c r="DU76" s="310"/>
      <c r="DV76" s="310"/>
      <c r="DW76" s="310"/>
      <c r="DX76" s="310"/>
      <c r="DY76" s="310"/>
      <c r="DZ76" s="310"/>
      <c r="EA76" s="310"/>
      <c r="EB76" s="310"/>
      <c r="EC76" s="310"/>
      <c r="ED76" s="310"/>
      <c r="EE76" s="310"/>
      <c r="EF76" s="310"/>
      <c r="EG76" s="310"/>
      <c r="EH76" s="310"/>
      <c r="EI76" s="310"/>
      <c r="EJ76" s="310"/>
      <c r="EK76" s="310"/>
      <c r="EL76" s="310"/>
      <c r="EM76" s="310"/>
      <c r="EN76" s="310"/>
      <c r="EO76" s="310"/>
      <c r="EP76" s="310"/>
      <c r="EQ76" s="310"/>
      <c r="ER76" s="310"/>
      <c r="ES76" s="310"/>
      <c r="ET76" s="310"/>
      <c r="EU76" s="310"/>
      <c r="EV76" s="310"/>
      <c r="EW76" s="310"/>
      <c r="EX76" s="310"/>
      <c r="EY76" s="310"/>
      <c r="EZ76" s="310"/>
      <c r="FA76" s="310"/>
      <c r="FB76" s="310"/>
      <c r="FC76" s="310"/>
      <c r="FD76" s="310"/>
      <c r="FE76" s="311"/>
      <c r="FF76" s="312"/>
    </row>
    <row r="77" spans="1:162" ht="12.75" x14ac:dyDescent="0.2">
      <c r="A77" s="446">
        <v>70</v>
      </c>
      <c r="B77" s="447" t="s">
        <v>18</v>
      </c>
      <c r="C77" s="448" t="s">
        <v>1098</v>
      </c>
      <c r="D77" s="449" t="s">
        <v>1099</v>
      </c>
      <c r="E77" s="450" t="s">
        <v>17</v>
      </c>
      <c r="F77" s="451">
        <v>111441604</v>
      </c>
      <c r="G77" s="451">
        <v>0</v>
      </c>
      <c r="H77" s="451">
        <v>0</v>
      </c>
      <c r="I77" s="451">
        <v>111441604</v>
      </c>
      <c r="J77" s="451">
        <v>202062</v>
      </c>
      <c r="K77" s="451">
        <v>0</v>
      </c>
      <c r="L77" s="451">
        <v>0</v>
      </c>
      <c r="M77" s="451">
        <v>202062</v>
      </c>
      <c r="N77" s="451">
        <v>1621219</v>
      </c>
      <c r="O77" s="451">
        <v>0</v>
      </c>
      <c r="P77" s="451">
        <v>0</v>
      </c>
      <c r="Q77" s="451">
        <v>1621219</v>
      </c>
      <c r="R77" s="451">
        <v>2283204</v>
      </c>
      <c r="S77" s="451">
        <v>0</v>
      </c>
      <c r="T77" s="451">
        <v>0</v>
      </c>
      <c r="U77" s="451">
        <v>2283204</v>
      </c>
      <c r="V77" s="451">
        <v>3512796</v>
      </c>
      <c r="W77" s="451">
        <v>0</v>
      </c>
      <c r="X77" s="451">
        <v>0</v>
      </c>
      <c r="Y77" s="451">
        <v>3512796</v>
      </c>
      <c r="Z77" s="451">
        <v>103822323</v>
      </c>
      <c r="AA77" s="451">
        <v>0</v>
      </c>
      <c r="AB77" s="451">
        <v>0</v>
      </c>
      <c r="AC77" s="451">
        <v>103822323</v>
      </c>
      <c r="AD77" s="451">
        <v>0</v>
      </c>
      <c r="AE77" s="451">
        <v>0</v>
      </c>
      <c r="AF77" s="451">
        <v>0</v>
      </c>
      <c r="AG77" s="451">
        <v>0</v>
      </c>
      <c r="AH77" s="451">
        <v>0</v>
      </c>
      <c r="AI77" s="451">
        <v>0</v>
      </c>
      <c r="AJ77" s="451">
        <v>0</v>
      </c>
      <c r="AK77" s="451">
        <v>0</v>
      </c>
      <c r="AL77" s="451">
        <v>0</v>
      </c>
      <c r="AM77" s="451">
        <v>0</v>
      </c>
      <c r="AN77" s="451">
        <v>0</v>
      </c>
      <c r="AO77" s="451">
        <v>13885873</v>
      </c>
      <c r="AP77" s="451">
        <v>5349357</v>
      </c>
      <c r="AQ77" s="324"/>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c r="CD77" s="310"/>
      <c r="CE77" s="310"/>
      <c r="CF77" s="310"/>
      <c r="CG77" s="310"/>
      <c r="CH77" s="310"/>
      <c r="CI77" s="310"/>
      <c r="CJ77" s="310"/>
      <c r="CK77" s="310"/>
      <c r="CL77" s="310"/>
      <c r="CM77" s="310"/>
      <c r="CN77" s="310"/>
      <c r="CO77" s="310"/>
      <c r="CP77" s="310"/>
      <c r="CQ77" s="310"/>
      <c r="CR77" s="310"/>
      <c r="CS77" s="310"/>
      <c r="CT77" s="310"/>
      <c r="CU77" s="310"/>
      <c r="CV77" s="310"/>
      <c r="CW77" s="310"/>
      <c r="CX77" s="310"/>
      <c r="CY77" s="310"/>
      <c r="CZ77" s="310"/>
      <c r="DA77" s="310"/>
      <c r="DB77" s="310"/>
      <c r="DC77" s="310"/>
      <c r="DD77" s="310"/>
      <c r="DE77" s="310"/>
      <c r="DF77" s="310"/>
      <c r="DG77" s="310"/>
      <c r="DH77" s="310"/>
      <c r="DI77" s="310"/>
      <c r="DJ77" s="310"/>
      <c r="DK77" s="310"/>
      <c r="DL77" s="310"/>
      <c r="DM77" s="310"/>
      <c r="DN77" s="310"/>
      <c r="DO77" s="310"/>
      <c r="DP77" s="310"/>
      <c r="DQ77" s="310"/>
      <c r="DR77" s="310"/>
      <c r="DS77" s="310"/>
      <c r="DT77" s="310"/>
      <c r="DU77" s="310"/>
      <c r="DV77" s="310"/>
      <c r="DW77" s="310"/>
      <c r="DX77" s="310"/>
      <c r="DY77" s="310"/>
      <c r="DZ77" s="310"/>
      <c r="EA77" s="310"/>
      <c r="EB77" s="310"/>
      <c r="EC77" s="310"/>
      <c r="ED77" s="310"/>
      <c r="EE77" s="310"/>
      <c r="EF77" s="310"/>
      <c r="EG77" s="310"/>
      <c r="EH77" s="310"/>
      <c r="EI77" s="310"/>
      <c r="EJ77" s="310"/>
      <c r="EK77" s="310"/>
      <c r="EL77" s="310"/>
      <c r="EM77" s="310"/>
      <c r="EN77" s="310"/>
      <c r="EO77" s="310"/>
      <c r="EP77" s="310"/>
      <c r="EQ77" s="310"/>
      <c r="ER77" s="310"/>
      <c r="ES77" s="310"/>
      <c r="ET77" s="310"/>
      <c r="EU77" s="310"/>
      <c r="EV77" s="310"/>
      <c r="EW77" s="310"/>
      <c r="EX77" s="310"/>
      <c r="EY77" s="310"/>
      <c r="EZ77" s="310"/>
      <c r="FA77" s="310"/>
      <c r="FB77" s="310"/>
      <c r="FC77" s="310"/>
      <c r="FD77" s="310"/>
      <c r="FE77" s="311"/>
      <c r="FF77" s="312"/>
    </row>
    <row r="78" spans="1:162" ht="12.75" x14ac:dyDescent="0.2">
      <c r="A78" s="446">
        <v>71</v>
      </c>
      <c r="B78" s="447" t="s">
        <v>20</v>
      </c>
      <c r="C78" s="448" t="s">
        <v>1093</v>
      </c>
      <c r="D78" s="449" t="s">
        <v>1097</v>
      </c>
      <c r="E78" s="450" t="s">
        <v>19</v>
      </c>
      <c r="F78" s="451">
        <v>62418894.700000003</v>
      </c>
      <c r="G78" s="451">
        <v>0</v>
      </c>
      <c r="H78" s="451">
        <v>0</v>
      </c>
      <c r="I78" s="451">
        <v>62418894.700000003</v>
      </c>
      <c r="J78" s="451">
        <v>252032</v>
      </c>
      <c r="K78" s="451">
        <v>0</v>
      </c>
      <c r="L78" s="451">
        <v>0</v>
      </c>
      <c r="M78" s="451">
        <v>252032</v>
      </c>
      <c r="N78" s="451">
        <v>158344</v>
      </c>
      <c r="O78" s="451">
        <v>0</v>
      </c>
      <c r="P78" s="451">
        <v>0</v>
      </c>
      <c r="Q78" s="451">
        <v>158344</v>
      </c>
      <c r="R78" s="451">
        <v>1496244.79</v>
      </c>
      <c r="S78" s="451">
        <v>0</v>
      </c>
      <c r="T78" s="451">
        <v>0</v>
      </c>
      <c r="U78" s="451">
        <v>1496244.79</v>
      </c>
      <c r="V78" s="451">
        <v>3640550.87</v>
      </c>
      <c r="W78" s="451">
        <v>0</v>
      </c>
      <c r="X78" s="451">
        <v>0</v>
      </c>
      <c r="Y78" s="451">
        <v>3640550.87</v>
      </c>
      <c r="Z78" s="451">
        <v>56871723</v>
      </c>
      <c r="AA78" s="451">
        <v>0</v>
      </c>
      <c r="AB78" s="451">
        <v>0</v>
      </c>
      <c r="AC78" s="451">
        <v>56871723</v>
      </c>
      <c r="AD78" s="451">
        <v>0</v>
      </c>
      <c r="AE78" s="451">
        <v>0</v>
      </c>
      <c r="AF78" s="451">
        <v>0</v>
      </c>
      <c r="AG78" s="451">
        <v>0</v>
      </c>
      <c r="AH78" s="451">
        <v>0</v>
      </c>
      <c r="AI78" s="451">
        <v>0</v>
      </c>
      <c r="AJ78" s="451">
        <v>0</v>
      </c>
      <c r="AK78" s="451">
        <v>0</v>
      </c>
      <c r="AL78" s="451">
        <v>0</v>
      </c>
      <c r="AM78" s="451">
        <v>0</v>
      </c>
      <c r="AN78" s="451">
        <v>0</v>
      </c>
      <c r="AO78" s="451">
        <v>2784483.22</v>
      </c>
      <c r="AP78" s="451">
        <v>1371449</v>
      </c>
      <c r="AQ78" s="324"/>
      <c r="AR78" s="310"/>
      <c r="AS78" s="310"/>
      <c r="AT78" s="310"/>
      <c r="AU78" s="310"/>
      <c r="AV78" s="310"/>
      <c r="AW78" s="310"/>
      <c r="AX78" s="310"/>
      <c r="AY78" s="310"/>
      <c r="AZ78" s="310"/>
      <c r="BA78" s="310"/>
      <c r="BB78" s="310"/>
      <c r="BC78" s="310"/>
      <c r="BD78" s="310"/>
      <c r="BE78" s="310"/>
      <c r="BF78" s="310"/>
      <c r="BG78" s="310"/>
      <c r="BH78" s="310"/>
      <c r="BI78" s="310"/>
      <c r="BJ78" s="310"/>
      <c r="BK78" s="310"/>
      <c r="BL78" s="310"/>
      <c r="BM78" s="310"/>
      <c r="BN78" s="310"/>
      <c r="BO78" s="310"/>
      <c r="BP78" s="310"/>
      <c r="BQ78" s="310"/>
      <c r="BR78" s="310"/>
      <c r="BS78" s="310"/>
      <c r="BT78" s="310"/>
      <c r="BU78" s="310"/>
      <c r="BV78" s="310"/>
      <c r="BW78" s="310"/>
      <c r="BX78" s="310"/>
      <c r="BY78" s="310"/>
      <c r="BZ78" s="310"/>
      <c r="CA78" s="310"/>
      <c r="CB78" s="310"/>
      <c r="CC78" s="310"/>
      <c r="CD78" s="310"/>
      <c r="CE78" s="310"/>
      <c r="CF78" s="310"/>
      <c r="CG78" s="310"/>
      <c r="CH78" s="310"/>
      <c r="CI78" s="310"/>
      <c r="CJ78" s="310"/>
      <c r="CK78" s="310"/>
      <c r="CL78" s="310"/>
      <c r="CM78" s="310"/>
      <c r="CN78" s="310"/>
      <c r="CO78" s="310"/>
      <c r="CP78" s="310"/>
      <c r="CQ78" s="310"/>
      <c r="CR78" s="310"/>
      <c r="CS78" s="310"/>
      <c r="CT78" s="310"/>
      <c r="CU78" s="310"/>
      <c r="CV78" s="310"/>
      <c r="CW78" s="310"/>
      <c r="CX78" s="310"/>
      <c r="CY78" s="310"/>
      <c r="CZ78" s="310"/>
      <c r="DA78" s="310"/>
      <c r="DB78" s="310"/>
      <c r="DC78" s="310"/>
      <c r="DD78" s="310"/>
      <c r="DE78" s="310"/>
      <c r="DF78" s="310"/>
      <c r="DG78" s="310"/>
      <c r="DH78" s="310"/>
      <c r="DI78" s="310"/>
      <c r="DJ78" s="310"/>
      <c r="DK78" s="310"/>
      <c r="DL78" s="310"/>
      <c r="DM78" s="310"/>
      <c r="DN78" s="310"/>
      <c r="DO78" s="310"/>
      <c r="DP78" s="310"/>
      <c r="DQ78" s="310"/>
      <c r="DR78" s="310"/>
      <c r="DS78" s="310"/>
      <c r="DT78" s="310"/>
      <c r="DU78" s="310"/>
      <c r="DV78" s="310"/>
      <c r="DW78" s="310"/>
      <c r="DX78" s="310"/>
      <c r="DY78" s="310"/>
      <c r="DZ78" s="310"/>
      <c r="EA78" s="310"/>
      <c r="EB78" s="310"/>
      <c r="EC78" s="310"/>
      <c r="ED78" s="310"/>
      <c r="EE78" s="310"/>
      <c r="EF78" s="310"/>
      <c r="EG78" s="310"/>
      <c r="EH78" s="310"/>
      <c r="EI78" s="310"/>
      <c r="EJ78" s="310"/>
      <c r="EK78" s="310"/>
      <c r="EL78" s="310"/>
      <c r="EM78" s="310"/>
      <c r="EN78" s="310"/>
      <c r="EO78" s="310"/>
      <c r="EP78" s="310"/>
      <c r="EQ78" s="310"/>
      <c r="ER78" s="310"/>
      <c r="ES78" s="310"/>
      <c r="ET78" s="310"/>
      <c r="EU78" s="310"/>
      <c r="EV78" s="310"/>
      <c r="EW78" s="310"/>
      <c r="EX78" s="310"/>
      <c r="EY78" s="310"/>
      <c r="EZ78" s="310"/>
      <c r="FA78" s="310"/>
      <c r="FB78" s="310"/>
      <c r="FC78" s="310"/>
      <c r="FD78" s="310"/>
      <c r="FE78" s="311"/>
      <c r="FF78" s="312"/>
    </row>
    <row r="79" spans="1:162" ht="12.75" x14ac:dyDescent="0.2">
      <c r="A79" s="446">
        <v>72</v>
      </c>
      <c r="B79" s="447" t="s">
        <v>22</v>
      </c>
      <c r="C79" s="448" t="s">
        <v>794</v>
      </c>
      <c r="D79" s="449" t="s">
        <v>1105</v>
      </c>
      <c r="E79" s="450" t="s">
        <v>714</v>
      </c>
      <c r="F79" s="451">
        <v>33584526</v>
      </c>
      <c r="G79" s="451">
        <v>0</v>
      </c>
      <c r="H79" s="451">
        <v>0</v>
      </c>
      <c r="I79" s="451">
        <v>33584526</v>
      </c>
      <c r="J79" s="451">
        <v>759490</v>
      </c>
      <c r="K79" s="451">
        <v>0</v>
      </c>
      <c r="L79" s="451">
        <v>0</v>
      </c>
      <c r="M79" s="451">
        <v>759490</v>
      </c>
      <c r="N79" s="451">
        <v>-103490</v>
      </c>
      <c r="O79" s="451">
        <v>0</v>
      </c>
      <c r="P79" s="451">
        <v>0</v>
      </c>
      <c r="Q79" s="451">
        <v>-103490</v>
      </c>
      <c r="R79" s="451">
        <v>298090</v>
      </c>
      <c r="S79" s="451">
        <v>0</v>
      </c>
      <c r="T79" s="451">
        <v>0</v>
      </c>
      <c r="U79" s="451">
        <v>298090</v>
      </c>
      <c r="V79" s="451">
        <v>1011919</v>
      </c>
      <c r="W79" s="451">
        <v>0</v>
      </c>
      <c r="X79" s="451">
        <v>0</v>
      </c>
      <c r="Y79" s="451">
        <v>1011919</v>
      </c>
      <c r="Z79" s="451">
        <v>31618517</v>
      </c>
      <c r="AA79" s="451">
        <v>0</v>
      </c>
      <c r="AB79" s="451">
        <v>0</v>
      </c>
      <c r="AC79" s="451">
        <v>31618517</v>
      </c>
      <c r="AD79" s="451">
        <v>0</v>
      </c>
      <c r="AE79" s="451">
        <v>0</v>
      </c>
      <c r="AF79" s="451">
        <v>0</v>
      </c>
      <c r="AG79" s="451">
        <v>0</v>
      </c>
      <c r="AH79" s="451">
        <v>0</v>
      </c>
      <c r="AI79" s="451">
        <v>0</v>
      </c>
      <c r="AJ79" s="451">
        <v>0</v>
      </c>
      <c r="AK79" s="451">
        <v>0</v>
      </c>
      <c r="AL79" s="451">
        <v>0</v>
      </c>
      <c r="AM79" s="451">
        <v>0</v>
      </c>
      <c r="AN79" s="451">
        <v>0</v>
      </c>
      <c r="AO79" s="451">
        <v>2024311</v>
      </c>
      <c r="AP79" s="451">
        <v>-743241</v>
      </c>
      <c r="AQ79" s="324"/>
      <c r="AR79" s="310"/>
      <c r="AS79" s="310"/>
      <c r="AT79" s="310"/>
      <c r="AU79" s="310"/>
      <c r="AV79" s="310"/>
      <c r="AW79" s="310"/>
      <c r="AX79" s="310"/>
      <c r="AY79" s="310"/>
      <c r="AZ79" s="310"/>
      <c r="BA79" s="310"/>
      <c r="BB79" s="310"/>
      <c r="BC79" s="310"/>
      <c r="BD79" s="310"/>
      <c r="BE79" s="310"/>
      <c r="BF79" s="310"/>
      <c r="BG79" s="310"/>
      <c r="BH79" s="310"/>
      <c r="BI79" s="310"/>
      <c r="BJ79" s="310"/>
      <c r="BK79" s="310"/>
      <c r="BL79" s="310"/>
      <c r="BM79" s="310"/>
      <c r="BN79" s="310"/>
      <c r="BO79" s="310"/>
      <c r="BP79" s="310"/>
      <c r="BQ79" s="310"/>
      <c r="BR79" s="310"/>
      <c r="BS79" s="310"/>
      <c r="BT79" s="310"/>
      <c r="BU79" s="310"/>
      <c r="BV79" s="310"/>
      <c r="BW79" s="310"/>
      <c r="BX79" s="310"/>
      <c r="BY79" s="310"/>
      <c r="BZ79" s="310"/>
      <c r="CA79" s="310"/>
      <c r="CB79" s="310"/>
      <c r="CC79" s="310"/>
      <c r="CD79" s="310"/>
      <c r="CE79" s="310"/>
      <c r="CF79" s="310"/>
      <c r="CG79" s="310"/>
      <c r="CH79" s="310"/>
      <c r="CI79" s="310"/>
      <c r="CJ79" s="310"/>
      <c r="CK79" s="310"/>
      <c r="CL79" s="310"/>
      <c r="CM79" s="310"/>
      <c r="CN79" s="310"/>
      <c r="CO79" s="310"/>
      <c r="CP79" s="310"/>
      <c r="CQ79" s="310"/>
      <c r="CR79" s="310"/>
      <c r="CS79" s="310"/>
      <c r="CT79" s="310"/>
      <c r="CU79" s="310"/>
      <c r="CV79" s="310"/>
      <c r="CW79" s="310"/>
      <c r="CX79" s="310"/>
      <c r="CY79" s="310"/>
      <c r="CZ79" s="310"/>
      <c r="DA79" s="310"/>
      <c r="DB79" s="310"/>
      <c r="DC79" s="310"/>
      <c r="DD79" s="310"/>
      <c r="DE79" s="310"/>
      <c r="DF79" s="310"/>
      <c r="DG79" s="310"/>
      <c r="DH79" s="310"/>
      <c r="DI79" s="310"/>
      <c r="DJ79" s="310"/>
      <c r="DK79" s="310"/>
      <c r="DL79" s="310"/>
      <c r="DM79" s="310"/>
      <c r="DN79" s="310"/>
      <c r="DO79" s="310"/>
      <c r="DP79" s="310"/>
      <c r="DQ79" s="310"/>
      <c r="DR79" s="310"/>
      <c r="DS79" s="310"/>
      <c r="DT79" s="310"/>
      <c r="DU79" s="310"/>
      <c r="DV79" s="310"/>
      <c r="DW79" s="310"/>
      <c r="DX79" s="310"/>
      <c r="DY79" s="310"/>
      <c r="DZ79" s="310"/>
      <c r="EA79" s="310"/>
      <c r="EB79" s="310"/>
      <c r="EC79" s="310"/>
      <c r="ED79" s="310"/>
      <c r="EE79" s="310"/>
      <c r="EF79" s="310"/>
      <c r="EG79" s="310"/>
      <c r="EH79" s="310"/>
      <c r="EI79" s="310"/>
      <c r="EJ79" s="310"/>
      <c r="EK79" s="310"/>
      <c r="EL79" s="310"/>
      <c r="EM79" s="310"/>
      <c r="EN79" s="310"/>
      <c r="EO79" s="310"/>
      <c r="EP79" s="310"/>
      <c r="EQ79" s="310"/>
      <c r="ER79" s="310"/>
      <c r="ES79" s="310"/>
      <c r="ET79" s="310"/>
      <c r="EU79" s="310"/>
      <c r="EV79" s="310"/>
      <c r="EW79" s="310"/>
      <c r="EX79" s="310"/>
      <c r="EY79" s="310"/>
      <c r="EZ79" s="310"/>
      <c r="FA79" s="310"/>
      <c r="FB79" s="310"/>
      <c r="FC79" s="310"/>
      <c r="FD79" s="310"/>
      <c r="FE79" s="311"/>
      <c r="FF79" s="312"/>
    </row>
    <row r="80" spans="1:162" ht="12.75" x14ac:dyDescent="0.2">
      <c r="A80" s="446">
        <v>73</v>
      </c>
      <c r="B80" s="447" t="s">
        <v>24</v>
      </c>
      <c r="C80" s="448" t="s">
        <v>1093</v>
      </c>
      <c r="D80" s="449" t="s">
        <v>1094</v>
      </c>
      <c r="E80" s="450" t="s">
        <v>23</v>
      </c>
      <c r="F80" s="451">
        <v>81506624</v>
      </c>
      <c r="G80" s="451">
        <v>0</v>
      </c>
      <c r="H80" s="451">
        <v>0</v>
      </c>
      <c r="I80" s="451">
        <v>81506624</v>
      </c>
      <c r="J80" s="451">
        <v>246843</v>
      </c>
      <c r="K80" s="451">
        <v>0</v>
      </c>
      <c r="L80" s="451">
        <v>0</v>
      </c>
      <c r="M80" s="451">
        <v>246843</v>
      </c>
      <c r="N80" s="451">
        <v>-12838</v>
      </c>
      <c r="O80" s="451">
        <v>0</v>
      </c>
      <c r="P80" s="451">
        <v>0</v>
      </c>
      <c r="Q80" s="451">
        <v>-12838</v>
      </c>
      <c r="R80" s="451">
        <v>3236725</v>
      </c>
      <c r="S80" s="451">
        <v>0</v>
      </c>
      <c r="T80" s="451">
        <v>0</v>
      </c>
      <c r="U80" s="451">
        <v>3236725</v>
      </c>
      <c r="V80" s="451">
        <v>4785107</v>
      </c>
      <c r="W80" s="451">
        <v>0</v>
      </c>
      <c r="X80" s="451">
        <v>0</v>
      </c>
      <c r="Y80" s="451">
        <v>4785107</v>
      </c>
      <c r="Z80" s="451">
        <v>73250787</v>
      </c>
      <c r="AA80" s="451">
        <v>0</v>
      </c>
      <c r="AB80" s="451">
        <v>0</v>
      </c>
      <c r="AC80" s="451">
        <v>73250787</v>
      </c>
      <c r="AD80" s="451">
        <v>0</v>
      </c>
      <c r="AE80" s="451">
        <v>0</v>
      </c>
      <c r="AF80" s="451">
        <v>0</v>
      </c>
      <c r="AG80" s="451">
        <v>0</v>
      </c>
      <c r="AH80" s="451">
        <v>0</v>
      </c>
      <c r="AI80" s="451">
        <v>0</v>
      </c>
      <c r="AJ80" s="451">
        <v>0</v>
      </c>
      <c r="AK80" s="451">
        <v>0</v>
      </c>
      <c r="AL80" s="451">
        <v>0</v>
      </c>
      <c r="AM80" s="451">
        <v>0</v>
      </c>
      <c r="AN80" s="451">
        <v>0</v>
      </c>
      <c r="AO80" s="451">
        <v>1984705</v>
      </c>
      <c r="AP80" s="451">
        <v>3745726</v>
      </c>
      <c r="AQ80" s="324"/>
      <c r="AR80" s="310"/>
      <c r="AS80" s="310"/>
      <c r="AT80" s="310"/>
      <c r="AU80" s="310"/>
      <c r="AV80" s="310"/>
      <c r="AW80" s="310"/>
      <c r="AX80" s="310"/>
      <c r="AY80" s="310"/>
      <c r="AZ80" s="310"/>
      <c r="BA80" s="310"/>
      <c r="BB80" s="310"/>
      <c r="BC80" s="310"/>
      <c r="BD80" s="310"/>
      <c r="BE80" s="310"/>
      <c r="BF80" s="310"/>
      <c r="BG80" s="310"/>
      <c r="BH80" s="310"/>
      <c r="BI80" s="310"/>
      <c r="BJ80" s="310"/>
      <c r="BK80" s="310"/>
      <c r="BL80" s="310"/>
      <c r="BM80" s="310"/>
      <c r="BN80" s="310"/>
      <c r="BO80" s="310"/>
      <c r="BP80" s="310"/>
      <c r="BQ80" s="310"/>
      <c r="BR80" s="310"/>
      <c r="BS80" s="310"/>
      <c r="BT80" s="310"/>
      <c r="BU80" s="310"/>
      <c r="BV80" s="310"/>
      <c r="BW80" s="310"/>
      <c r="BX80" s="310"/>
      <c r="BY80" s="310"/>
      <c r="BZ80" s="310"/>
      <c r="CA80" s="310"/>
      <c r="CB80" s="310"/>
      <c r="CC80" s="310"/>
      <c r="CD80" s="310"/>
      <c r="CE80" s="310"/>
      <c r="CF80" s="310"/>
      <c r="CG80" s="310"/>
      <c r="CH80" s="310"/>
      <c r="CI80" s="310"/>
      <c r="CJ80" s="310"/>
      <c r="CK80" s="310"/>
      <c r="CL80" s="310"/>
      <c r="CM80" s="310"/>
      <c r="CN80" s="310"/>
      <c r="CO80" s="310"/>
      <c r="CP80" s="310"/>
      <c r="CQ80" s="310"/>
      <c r="CR80" s="310"/>
      <c r="CS80" s="310"/>
      <c r="CT80" s="310"/>
      <c r="CU80" s="310"/>
      <c r="CV80" s="310"/>
      <c r="CW80" s="310"/>
      <c r="CX80" s="310"/>
      <c r="CY80" s="310"/>
      <c r="CZ80" s="310"/>
      <c r="DA80" s="310"/>
      <c r="DB80" s="310"/>
      <c r="DC80" s="310"/>
      <c r="DD80" s="310"/>
      <c r="DE80" s="310"/>
      <c r="DF80" s="310"/>
      <c r="DG80" s="310"/>
      <c r="DH80" s="310"/>
      <c r="DI80" s="310"/>
      <c r="DJ80" s="310"/>
      <c r="DK80" s="310"/>
      <c r="DL80" s="310"/>
      <c r="DM80" s="310"/>
      <c r="DN80" s="310"/>
      <c r="DO80" s="310"/>
      <c r="DP80" s="310"/>
      <c r="DQ80" s="310"/>
      <c r="DR80" s="310"/>
      <c r="DS80" s="310"/>
      <c r="DT80" s="310"/>
      <c r="DU80" s="310"/>
      <c r="DV80" s="310"/>
      <c r="DW80" s="310"/>
      <c r="DX80" s="310"/>
      <c r="DY80" s="310"/>
      <c r="DZ80" s="310"/>
      <c r="EA80" s="310"/>
      <c r="EB80" s="310"/>
      <c r="EC80" s="310"/>
      <c r="ED80" s="310"/>
      <c r="EE80" s="310"/>
      <c r="EF80" s="310"/>
      <c r="EG80" s="310"/>
      <c r="EH80" s="310"/>
      <c r="EI80" s="310"/>
      <c r="EJ80" s="310"/>
      <c r="EK80" s="310"/>
      <c r="EL80" s="310"/>
      <c r="EM80" s="310"/>
      <c r="EN80" s="310"/>
      <c r="EO80" s="310"/>
      <c r="EP80" s="310"/>
      <c r="EQ80" s="310"/>
      <c r="ER80" s="310"/>
      <c r="ES80" s="310"/>
      <c r="ET80" s="310"/>
      <c r="EU80" s="310"/>
      <c r="EV80" s="310"/>
      <c r="EW80" s="310"/>
      <c r="EX80" s="310"/>
      <c r="EY80" s="310"/>
      <c r="EZ80" s="310"/>
      <c r="FA80" s="310"/>
      <c r="FB80" s="310"/>
      <c r="FC80" s="310"/>
      <c r="FD80" s="310"/>
      <c r="FE80" s="311"/>
      <c r="FF80" s="312"/>
    </row>
    <row r="81" spans="1:162" ht="12.75" x14ac:dyDescent="0.2">
      <c r="A81" s="446">
        <v>74</v>
      </c>
      <c r="B81" s="447" t="s">
        <v>26</v>
      </c>
      <c r="C81" s="448" t="s">
        <v>1093</v>
      </c>
      <c r="D81" s="449" t="s">
        <v>1096</v>
      </c>
      <c r="E81" s="450" t="s">
        <v>25</v>
      </c>
      <c r="F81" s="451">
        <v>38677554</v>
      </c>
      <c r="G81" s="451">
        <v>0</v>
      </c>
      <c r="H81" s="451">
        <v>0</v>
      </c>
      <c r="I81" s="451">
        <v>38677554</v>
      </c>
      <c r="J81" s="451">
        <v>64232</v>
      </c>
      <c r="K81" s="451">
        <v>0</v>
      </c>
      <c r="L81" s="451">
        <v>0</v>
      </c>
      <c r="M81" s="451">
        <v>64232</v>
      </c>
      <c r="N81" s="451">
        <v>42439</v>
      </c>
      <c r="O81" s="451">
        <v>0</v>
      </c>
      <c r="P81" s="451">
        <v>0</v>
      </c>
      <c r="Q81" s="451">
        <v>42439</v>
      </c>
      <c r="R81" s="451">
        <v>117270</v>
      </c>
      <c r="S81" s="451">
        <v>0</v>
      </c>
      <c r="T81" s="451">
        <v>0</v>
      </c>
      <c r="U81" s="451">
        <v>117270</v>
      </c>
      <c r="V81" s="451">
        <v>1128512</v>
      </c>
      <c r="W81" s="451">
        <v>0</v>
      </c>
      <c r="X81" s="451">
        <v>0</v>
      </c>
      <c r="Y81" s="451">
        <v>1128512</v>
      </c>
      <c r="Z81" s="451">
        <v>37325101</v>
      </c>
      <c r="AA81" s="451">
        <v>0</v>
      </c>
      <c r="AB81" s="451">
        <v>0</v>
      </c>
      <c r="AC81" s="451">
        <v>37325101</v>
      </c>
      <c r="AD81" s="451">
        <v>155972</v>
      </c>
      <c r="AE81" s="451">
        <v>0</v>
      </c>
      <c r="AF81" s="451">
        <v>0</v>
      </c>
      <c r="AG81" s="451">
        <v>155972</v>
      </c>
      <c r="AH81" s="451">
        <v>0</v>
      </c>
      <c r="AI81" s="451">
        <v>0</v>
      </c>
      <c r="AJ81" s="451">
        <v>0</v>
      </c>
      <c r="AK81" s="451">
        <v>0</v>
      </c>
      <c r="AL81" s="451">
        <v>0</v>
      </c>
      <c r="AM81" s="451">
        <v>0</v>
      </c>
      <c r="AN81" s="451">
        <v>155972</v>
      </c>
      <c r="AO81" s="451">
        <v>613871</v>
      </c>
      <c r="AP81" s="451">
        <v>522421</v>
      </c>
      <c r="AQ81" s="324"/>
      <c r="AR81" s="310"/>
      <c r="AS81" s="310"/>
      <c r="AT81" s="310"/>
      <c r="AU81" s="310"/>
      <c r="AV81" s="310"/>
      <c r="AW81" s="310"/>
      <c r="AX81" s="310"/>
      <c r="AY81" s="310"/>
      <c r="AZ81" s="310"/>
      <c r="BA81" s="310"/>
      <c r="BB81" s="310"/>
      <c r="BC81" s="310"/>
      <c r="BD81" s="310"/>
      <c r="BE81" s="310"/>
      <c r="BF81" s="310"/>
      <c r="BG81" s="310"/>
      <c r="BH81" s="310"/>
      <c r="BI81" s="310"/>
      <c r="BJ81" s="310"/>
      <c r="BK81" s="310"/>
      <c r="BL81" s="310"/>
      <c r="BM81" s="310"/>
      <c r="BN81" s="310"/>
      <c r="BO81" s="310"/>
      <c r="BP81" s="310"/>
      <c r="BQ81" s="310"/>
      <c r="BR81" s="310"/>
      <c r="BS81" s="310"/>
      <c r="BT81" s="310"/>
      <c r="BU81" s="310"/>
      <c r="BV81" s="310"/>
      <c r="BW81" s="310"/>
      <c r="BX81" s="310"/>
      <c r="BY81" s="310"/>
      <c r="BZ81" s="310"/>
      <c r="CA81" s="310"/>
      <c r="CB81" s="310"/>
      <c r="CC81" s="310"/>
      <c r="CD81" s="310"/>
      <c r="CE81" s="310"/>
      <c r="CF81" s="310"/>
      <c r="CG81" s="310"/>
      <c r="CH81" s="310"/>
      <c r="CI81" s="310"/>
      <c r="CJ81" s="310"/>
      <c r="CK81" s="310"/>
      <c r="CL81" s="310"/>
      <c r="CM81" s="310"/>
      <c r="CN81" s="310"/>
      <c r="CO81" s="310"/>
      <c r="CP81" s="310"/>
      <c r="CQ81" s="310"/>
      <c r="CR81" s="310"/>
      <c r="CS81" s="310"/>
      <c r="CT81" s="310"/>
      <c r="CU81" s="310"/>
      <c r="CV81" s="310"/>
      <c r="CW81" s="310"/>
      <c r="CX81" s="310"/>
      <c r="CY81" s="310"/>
      <c r="CZ81" s="310"/>
      <c r="DA81" s="310"/>
      <c r="DB81" s="310"/>
      <c r="DC81" s="310"/>
      <c r="DD81" s="310"/>
      <c r="DE81" s="310"/>
      <c r="DF81" s="310"/>
      <c r="DG81" s="310"/>
      <c r="DH81" s="310"/>
      <c r="DI81" s="310"/>
      <c r="DJ81" s="310"/>
      <c r="DK81" s="310"/>
      <c r="DL81" s="310"/>
      <c r="DM81" s="310"/>
      <c r="DN81" s="310"/>
      <c r="DO81" s="310"/>
      <c r="DP81" s="310"/>
      <c r="DQ81" s="310"/>
      <c r="DR81" s="310"/>
      <c r="DS81" s="310"/>
      <c r="DT81" s="310"/>
      <c r="DU81" s="310"/>
      <c r="DV81" s="310"/>
      <c r="DW81" s="310"/>
      <c r="DX81" s="310"/>
      <c r="DY81" s="310"/>
      <c r="DZ81" s="310"/>
      <c r="EA81" s="310"/>
      <c r="EB81" s="310"/>
      <c r="EC81" s="310"/>
      <c r="ED81" s="310"/>
      <c r="EE81" s="310"/>
      <c r="EF81" s="310"/>
      <c r="EG81" s="310"/>
      <c r="EH81" s="310"/>
      <c r="EI81" s="310"/>
      <c r="EJ81" s="310"/>
      <c r="EK81" s="310"/>
      <c r="EL81" s="310"/>
      <c r="EM81" s="310"/>
      <c r="EN81" s="310"/>
      <c r="EO81" s="310"/>
      <c r="EP81" s="310"/>
      <c r="EQ81" s="310"/>
      <c r="ER81" s="310"/>
      <c r="ES81" s="310"/>
      <c r="ET81" s="310"/>
      <c r="EU81" s="310"/>
      <c r="EV81" s="310"/>
      <c r="EW81" s="310"/>
      <c r="EX81" s="310"/>
      <c r="EY81" s="310"/>
      <c r="EZ81" s="310"/>
      <c r="FA81" s="310"/>
      <c r="FB81" s="310"/>
      <c r="FC81" s="310"/>
      <c r="FD81" s="310"/>
      <c r="FE81" s="311"/>
      <c r="FF81" s="312"/>
    </row>
    <row r="82" spans="1:162" ht="12.75" x14ac:dyDescent="0.2">
      <c r="A82" s="446">
        <v>75</v>
      </c>
      <c r="B82" s="447" t="s">
        <v>28</v>
      </c>
      <c r="C82" s="448" t="s">
        <v>794</v>
      </c>
      <c r="D82" s="449" t="s">
        <v>1096</v>
      </c>
      <c r="E82" s="450" t="s">
        <v>715</v>
      </c>
      <c r="F82" s="451">
        <v>86243839.799999997</v>
      </c>
      <c r="G82" s="451">
        <v>0</v>
      </c>
      <c r="H82" s="451">
        <v>0</v>
      </c>
      <c r="I82" s="451">
        <v>86243839.799999997</v>
      </c>
      <c r="J82" s="451">
        <v>1857106</v>
      </c>
      <c r="K82" s="451">
        <v>0</v>
      </c>
      <c r="L82" s="451">
        <v>0</v>
      </c>
      <c r="M82" s="451">
        <v>1857106</v>
      </c>
      <c r="N82" s="451">
        <v>995008</v>
      </c>
      <c r="O82" s="451">
        <v>0</v>
      </c>
      <c r="P82" s="451">
        <v>0</v>
      </c>
      <c r="Q82" s="451">
        <v>995008</v>
      </c>
      <c r="R82" s="451">
        <v>4087403</v>
      </c>
      <c r="S82" s="451">
        <v>0</v>
      </c>
      <c r="T82" s="451">
        <v>0</v>
      </c>
      <c r="U82" s="451">
        <v>4087403</v>
      </c>
      <c r="V82" s="451">
        <v>5164658</v>
      </c>
      <c r="W82" s="451">
        <v>0</v>
      </c>
      <c r="X82" s="451">
        <v>0</v>
      </c>
      <c r="Y82" s="451">
        <v>5164658</v>
      </c>
      <c r="Z82" s="451">
        <v>74139665</v>
      </c>
      <c r="AA82" s="451">
        <v>0</v>
      </c>
      <c r="AB82" s="451">
        <v>0</v>
      </c>
      <c r="AC82" s="451">
        <v>74139665</v>
      </c>
      <c r="AD82" s="451">
        <v>0</v>
      </c>
      <c r="AE82" s="451">
        <v>0</v>
      </c>
      <c r="AF82" s="451">
        <v>0</v>
      </c>
      <c r="AG82" s="451">
        <v>0</v>
      </c>
      <c r="AH82" s="451">
        <v>0</v>
      </c>
      <c r="AI82" s="451">
        <v>0</v>
      </c>
      <c r="AJ82" s="451">
        <v>0</v>
      </c>
      <c r="AK82" s="451">
        <v>0</v>
      </c>
      <c r="AL82" s="451">
        <v>0</v>
      </c>
      <c r="AM82" s="451">
        <v>0</v>
      </c>
      <c r="AN82" s="451">
        <v>0</v>
      </c>
      <c r="AO82" s="451">
        <v>6649182.4800000004</v>
      </c>
      <c r="AP82" s="451">
        <v>755116.35</v>
      </c>
      <c r="AQ82" s="324"/>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c r="BO82" s="310"/>
      <c r="BP82" s="310"/>
      <c r="BQ82" s="310"/>
      <c r="BR82" s="310"/>
      <c r="BS82" s="310"/>
      <c r="BT82" s="310"/>
      <c r="BU82" s="310"/>
      <c r="BV82" s="310"/>
      <c r="BW82" s="310"/>
      <c r="BX82" s="310"/>
      <c r="BY82" s="310"/>
      <c r="BZ82" s="310"/>
      <c r="CA82" s="310"/>
      <c r="CB82" s="310"/>
      <c r="CC82" s="310"/>
      <c r="CD82" s="310"/>
      <c r="CE82" s="310"/>
      <c r="CF82" s="310"/>
      <c r="CG82" s="310"/>
      <c r="CH82" s="310"/>
      <c r="CI82" s="310"/>
      <c r="CJ82" s="310"/>
      <c r="CK82" s="310"/>
      <c r="CL82" s="310"/>
      <c r="CM82" s="310"/>
      <c r="CN82" s="310"/>
      <c r="CO82" s="310"/>
      <c r="CP82" s="310"/>
      <c r="CQ82" s="310"/>
      <c r="CR82" s="310"/>
      <c r="CS82" s="310"/>
      <c r="CT82" s="310"/>
      <c r="CU82" s="310"/>
      <c r="CV82" s="310"/>
      <c r="CW82" s="310"/>
      <c r="CX82" s="310"/>
      <c r="CY82" s="310"/>
      <c r="CZ82" s="310"/>
      <c r="DA82" s="310"/>
      <c r="DB82" s="310"/>
      <c r="DC82" s="310"/>
      <c r="DD82" s="310"/>
      <c r="DE82" s="310"/>
      <c r="DF82" s="310"/>
      <c r="DG82" s="310"/>
      <c r="DH82" s="310"/>
      <c r="DI82" s="310"/>
      <c r="DJ82" s="310"/>
      <c r="DK82" s="310"/>
      <c r="DL82" s="310"/>
      <c r="DM82" s="310"/>
      <c r="DN82" s="310"/>
      <c r="DO82" s="310"/>
      <c r="DP82" s="310"/>
      <c r="DQ82" s="310"/>
      <c r="DR82" s="310"/>
      <c r="DS82" s="310"/>
      <c r="DT82" s="310"/>
      <c r="DU82" s="310"/>
      <c r="DV82" s="310"/>
      <c r="DW82" s="310"/>
      <c r="DX82" s="310"/>
      <c r="DY82" s="310"/>
      <c r="DZ82" s="310"/>
      <c r="EA82" s="310"/>
      <c r="EB82" s="310"/>
      <c r="EC82" s="310"/>
      <c r="ED82" s="310"/>
      <c r="EE82" s="310"/>
      <c r="EF82" s="310"/>
      <c r="EG82" s="310"/>
      <c r="EH82" s="310"/>
      <c r="EI82" s="310"/>
      <c r="EJ82" s="310"/>
      <c r="EK82" s="310"/>
      <c r="EL82" s="310"/>
      <c r="EM82" s="310"/>
      <c r="EN82" s="310"/>
      <c r="EO82" s="310"/>
      <c r="EP82" s="310"/>
      <c r="EQ82" s="310"/>
      <c r="ER82" s="310"/>
      <c r="ES82" s="310"/>
      <c r="ET82" s="310"/>
      <c r="EU82" s="310"/>
      <c r="EV82" s="310"/>
      <c r="EW82" s="310"/>
      <c r="EX82" s="310"/>
      <c r="EY82" s="310"/>
      <c r="EZ82" s="310"/>
      <c r="FA82" s="310"/>
      <c r="FB82" s="310"/>
      <c r="FC82" s="310"/>
      <c r="FD82" s="310"/>
      <c r="FE82" s="311"/>
      <c r="FF82" s="312"/>
    </row>
    <row r="83" spans="1:162" ht="12.75" x14ac:dyDescent="0.2">
      <c r="A83" s="446">
        <v>76</v>
      </c>
      <c r="B83" s="447" t="s">
        <v>30</v>
      </c>
      <c r="C83" s="448" t="s">
        <v>1093</v>
      </c>
      <c r="D83" s="449" t="s">
        <v>1096</v>
      </c>
      <c r="E83" s="450" t="s">
        <v>29</v>
      </c>
      <c r="F83" s="451">
        <v>17206055</v>
      </c>
      <c r="G83" s="451">
        <v>0</v>
      </c>
      <c r="H83" s="451">
        <v>0</v>
      </c>
      <c r="I83" s="451">
        <v>17206055</v>
      </c>
      <c r="J83" s="451">
        <v>131562</v>
      </c>
      <c r="K83" s="451">
        <v>0</v>
      </c>
      <c r="L83" s="451">
        <v>0</v>
      </c>
      <c r="M83" s="451">
        <v>131562</v>
      </c>
      <c r="N83" s="451">
        <v>81000</v>
      </c>
      <c r="O83" s="451">
        <v>0</v>
      </c>
      <c r="P83" s="451">
        <v>0</v>
      </c>
      <c r="Q83" s="451">
        <v>81000</v>
      </c>
      <c r="R83" s="451">
        <v>152778</v>
      </c>
      <c r="S83" s="451">
        <v>0</v>
      </c>
      <c r="T83" s="451">
        <v>0</v>
      </c>
      <c r="U83" s="451">
        <v>152778</v>
      </c>
      <c r="V83" s="451">
        <v>389555</v>
      </c>
      <c r="W83" s="451">
        <v>0</v>
      </c>
      <c r="X83" s="451">
        <v>0</v>
      </c>
      <c r="Y83" s="451">
        <v>389555</v>
      </c>
      <c r="Z83" s="451">
        <v>16451160</v>
      </c>
      <c r="AA83" s="451">
        <v>0</v>
      </c>
      <c r="AB83" s="451">
        <v>0</v>
      </c>
      <c r="AC83" s="451">
        <v>16451160</v>
      </c>
      <c r="AD83" s="451">
        <v>0</v>
      </c>
      <c r="AE83" s="451">
        <v>0</v>
      </c>
      <c r="AF83" s="451">
        <v>0</v>
      </c>
      <c r="AG83" s="451">
        <v>0</v>
      </c>
      <c r="AH83" s="451">
        <v>0</v>
      </c>
      <c r="AI83" s="451">
        <v>0</v>
      </c>
      <c r="AJ83" s="451">
        <v>0</v>
      </c>
      <c r="AK83" s="451">
        <v>0</v>
      </c>
      <c r="AL83" s="451">
        <v>0</v>
      </c>
      <c r="AM83" s="451">
        <v>0</v>
      </c>
      <c r="AN83" s="451">
        <v>0</v>
      </c>
      <c r="AO83" s="451">
        <v>969308</v>
      </c>
      <c r="AP83" s="451">
        <v>156370</v>
      </c>
      <c r="AQ83" s="324"/>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310"/>
      <c r="BY83" s="310"/>
      <c r="BZ83" s="310"/>
      <c r="CA83" s="310"/>
      <c r="CB83" s="310"/>
      <c r="CC83" s="310"/>
      <c r="CD83" s="310"/>
      <c r="CE83" s="310"/>
      <c r="CF83" s="310"/>
      <c r="CG83" s="310"/>
      <c r="CH83" s="310"/>
      <c r="CI83" s="310"/>
      <c r="CJ83" s="310"/>
      <c r="CK83" s="310"/>
      <c r="CL83" s="310"/>
      <c r="CM83" s="310"/>
      <c r="CN83" s="310"/>
      <c r="CO83" s="310"/>
      <c r="CP83" s="310"/>
      <c r="CQ83" s="310"/>
      <c r="CR83" s="310"/>
      <c r="CS83" s="310"/>
      <c r="CT83" s="310"/>
      <c r="CU83" s="310"/>
      <c r="CV83" s="310"/>
      <c r="CW83" s="310"/>
      <c r="CX83" s="310"/>
      <c r="CY83" s="310"/>
      <c r="CZ83" s="310"/>
      <c r="DA83" s="310"/>
      <c r="DB83" s="310"/>
      <c r="DC83" s="310"/>
      <c r="DD83" s="310"/>
      <c r="DE83" s="310"/>
      <c r="DF83" s="310"/>
      <c r="DG83" s="310"/>
      <c r="DH83" s="310"/>
      <c r="DI83" s="310"/>
      <c r="DJ83" s="310"/>
      <c r="DK83" s="310"/>
      <c r="DL83" s="310"/>
      <c r="DM83" s="310"/>
      <c r="DN83" s="310"/>
      <c r="DO83" s="310"/>
      <c r="DP83" s="310"/>
      <c r="DQ83" s="310"/>
      <c r="DR83" s="310"/>
      <c r="DS83" s="310"/>
      <c r="DT83" s="310"/>
      <c r="DU83" s="310"/>
      <c r="DV83" s="310"/>
      <c r="DW83" s="310"/>
      <c r="DX83" s="310"/>
      <c r="DY83" s="310"/>
      <c r="DZ83" s="310"/>
      <c r="EA83" s="310"/>
      <c r="EB83" s="310"/>
      <c r="EC83" s="310"/>
      <c r="ED83" s="310"/>
      <c r="EE83" s="310"/>
      <c r="EF83" s="310"/>
      <c r="EG83" s="310"/>
      <c r="EH83" s="310"/>
      <c r="EI83" s="310"/>
      <c r="EJ83" s="310"/>
      <c r="EK83" s="310"/>
      <c r="EL83" s="310"/>
      <c r="EM83" s="310"/>
      <c r="EN83" s="310"/>
      <c r="EO83" s="310"/>
      <c r="EP83" s="310"/>
      <c r="EQ83" s="310"/>
      <c r="ER83" s="310"/>
      <c r="ES83" s="310"/>
      <c r="ET83" s="310"/>
      <c r="EU83" s="310"/>
      <c r="EV83" s="310"/>
      <c r="EW83" s="310"/>
      <c r="EX83" s="310"/>
      <c r="EY83" s="310"/>
      <c r="EZ83" s="310"/>
      <c r="FA83" s="310"/>
      <c r="FB83" s="310"/>
      <c r="FC83" s="310"/>
      <c r="FD83" s="310"/>
      <c r="FE83" s="311"/>
      <c r="FF83" s="312"/>
    </row>
    <row r="84" spans="1:162" ht="12.75" x14ac:dyDescent="0.2">
      <c r="A84" s="446">
        <v>77</v>
      </c>
      <c r="B84" s="447" t="s">
        <v>32</v>
      </c>
      <c r="C84" s="448" t="s">
        <v>1100</v>
      </c>
      <c r="D84" s="449" t="s">
        <v>1101</v>
      </c>
      <c r="E84" s="450" t="s">
        <v>31</v>
      </c>
      <c r="F84" s="451">
        <v>91500476</v>
      </c>
      <c r="G84" s="451">
        <v>0</v>
      </c>
      <c r="H84" s="451">
        <v>0</v>
      </c>
      <c r="I84" s="451">
        <v>91500476</v>
      </c>
      <c r="J84" s="451">
        <v>1681371</v>
      </c>
      <c r="K84" s="451">
        <v>0</v>
      </c>
      <c r="L84" s="451">
        <v>0</v>
      </c>
      <c r="M84" s="451">
        <v>1681371</v>
      </c>
      <c r="N84" s="451">
        <v>188473</v>
      </c>
      <c r="O84" s="451">
        <v>0</v>
      </c>
      <c r="P84" s="451">
        <v>0</v>
      </c>
      <c r="Q84" s="451">
        <v>188473</v>
      </c>
      <c r="R84" s="451">
        <v>1540959</v>
      </c>
      <c r="S84" s="451">
        <v>0</v>
      </c>
      <c r="T84" s="451">
        <v>0</v>
      </c>
      <c r="U84" s="451">
        <v>1540959</v>
      </c>
      <c r="V84" s="451">
        <v>4700271</v>
      </c>
      <c r="W84" s="451">
        <v>0</v>
      </c>
      <c r="X84" s="451">
        <v>0</v>
      </c>
      <c r="Y84" s="451">
        <v>4700271</v>
      </c>
      <c r="Z84" s="451">
        <v>83389402</v>
      </c>
      <c r="AA84" s="451">
        <v>0</v>
      </c>
      <c r="AB84" s="451">
        <v>0</v>
      </c>
      <c r="AC84" s="451">
        <v>83389402</v>
      </c>
      <c r="AD84" s="451">
        <v>0</v>
      </c>
      <c r="AE84" s="451">
        <v>0</v>
      </c>
      <c r="AF84" s="451">
        <v>0</v>
      </c>
      <c r="AG84" s="451">
        <v>0</v>
      </c>
      <c r="AH84" s="451">
        <v>0</v>
      </c>
      <c r="AI84" s="451">
        <v>0</v>
      </c>
      <c r="AJ84" s="451">
        <v>0</v>
      </c>
      <c r="AK84" s="451">
        <v>0</v>
      </c>
      <c r="AL84" s="451">
        <v>0</v>
      </c>
      <c r="AM84" s="451">
        <v>0</v>
      </c>
      <c r="AN84" s="451">
        <v>0</v>
      </c>
      <c r="AO84" s="451">
        <v>8822744</v>
      </c>
      <c r="AP84" s="451">
        <v>1416793</v>
      </c>
      <c r="AQ84" s="324"/>
      <c r="AR84" s="310"/>
      <c r="AS84" s="310"/>
      <c r="AT84" s="310"/>
      <c r="AU84" s="310"/>
      <c r="AV84" s="310"/>
      <c r="AW84" s="310"/>
      <c r="AX84" s="310"/>
      <c r="AY84" s="310"/>
      <c r="AZ84" s="310"/>
      <c r="BA84" s="310"/>
      <c r="BB84" s="310"/>
      <c r="BC84" s="310"/>
      <c r="BD84" s="310"/>
      <c r="BE84" s="310"/>
      <c r="BF84" s="310"/>
      <c r="BG84" s="310"/>
      <c r="BH84" s="310"/>
      <c r="BI84" s="310"/>
      <c r="BJ84" s="310"/>
      <c r="BK84" s="310"/>
      <c r="BL84" s="310"/>
      <c r="BM84" s="310"/>
      <c r="BN84" s="310"/>
      <c r="BO84" s="310"/>
      <c r="BP84" s="310"/>
      <c r="BQ84" s="310"/>
      <c r="BR84" s="310"/>
      <c r="BS84" s="310"/>
      <c r="BT84" s="310"/>
      <c r="BU84" s="310"/>
      <c r="BV84" s="310"/>
      <c r="BW84" s="310"/>
      <c r="BX84" s="310"/>
      <c r="BY84" s="310"/>
      <c r="BZ84" s="310"/>
      <c r="CA84" s="310"/>
      <c r="CB84" s="310"/>
      <c r="CC84" s="310"/>
      <c r="CD84" s="310"/>
      <c r="CE84" s="310"/>
      <c r="CF84" s="310"/>
      <c r="CG84" s="310"/>
      <c r="CH84" s="310"/>
      <c r="CI84" s="310"/>
      <c r="CJ84" s="310"/>
      <c r="CK84" s="310"/>
      <c r="CL84" s="310"/>
      <c r="CM84" s="310"/>
      <c r="CN84" s="310"/>
      <c r="CO84" s="310"/>
      <c r="CP84" s="310"/>
      <c r="CQ84" s="310"/>
      <c r="CR84" s="310"/>
      <c r="CS84" s="310"/>
      <c r="CT84" s="310"/>
      <c r="CU84" s="310"/>
      <c r="CV84" s="310"/>
      <c r="CW84" s="310"/>
      <c r="CX84" s="310"/>
      <c r="CY84" s="310"/>
      <c r="CZ84" s="310"/>
      <c r="DA84" s="310"/>
      <c r="DB84" s="310"/>
      <c r="DC84" s="310"/>
      <c r="DD84" s="310"/>
      <c r="DE84" s="310"/>
      <c r="DF84" s="310"/>
      <c r="DG84" s="310"/>
      <c r="DH84" s="310"/>
      <c r="DI84" s="310"/>
      <c r="DJ84" s="310"/>
      <c r="DK84" s="310"/>
      <c r="DL84" s="310"/>
      <c r="DM84" s="310"/>
      <c r="DN84" s="310"/>
      <c r="DO84" s="310"/>
      <c r="DP84" s="310"/>
      <c r="DQ84" s="310"/>
      <c r="DR84" s="310"/>
      <c r="DS84" s="310"/>
      <c r="DT84" s="310"/>
      <c r="DU84" s="310"/>
      <c r="DV84" s="310"/>
      <c r="DW84" s="310"/>
      <c r="DX84" s="310"/>
      <c r="DY84" s="310"/>
      <c r="DZ84" s="310"/>
      <c r="EA84" s="310"/>
      <c r="EB84" s="310"/>
      <c r="EC84" s="310"/>
      <c r="ED84" s="310"/>
      <c r="EE84" s="310"/>
      <c r="EF84" s="310"/>
      <c r="EG84" s="310"/>
      <c r="EH84" s="310"/>
      <c r="EI84" s="310"/>
      <c r="EJ84" s="310"/>
      <c r="EK84" s="310"/>
      <c r="EL84" s="310"/>
      <c r="EM84" s="310"/>
      <c r="EN84" s="310"/>
      <c r="EO84" s="310"/>
      <c r="EP84" s="310"/>
      <c r="EQ84" s="310"/>
      <c r="ER84" s="310"/>
      <c r="ES84" s="310"/>
      <c r="ET84" s="310"/>
      <c r="EU84" s="310"/>
      <c r="EV84" s="310"/>
      <c r="EW84" s="310"/>
      <c r="EX84" s="310"/>
      <c r="EY84" s="310"/>
      <c r="EZ84" s="310"/>
      <c r="FA84" s="310"/>
      <c r="FB84" s="310"/>
      <c r="FC84" s="310"/>
      <c r="FD84" s="310"/>
      <c r="FE84" s="311"/>
      <c r="FF84" s="312"/>
    </row>
    <row r="85" spans="1:162" ht="12.75" x14ac:dyDescent="0.2">
      <c r="A85" s="446">
        <v>78</v>
      </c>
      <c r="B85" s="447" t="s">
        <v>39</v>
      </c>
      <c r="C85" s="448" t="s">
        <v>1093</v>
      </c>
      <c r="D85" s="449" t="s">
        <v>1094</v>
      </c>
      <c r="E85" s="450" t="s">
        <v>38</v>
      </c>
      <c r="F85" s="451">
        <v>33705324.799999997</v>
      </c>
      <c r="G85" s="451">
        <v>0</v>
      </c>
      <c r="H85" s="451">
        <v>0</v>
      </c>
      <c r="I85" s="451">
        <v>33705324.799999997</v>
      </c>
      <c r="J85" s="451">
        <v>359730.09</v>
      </c>
      <c r="K85" s="451">
        <v>0</v>
      </c>
      <c r="L85" s="451">
        <v>0</v>
      </c>
      <c r="M85" s="451">
        <v>359730.09</v>
      </c>
      <c r="N85" s="451">
        <v>-5703</v>
      </c>
      <c r="O85" s="451">
        <v>0</v>
      </c>
      <c r="P85" s="451">
        <v>0</v>
      </c>
      <c r="Q85" s="451">
        <v>-5703</v>
      </c>
      <c r="R85" s="451">
        <v>733000</v>
      </c>
      <c r="S85" s="451">
        <v>0</v>
      </c>
      <c r="T85" s="451">
        <v>0</v>
      </c>
      <c r="U85" s="451">
        <v>733000</v>
      </c>
      <c r="V85" s="451">
        <v>2205000</v>
      </c>
      <c r="W85" s="451">
        <v>0</v>
      </c>
      <c r="X85" s="451">
        <v>0</v>
      </c>
      <c r="Y85" s="451">
        <v>2205000</v>
      </c>
      <c r="Z85" s="451">
        <v>30413298</v>
      </c>
      <c r="AA85" s="451">
        <v>0</v>
      </c>
      <c r="AB85" s="451">
        <v>0</v>
      </c>
      <c r="AC85" s="451">
        <v>30413298</v>
      </c>
      <c r="AD85" s="451">
        <v>0</v>
      </c>
      <c r="AE85" s="451">
        <v>0</v>
      </c>
      <c r="AF85" s="451">
        <v>0</v>
      </c>
      <c r="AG85" s="451">
        <v>0</v>
      </c>
      <c r="AH85" s="451">
        <v>0</v>
      </c>
      <c r="AI85" s="451">
        <v>0</v>
      </c>
      <c r="AJ85" s="451">
        <v>0</v>
      </c>
      <c r="AK85" s="451">
        <v>0</v>
      </c>
      <c r="AL85" s="451">
        <v>0</v>
      </c>
      <c r="AM85" s="451">
        <v>0</v>
      </c>
      <c r="AN85" s="451">
        <v>0</v>
      </c>
      <c r="AO85" s="451">
        <v>2592966</v>
      </c>
      <c r="AP85" s="451">
        <v>816120</v>
      </c>
      <c r="AQ85" s="324"/>
      <c r="AR85" s="310"/>
      <c r="AS85" s="310"/>
      <c r="AT85" s="310"/>
      <c r="AU85" s="310"/>
      <c r="AV85" s="310"/>
      <c r="AW85" s="310"/>
      <c r="AX85" s="310"/>
      <c r="AY85" s="310"/>
      <c r="AZ85" s="310"/>
      <c r="BA85" s="310"/>
      <c r="BB85" s="310"/>
      <c r="BC85" s="310"/>
      <c r="BD85" s="310"/>
      <c r="BE85" s="310"/>
      <c r="BF85" s="310"/>
      <c r="BG85" s="310"/>
      <c r="BH85" s="310"/>
      <c r="BI85" s="310"/>
      <c r="BJ85" s="310"/>
      <c r="BK85" s="310"/>
      <c r="BL85" s="310"/>
      <c r="BM85" s="310"/>
      <c r="BN85" s="310"/>
      <c r="BO85" s="310"/>
      <c r="BP85" s="310"/>
      <c r="BQ85" s="310"/>
      <c r="BR85" s="310"/>
      <c r="BS85" s="310"/>
      <c r="BT85" s="310"/>
      <c r="BU85" s="310"/>
      <c r="BV85" s="310"/>
      <c r="BW85" s="310"/>
      <c r="BX85" s="310"/>
      <c r="BY85" s="310"/>
      <c r="BZ85" s="310"/>
      <c r="CA85" s="310"/>
      <c r="CB85" s="310"/>
      <c r="CC85" s="310"/>
      <c r="CD85" s="310"/>
      <c r="CE85" s="310"/>
      <c r="CF85" s="310"/>
      <c r="CG85" s="310"/>
      <c r="CH85" s="310"/>
      <c r="CI85" s="310"/>
      <c r="CJ85" s="310"/>
      <c r="CK85" s="310"/>
      <c r="CL85" s="310"/>
      <c r="CM85" s="310"/>
      <c r="CN85" s="310"/>
      <c r="CO85" s="310"/>
      <c r="CP85" s="310"/>
      <c r="CQ85" s="310"/>
      <c r="CR85" s="310"/>
      <c r="CS85" s="310"/>
      <c r="CT85" s="310"/>
      <c r="CU85" s="310"/>
      <c r="CV85" s="310"/>
      <c r="CW85" s="310"/>
      <c r="CX85" s="310"/>
      <c r="CY85" s="310"/>
      <c r="CZ85" s="310"/>
      <c r="DA85" s="310"/>
      <c r="DB85" s="310"/>
      <c r="DC85" s="310"/>
      <c r="DD85" s="310"/>
      <c r="DE85" s="310"/>
      <c r="DF85" s="310"/>
      <c r="DG85" s="310"/>
      <c r="DH85" s="310"/>
      <c r="DI85" s="310"/>
      <c r="DJ85" s="310"/>
      <c r="DK85" s="310"/>
      <c r="DL85" s="310"/>
      <c r="DM85" s="310"/>
      <c r="DN85" s="310"/>
      <c r="DO85" s="310"/>
      <c r="DP85" s="310"/>
      <c r="DQ85" s="310"/>
      <c r="DR85" s="310"/>
      <c r="DS85" s="310"/>
      <c r="DT85" s="310"/>
      <c r="DU85" s="310"/>
      <c r="DV85" s="310"/>
      <c r="DW85" s="310"/>
      <c r="DX85" s="310"/>
      <c r="DY85" s="310"/>
      <c r="DZ85" s="310"/>
      <c r="EA85" s="310"/>
      <c r="EB85" s="310"/>
      <c r="EC85" s="310"/>
      <c r="ED85" s="310"/>
      <c r="EE85" s="310"/>
      <c r="EF85" s="310"/>
      <c r="EG85" s="310"/>
      <c r="EH85" s="310"/>
      <c r="EI85" s="310"/>
      <c r="EJ85" s="310"/>
      <c r="EK85" s="310"/>
      <c r="EL85" s="310"/>
      <c r="EM85" s="310"/>
      <c r="EN85" s="310"/>
      <c r="EO85" s="310"/>
      <c r="EP85" s="310"/>
      <c r="EQ85" s="310"/>
      <c r="ER85" s="310"/>
      <c r="ES85" s="310"/>
      <c r="ET85" s="310"/>
      <c r="EU85" s="310"/>
      <c r="EV85" s="310"/>
      <c r="EW85" s="310"/>
      <c r="EX85" s="310"/>
      <c r="EY85" s="310"/>
      <c r="EZ85" s="310"/>
      <c r="FA85" s="310"/>
      <c r="FB85" s="310"/>
      <c r="FC85" s="310"/>
      <c r="FD85" s="310"/>
      <c r="FE85" s="311"/>
      <c r="FF85" s="312"/>
    </row>
    <row r="86" spans="1:162" ht="12.75" x14ac:dyDescent="0.2">
      <c r="A86" s="446">
        <v>79</v>
      </c>
      <c r="B86" s="447" t="s">
        <v>41</v>
      </c>
      <c r="C86" s="448" t="s">
        <v>1100</v>
      </c>
      <c r="D86" s="449" t="s">
        <v>1103</v>
      </c>
      <c r="E86" s="450" t="s">
        <v>40</v>
      </c>
      <c r="F86" s="451">
        <v>93378914</v>
      </c>
      <c r="G86" s="451">
        <v>0</v>
      </c>
      <c r="H86" s="451">
        <v>0</v>
      </c>
      <c r="I86" s="451">
        <v>93378914</v>
      </c>
      <c r="J86" s="451">
        <v>1488537</v>
      </c>
      <c r="K86" s="451">
        <v>0</v>
      </c>
      <c r="L86" s="451">
        <v>0</v>
      </c>
      <c r="M86" s="451">
        <v>1488537</v>
      </c>
      <c r="N86" s="451">
        <v>605000</v>
      </c>
      <c r="O86" s="451">
        <v>0</v>
      </c>
      <c r="P86" s="451">
        <v>0</v>
      </c>
      <c r="Q86" s="451">
        <v>605000</v>
      </c>
      <c r="R86" s="451">
        <v>1700000</v>
      </c>
      <c r="S86" s="451">
        <v>0</v>
      </c>
      <c r="T86" s="451">
        <v>0</v>
      </c>
      <c r="U86" s="451">
        <v>1700000</v>
      </c>
      <c r="V86" s="451">
        <v>5000000</v>
      </c>
      <c r="W86" s="451">
        <v>0</v>
      </c>
      <c r="X86" s="451">
        <v>0</v>
      </c>
      <c r="Y86" s="451">
        <v>5000000</v>
      </c>
      <c r="Z86" s="451">
        <v>84585377</v>
      </c>
      <c r="AA86" s="451">
        <v>0</v>
      </c>
      <c r="AB86" s="451">
        <v>0</v>
      </c>
      <c r="AC86" s="451">
        <v>84585377</v>
      </c>
      <c r="AD86" s="451">
        <v>0</v>
      </c>
      <c r="AE86" s="451">
        <v>0</v>
      </c>
      <c r="AF86" s="451">
        <v>0</v>
      </c>
      <c r="AG86" s="451">
        <v>0</v>
      </c>
      <c r="AH86" s="451">
        <v>0</v>
      </c>
      <c r="AI86" s="451">
        <v>0</v>
      </c>
      <c r="AJ86" s="451">
        <v>0</v>
      </c>
      <c r="AK86" s="451">
        <v>0</v>
      </c>
      <c r="AL86" s="451">
        <v>0</v>
      </c>
      <c r="AM86" s="451">
        <v>0</v>
      </c>
      <c r="AN86" s="451">
        <v>0</v>
      </c>
      <c r="AO86" s="451">
        <v>5671333</v>
      </c>
      <c r="AP86" s="451">
        <v>1561147</v>
      </c>
      <c r="AQ86" s="324"/>
      <c r="AR86" s="310"/>
      <c r="AS86" s="310"/>
      <c r="AT86" s="310"/>
      <c r="AU86" s="310"/>
      <c r="AV86" s="310"/>
      <c r="AW86" s="310"/>
      <c r="AX86" s="310"/>
      <c r="AY86" s="310"/>
      <c r="AZ86" s="310"/>
      <c r="BA86" s="310"/>
      <c r="BB86" s="310"/>
      <c r="BC86" s="310"/>
      <c r="BD86" s="310"/>
      <c r="BE86" s="310"/>
      <c r="BF86" s="310"/>
      <c r="BG86" s="310"/>
      <c r="BH86" s="310"/>
      <c r="BI86" s="310"/>
      <c r="BJ86" s="310"/>
      <c r="BK86" s="310"/>
      <c r="BL86" s="310"/>
      <c r="BM86" s="310"/>
      <c r="BN86" s="310"/>
      <c r="BO86" s="310"/>
      <c r="BP86" s="310"/>
      <c r="BQ86" s="310"/>
      <c r="BR86" s="310"/>
      <c r="BS86" s="310"/>
      <c r="BT86" s="310"/>
      <c r="BU86" s="310"/>
      <c r="BV86" s="310"/>
      <c r="BW86" s="310"/>
      <c r="BX86" s="310"/>
      <c r="BY86" s="310"/>
      <c r="BZ86" s="310"/>
      <c r="CA86" s="310"/>
      <c r="CB86" s="310"/>
      <c r="CC86" s="310"/>
      <c r="CD86" s="310"/>
      <c r="CE86" s="310"/>
      <c r="CF86" s="310"/>
      <c r="CG86" s="310"/>
      <c r="CH86" s="310"/>
      <c r="CI86" s="310"/>
      <c r="CJ86" s="310"/>
      <c r="CK86" s="310"/>
      <c r="CL86" s="310"/>
      <c r="CM86" s="310"/>
      <c r="CN86" s="310"/>
      <c r="CO86" s="310"/>
      <c r="CP86" s="310"/>
      <c r="CQ86" s="310"/>
      <c r="CR86" s="310"/>
      <c r="CS86" s="310"/>
      <c r="CT86" s="310"/>
      <c r="CU86" s="310"/>
      <c r="CV86" s="310"/>
      <c r="CW86" s="310"/>
      <c r="CX86" s="310"/>
      <c r="CY86" s="310"/>
      <c r="CZ86" s="310"/>
      <c r="DA86" s="310"/>
      <c r="DB86" s="310"/>
      <c r="DC86" s="310"/>
      <c r="DD86" s="310"/>
      <c r="DE86" s="310"/>
      <c r="DF86" s="310"/>
      <c r="DG86" s="310"/>
      <c r="DH86" s="310"/>
      <c r="DI86" s="310"/>
      <c r="DJ86" s="310"/>
      <c r="DK86" s="310"/>
      <c r="DL86" s="310"/>
      <c r="DM86" s="310"/>
      <c r="DN86" s="310"/>
      <c r="DO86" s="310"/>
      <c r="DP86" s="310"/>
      <c r="DQ86" s="310"/>
      <c r="DR86" s="310"/>
      <c r="DS86" s="310"/>
      <c r="DT86" s="310"/>
      <c r="DU86" s="310"/>
      <c r="DV86" s="310"/>
      <c r="DW86" s="310"/>
      <c r="DX86" s="310"/>
      <c r="DY86" s="310"/>
      <c r="DZ86" s="310"/>
      <c r="EA86" s="310"/>
      <c r="EB86" s="310"/>
      <c r="EC86" s="310"/>
      <c r="ED86" s="310"/>
      <c r="EE86" s="310"/>
      <c r="EF86" s="310"/>
      <c r="EG86" s="310"/>
      <c r="EH86" s="310"/>
      <c r="EI86" s="310"/>
      <c r="EJ86" s="310"/>
      <c r="EK86" s="310"/>
      <c r="EL86" s="310"/>
      <c r="EM86" s="310"/>
      <c r="EN86" s="310"/>
      <c r="EO86" s="310"/>
      <c r="EP86" s="310"/>
      <c r="EQ86" s="310"/>
      <c r="ER86" s="310"/>
      <c r="ES86" s="310"/>
      <c r="ET86" s="310"/>
      <c r="EU86" s="310"/>
      <c r="EV86" s="310"/>
      <c r="EW86" s="310"/>
      <c r="EX86" s="310"/>
      <c r="EY86" s="310"/>
      <c r="EZ86" s="310"/>
      <c r="FA86" s="310"/>
      <c r="FB86" s="310"/>
      <c r="FC86" s="310"/>
      <c r="FD86" s="310"/>
      <c r="FE86" s="311"/>
      <c r="FF86" s="312"/>
    </row>
    <row r="87" spans="1:162" ht="12.75" x14ac:dyDescent="0.2">
      <c r="A87" s="446">
        <v>80</v>
      </c>
      <c r="B87" s="447" t="s">
        <v>43</v>
      </c>
      <c r="C87" s="448" t="s">
        <v>794</v>
      </c>
      <c r="D87" s="449" t="s">
        <v>1105</v>
      </c>
      <c r="E87" s="450" t="s">
        <v>42</v>
      </c>
      <c r="F87" s="451">
        <v>113165789</v>
      </c>
      <c r="G87" s="451">
        <v>0</v>
      </c>
      <c r="H87" s="451">
        <v>0</v>
      </c>
      <c r="I87" s="451">
        <v>113165789</v>
      </c>
      <c r="J87" s="451">
        <v>1419971</v>
      </c>
      <c r="K87" s="451">
        <v>0</v>
      </c>
      <c r="L87" s="451">
        <v>0</v>
      </c>
      <c r="M87" s="451">
        <v>1419971</v>
      </c>
      <c r="N87" s="451">
        <v>348747</v>
      </c>
      <c r="O87" s="451">
        <v>0</v>
      </c>
      <c r="P87" s="451">
        <v>0</v>
      </c>
      <c r="Q87" s="451">
        <v>348747</v>
      </c>
      <c r="R87" s="451">
        <v>1624243</v>
      </c>
      <c r="S87" s="451">
        <v>0</v>
      </c>
      <c r="T87" s="451">
        <v>0</v>
      </c>
      <c r="U87" s="451">
        <v>1624243</v>
      </c>
      <c r="V87" s="451">
        <v>3567418</v>
      </c>
      <c r="W87" s="451">
        <v>0</v>
      </c>
      <c r="X87" s="451">
        <v>0</v>
      </c>
      <c r="Y87" s="451">
        <v>3567418</v>
      </c>
      <c r="Z87" s="451">
        <v>106205410</v>
      </c>
      <c r="AA87" s="451">
        <v>0</v>
      </c>
      <c r="AB87" s="451">
        <v>0</v>
      </c>
      <c r="AC87" s="451">
        <v>106205410</v>
      </c>
      <c r="AD87" s="451">
        <v>7579</v>
      </c>
      <c r="AE87" s="451">
        <v>0</v>
      </c>
      <c r="AF87" s="451">
        <v>0</v>
      </c>
      <c r="AG87" s="451">
        <v>7579</v>
      </c>
      <c r="AH87" s="451">
        <v>0</v>
      </c>
      <c r="AI87" s="451">
        <v>0</v>
      </c>
      <c r="AJ87" s="451">
        <v>0</v>
      </c>
      <c r="AK87" s="451">
        <v>0</v>
      </c>
      <c r="AL87" s="451">
        <v>0</v>
      </c>
      <c r="AM87" s="451">
        <v>0</v>
      </c>
      <c r="AN87" s="451">
        <v>7579</v>
      </c>
      <c r="AO87" s="451">
        <v>7992661</v>
      </c>
      <c r="AP87" s="451">
        <v>1011345</v>
      </c>
      <c r="AQ87" s="324"/>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c r="BP87" s="310"/>
      <c r="BQ87" s="310"/>
      <c r="BR87" s="310"/>
      <c r="BS87" s="310"/>
      <c r="BT87" s="310"/>
      <c r="BU87" s="310"/>
      <c r="BV87" s="310"/>
      <c r="BW87" s="310"/>
      <c r="BX87" s="310"/>
      <c r="BY87" s="310"/>
      <c r="BZ87" s="310"/>
      <c r="CA87" s="310"/>
      <c r="CB87" s="310"/>
      <c r="CC87" s="310"/>
      <c r="CD87" s="310"/>
      <c r="CE87" s="310"/>
      <c r="CF87" s="310"/>
      <c r="CG87" s="310"/>
      <c r="CH87" s="310"/>
      <c r="CI87" s="310"/>
      <c r="CJ87" s="310"/>
      <c r="CK87" s="310"/>
      <c r="CL87" s="310"/>
      <c r="CM87" s="310"/>
      <c r="CN87" s="310"/>
      <c r="CO87" s="310"/>
      <c r="CP87" s="310"/>
      <c r="CQ87" s="310"/>
      <c r="CR87" s="310"/>
      <c r="CS87" s="310"/>
      <c r="CT87" s="310"/>
      <c r="CU87" s="310"/>
      <c r="CV87" s="310"/>
      <c r="CW87" s="310"/>
      <c r="CX87" s="310"/>
      <c r="CY87" s="310"/>
      <c r="CZ87" s="310"/>
      <c r="DA87" s="310"/>
      <c r="DB87" s="310"/>
      <c r="DC87" s="310"/>
      <c r="DD87" s="310"/>
      <c r="DE87" s="310"/>
      <c r="DF87" s="310"/>
      <c r="DG87" s="310"/>
      <c r="DH87" s="310"/>
      <c r="DI87" s="310"/>
      <c r="DJ87" s="310"/>
      <c r="DK87" s="310"/>
      <c r="DL87" s="310"/>
      <c r="DM87" s="310"/>
      <c r="DN87" s="310"/>
      <c r="DO87" s="310"/>
      <c r="DP87" s="310"/>
      <c r="DQ87" s="310"/>
      <c r="DR87" s="310"/>
      <c r="DS87" s="310"/>
      <c r="DT87" s="310"/>
      <c r="DU87" s="310"/>
      <c r="DV87" s="310"/>
      <c r="DW87" s="310"/>
      <c r="DX87" s="310"/>
      <c r="DY87" s="310"/>
      <c r="DZ87" s="310"/>
      <c r="EA87" s="310"/>
      <c r="EB87" s="310"/>
      <c r="EC87" s="310"/>
      <c r="ED87" s="310"/>
      <c r="EE87" s="310"/>
      <c r="EF87" s="310"/>
      <c r="EG87" s="310"/>
      <c r="EH87" s="310"/>
      <c r="EI87" s="310"/>
      <c r="EJ87" s="310"/>
      <c r="EK87" s="310"/>
      <c r="EL87" s="310"/>
      <c r="EM87" s="310"/>
      <c r="EN87" s="310"/>
      <c r="EO87" s="310"/>
      <c r="EP87" s="310"/>
      <c r="EQ87" s="310"/>
      <c r="ER87" s="310"/>
      <c r="ES87" s="310"/>
      <c r="ET87" s="310"/>
      <c r="EU87" s="310"/>
      <c r="EV87" s="310"/>
      <c r="EW87" s="310"/>
      <c r="EX87" s="310"/>
      <c r="EY87" s="310"/>
      <c r="EZ87" s="310"/>
      <c r="FA87" s="310"/>
      <c r="FB87" s="310"/>
      <c r="FC87" s="310"/>
      <c r="FD87" s="310"/>
      <c r="FE87" s="311"/>
      <c r="FF87" s="312"/>
    </row>
    <row r="88" spans="1:162" ht="12.75" x14ac:dyDescent="0.2">
      <c r="A88" s="446">
        <v>81</v>
      </c>
      <c r="B88" s="447" t="s">
        <v>45</v>
      </c>
      <c r="C88" s="448" t="s">
        <v>1098</v>
      </c>
      <c r="D88" s="449" t="s">
        <v>1099</v>
      </c>
      <c r="E88" s="450" t="s">
        <v>44</v>
      </c>
      <c r="F88" s="451">
        <v>145587514</v>
      </c>
      <c r="G88" s="451">
        <v>0</v>
      </c>
      <c r="H88" s="451">
        <v>0</v>
      </c>
      <c r="I88" s="451">
        <v>145587514</v>
      </c>
      <c r="J88" s="451">
        <v>396377</v>
      </c>
      <c r="K88" s="451">
        <v>0</v>
      </c>
      <c r="L88" s="451">
        <v>0</v>
      </c>
      <c r="M88" s="451">
        <v>396377</v>
      </c>
      <c r="N88" s="451">
        <v>4322204</v>
      </c>
      <c r="O88" s="451">
        <v>0</v>
      </c>
      <c r="P88" s="451">
        <v>0</v>
      </c>
      <c r="Q88" s="451">
        <v>4322204</v>
      </c>
      <c r="R88" s="451">
        <v>2836570</v>
      </c>
      <c r="S88" s="451">
        <v>0</v>
      </c>
      <c r="T88" s="451">
        <v>0</v>
      </c>
      <c r="U88" s="451">
        <v>2836570</v>
      </c>
      <c r="V88" s="451">
        <v>17733028</v>
      </c>
      <c r="W88" s="451">
        <v>0</v>
      </c>
      <c r="X88" s="451">
        <v>0</v>
      </c>
      <c r="Y88" s="451">
        <v>17733028</v>
      </c>
      <c r="Z88" s="451">
        <v>120299335</v>
      </c>
      <c r="AA88" s="451">
        <v>0</v>
      </c>
      <c r="AB88" s="451">
        <v>0</v>
      </c>
      <c r="AC88" s="451">
        <v>120299335</v>
      </c>
      <c r="AD88" s="451">
        <v>0</v>
      </c>
      <c r="AE88" s="451">
        <v>0</v>
      </c>
      <c r="AF88" s="451">
        <v>0</v>
      </c>
      <c r="AG88" s="451">
        <v>0</v>
      </c>
      <c r="AH88" s="451">
        <v>0</v>
      </c>
      <c r="AI88" s="451">
        <v>0</v>
      </c>
      <c r="AJ88" s="451">
        <v>0</v>
      </c>
      <c r="AK88" s="451">
        <v>0</v>
      </c>
      <c r="AL88" s="451">
        <v>0</v>
      </c>
      <c r="AM88" s="451">
        <v>0</v>
      </c>
      <c r="AN88" s="451">
        <v>0</v>
      </c>
      <c r="AO88" s="451">
        <v>23819916</v>
      </c>
      <c r="AP88" s="451">
        <v>7550425</v>
      </c>
      <c r="AQ88" s="324"/>
      <c r="AR88" s="310"/>
      <c r="AS88" s="310"/>
      <c r="AT88" s="310"/>
      <c r="AU88" s="310"/>
      <c r="AV88" s="310"/>
      <c r="AW88" s="310"/>
      <c r="AX88" s="310"/>
      <c r="AY88" s="310"/>
      <c r="AZ88" s="310"/>
      <c r="BA88" s="310"/>
      <c r="BB88" s="310"/>
      <c r="BC88" s="310"/>
      <c r="BD88" s="310"/>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310"/>
      <c r="CA88" s="310"/>
      <c r="CB88" s="310"/>
      <c r="CC88" s="310"/>
      <c r="CD88" s="310"/>
      <c r="CE88" s="310"/>
      <c r="CF88" s="310"/>
      <c r="CG88" s="310"/>
      <c r="CH88" s="310"/>
      <c r="CI88" s="310"/>
      <c r="CJ88" s="310"/>
      <c r="CK88" s="310"/>
      <c r="CL88" s="310"/>
      <c r="CM88" s="310"/>
      <c r="CN88" s="310"/>
      <c r="CO88" s="310"/>
      <c r="CP88" s="310"/>
      <c r="CQ88" s="310"/>
      <c r="CR88" s="310"/>
      <c r="CS88" s="310"/>
      <c r="CT88" s="310"/>
      <c r="CU88" s="310"/>
      <c r="CV88" s="310"/>
      <c r="CW88" s="310"/>
      <c r="CX88" s="310"/>
      <c r="CY88" s="310"/>
      <c r="CZ88" s="310"/>
      <c r="DA88" s="310"/>
      <c r="DB88" s="310"/>
      <c r="DC88" s="310"/>
      <c r="DD88" s="310"/>
      <c r="DE88" s="310"/>
      <c r="DF88" s="310"/>
      <c r="DG88" s="310"/>
      <c r="DH88" s="310"/>
      <c r="DI88" s="310"/>
      <c r="DJ88" s="310"/>
      <c r="DK88" s="310"/>
      <c r="DL88" s="310"/>
      <c r="DM88" s="310"/>
      <c r="DN88" s="310"/>
      <c r="DO88" s="310"/>
      <c r="DP88" s="310"/>
      <c r="DQ88" s="310"/>
      <c r="DR88" s="310"/>
      <c r="DS88" s="310"/>
      <c r="DT88" s="310"/>
      <c r="DU88" s="310"/>
      <c r="DV88" s="310"/>
      <c r="DW88" s="310"/>
      <c r="DX88" s="310"/>
      <c r="DY88" s="310"/>
      <c r="DZ88" s="310"/>
      <c r="EA88" s="310"/>
      <c r="EB88" s="310"/>
      <c r="EC88" s="310"/>
      <c r="ED88" s="310"/>
      <c r="EE88" s="310"/>
      <c r="EF88" s="310"/>
      <c r="EG88" s="310"/>
      <c r="EH88" s="310"/>
      <c r="EI88" s="310"/>
      <c r="EJ88" s="310"/>
      <c r="EK88" s="310"/>
      <c r="EL88" s="310"/>
      <c r="EM88" s="310"/>
      <c r="EN88" s="310"/>
      <c r="EO88" s="310"/>
      <c r="EP88" s="310"/>
      <c r="EQ88" s="310"/>
      <c r="ER88" s="310"/>
      <c r="ES88" s="310"/>
      <c r="ET88" s="310"/>
      <c r="EU88" s="310"/>
      <c r="EV88" s="310"/>
      <c r="EW88" s="310"/>
      <c r="EX88" s="310"/>
      <c r="EY88" s="310"/>
      <c r="EZ88" s="310"/>
      <c r="FA88" s="310"/>
      <c r="FB88" s="310"/>
      <c r="FC88" s="310"/>
      <c r="FD88" s="310"/>
      <c r="FE88" s="311"/>
      <c r="FF88" s="312"/>
    </row>
    <row r="89" spans="1:162" ht="12.75" x14ac:dyDescent="0.2">
      <c r="A89" s="446">
        <v>82</v>
      </c>
      <c r="B89" s="447" t="s">
        <v>47</v>
      </c>
      <c r="C89" s="448" t="s">
        <v>1093</v>
      </c>
      <c r="D89" s="449" t="s">
        <v>1097</v>
      </c>
      <c r="E89" s="450" t="s">
        <v>46</v>
      </c>
      <c r="F89" s="451">
        <v>17263258.199999999</v>
      </c>
      <c r="G89" s="451">
        <v>0</v>
      </c>
      <c r="H89" s="451">
        <v>0</v>
      </c>
      <c r="I89" s="451">
        <v>17263258.199999999</v>
      </c>
      <c r="J89" s="451">
        <v>34886.43</v>
      </c>
      <c r="K89" s="451">
        <v>0</v>
      </c>
      <c r="L89" s="451">
        <v>0</v>
      </c>
      <c r="M89" s="451">
        <v>34886.43</v>
      </c>
      <c r="N89" s="451">
        <v>1366.57</v>
      </c>
      <c r="O89" s="451">
        <v>0</v>
      </c>
      <c r="P89" s="451">
        <v>0</v>
      </c>
      <c r="Q89" s="451">
        <v>1366.57</v>
      </c>
      <c r="R89" s="451">
        <v>248371</v>
      </c>
      <c r="S89" s="451">
        <v>0</v>
      </c>
      <c r="T89" s="451">
        <v>0</v>
      </c>
      <c r="U89" s="451">
        <v>248371</v>
      </c>
      <c r="V89" s="451">
        <v>702468</v>
      </c>
      <c r="W89" s="451">
        <v>0</v>
      </c>
      <c r="X89" s="451">
        <v>0</v>
      </c>
      <c r="Y89" s="451">
        <v>702468</v>
      </c>
      <c r="Z89" s="451">
        <v>16276166</v>
      </c>
      <c r="AA89" s="451">
        <v>0</v>
      </c>
      <c r="AB89" s="451">
        <v>0</v>
      </c>
      <c r="AC89" s="451">
        <v>16276166</v>
      </c>
      <c r="AD89" s="451">
        <v>0</v>
      </c>
      <c r="AE89" s="451">
        <v>0</v>
      </c>
      <c r="AF89" s="451">
        <v>0</v>
      </c>
      <c r="AG89" s="451">
        <v>0</v>
      </c>
      <c r="AH89" s="451">
        <v>0</v>
      </c>
      <c r="AI89" s="451">
        <v>0</v>
      </c>
      <c r="AJ89" s="451">
        <v>0</v>
      </c>
      <c r="AK89" s="451">
        <v>0</v>
      </c>
      <c r="AL89" s="451">
        <v>0</v>
      </c>
      <c r="AM89" s="451">
        <v>0</v>
      </c>
      <c r="AN89" s="451">
        <v>0</v>
      </c>
      <c r="AO89" s="451">
        <v>289687.92</v>
      </c>
      <c r="AP89" s="451">
        <v>90529.85</v>
      </c>
      <c r="AQ89" s="324"/>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0"/>
      <c r="BX89" s="310"/>
      <c r="BY89" s="310"/>
      <c r="BZ89" s="310"/>
      <c r="CA89" s="310"/>
      <c r="CB89" s="310"/>
      <c r="CC89" s="310"/>
      <c r="CD89" s="310"/>
      <c r="CE89" s="310"/>
      <c r="CF89" s="310"/>
      <c r="CG89" s="310"/>
      <c r="CH89" s="310"/>
      <c r="CI89" s="310"/>
      <c r="CJ89" s="310"/>
      <c r="CK89" s="310"/>
      <c r="CL89" s="310"/>
      <c r="CM89" s="310"/>
      <c r="CN89" s="310"/>
      <c r="CO89" s="310"/>
      <c r="CP89" s="310"/>
      <c r="CQ89" s="310"/>
      <c r="CR89" s="310"/>
      <c r="CS89" s="310"/>
      <c r="CT89" s="310"/>
      <c r="CU89" s="310"/>
      <c r="CV89" s="310"/>
      <c r="CW89" s="310"/>
      <c r="CX89" s="310"/>
      <c r="CY89" s="310"/>
      <c r="CZ89" s="310"/>
      <c r="DA89" s="310"/>
      <c r="DB89" s="310"/>
      <c r="DC89" s="310"/>
      <c r="DD89" s="310"/>
      <c r="DE89" s="310"/>
      <c r="DF89" s="310"/>
      <c r="DG89" s="310"/>
      <c r="DH89" s="310"/>
      <c r="DI89" s="310"/>
      <c r="DJ89" s="310"/>
      <c r="DK89" s="310"/>
      <c r="DL89" s="310"/>
      <c r="DM89" s="310"/>
      <c r="DN89" s="310"/>
      <c r="DO89" s="310"/>
      <c r="DP89" s="310"/>
      <c r="DQ89" s="310"/>
      <c r="DR89" s="310"/>
      <c r="DS89" s="310"/>
      <c r="DT89" s="310"/>
      <c r="DU89" s="310"/>
      <c r="DV89" s="310"/>
      <c r="DW89" s="310"/>
      <c r="DX89" s="310"/>
      <c r="DY89" s="310"/>
      <c r="DZ89" s="310"/>
      <c r="EA89" s="310"/>
      <c r="EB89" s="310"/>
      <c r="EC89" s="310"/>
      <c r="ED89" s="310"/>
      <c r="EE89" s="310"/>
      <c r="EF89" s="310"/>
      <c r="EG89" s="310"/>
      <c r="EH89" s="310"/>
      <c r="EI89" s="310"/>
      <c r="EJ89" s="310"/>
      <c r="EK89" s="310"/>
      <c r="EL89" s="310"/>
      <c r="EM89" s="310"/>
      <c r="EN89" s="310"/>
      <c r="EO89" s="310"/>
      <c r="EP89" s="310"/>
      <c r="EQ89" s="310"/>
      <c r="ER89" s="310"/>
      <c r="ES89" s="310"/>
      <c r="ET89" s="310"/>
      <c r="EU89" s="310"/>
      <c r="EV89" s="310"/>
      <c r="EW89" s="310"/>
      <c r="EX89" s="310"/>
      <c r="EY89" s="310"/>
      <c r="EZ89" s="310"/>
      <c r="FA89" s="310"/>
      <c r="FB89" s="310"/>
      <c r="FC89" s="310"/>
      <c r="FD89" s="310"/>
      <c r="FE89" s="311"/>
      <c r="FF89" s="312"/>
    </row>
    <row r="90" spans="1:162" ht="12.75" x14ac:dyDescent="0.2">
      <c r="A90" s="446">
        <v>83</v>
      </c>
      <c r="B90" s="447" t="s">
        <v>49</v>
      </c>
      <c r="C90" s="448" t="s">
        <v>1093</v>
      </c>
      <c r="D90" s="449" t="s">
        <v>1102</v>
      </c>
      <c r="E90" s="450" t="s">
        <v>48</v>
      </c>
      <c r="F90" s="451">
        <v>31532063.800000001</v>
      </c>
      <c r="G90" s="451">
        <v>0</v>
      </c>
      <c r="H90" s="451">
        <v>0</v>
      </c>
      <c r="I90" s="451">
        <v>31532063.800000001</v>
      </c>
      <c r="J90" s="451">
        <v>114622</v>
      </c>
      <c r="K90" s="451">
        <v>0</v>
      </c>
      <c r="L90" s="451">
        <v>0</v>
      </c>
      <c r="M90" s="451">
        <v>114622</v>
      </c>
      <c r="N90" s="451">
        <v>0</v>
      </c>
      <c r="O90" s="451">
        <v>0</v>
      </c>
      <c r="P90" s="451">
        <v>0</v>
      </c>
      <c r="Q90" s="451">
        <v>0</v>
      </c>
      <c r="R90" s="451">
        <v>392836</v>
      </c>
      <c r="S90" s="451">
        <v>0</v>
      </c>
      <c r="T90" s="451">
        <v>0</v>
      </c>
      <c r="U90" s="451">
        <v>392836</v>
      </c>
      <c r="V90" s="451">
        <v>1178508</v>
      </c>
      <c r="W90" s="451">
        <v>0</v>
      </c>
      <c r="X90" s="451">
        <v>0</v>
      </c>
      <c r="Y90" s="451">
        <v>1178508</v>
      </c>
      <c r="Z90" s="451">
        <v>29846098</v>
      </c>
      <c r="AA90" s="451">
        <v>0</v>
      </c>
      <c r="AB90" s="451">
        <v>0</v>
      </c>
      <c r="AC90" s="451">
        <v>29846098</v>
      </c>
      <c r="AD90" s="451">
        <v>0</v>
      </c>
      <c r="AE90" s="451">
        <v>0</v>
      </c>
      <c r="AF90" s="451">
        <v>0</v>
      </c>
      <c r="AG90" s="451">
        <v>0</v>
      </c>
      <c r="AH90" s="451">
        <v>0</v>
      </c>
      <c r="AI90" s="451">
        <v>0</v>
      </c>
      <c r="AJ90" s="451">
        <v>0</v>
      </c>
      <c r="AK90" s="451">
        <v>0</v>
      </c>
      <c r="AL90" s="451">
        <v>0</v>
      </c>
      <c r="AM90" s="451">
        <v>0</v>
      </c>
      <c r="AN90" s="451">
        <v>0</v>
      </c>
      <c r="AO90" s="451">
        <v>759475.85</v>
      </c>
      <c r="AP90" s="451">
        <v>676185.61</v>
      </c>
      <c r="AQ90" s="324"/>
      <c r="AR90" s="310"/>
      <c r="AS90" s="310"/>
      <c r="AT90" s="310"/>
      <c r="AU90" s="310"/>
      <c r="AV90" s="310"/>
      <c r="AW90" s="310"/>
      <c r="AX90" s="310"/>
      <c r="AY90" s="310"/>
      <c r="AZ90" s="310"/>
      <c r="BA90" s="310"/>
      <c r="BB90" s="310"/>
      <c r="BC90" s="310"/>
      <c r="BD90" s="310"/>
      <c r="BE90" s="310"/>
      <c r="BF90" s="310"/>
      <c r="BG90" s="310"/>
      <c r="BH90" s="310"/>
      <c r="BI90" s="310"/>
      <c r="BJ90" s="310"/>
      <c r="BK90" s="310"/>
      <c r="BL90" s="310"/>
      <c r="BM90" s="310"/>
      <c r="BN90" s="310"/>
      <c r="BO90" s="310"/>
      <c r="BP90" s="310"/>
      <c r="BQ90" s="310"/>
      <c r="BR90" s="310"/>
      <c r="BS90" s="310"/>
      <c r="BT90" s="310"/>
      <c r="BU90" s="310"/>
      <c r="BV90" s="310"/>
      <c r="BW90" s="310"/>
      <c r="BX90" s="310"/>
      <c r="BY90" s="310"/>
      <c r="BZ90" s="310"/>
      <c r="CA90" s="310"/>
      <c r="CB90" s="310"/>
      <c r="CC90" s="310"/>
      <c r="CD90" s="310"/>
      <c r="CE90" s="310"/>
      <c r="CF90" s="310"/>
      <c r="CG90" s="310"/>
      <c r="CH90" s="310"/>
      <c r="CI90" s="310"/>
      <c r="CJ90" s="310"/>
      <c r="CK90" s="310"/>
      <c r="CL90" s="310"/>
      <c r="CM90" s="310"/>
      <c r="CN90" s="310"/>
      <c r="CO90" s="310"/>
      <c r="CP90" s="310"/>
      <c r="CQ90" s="310"/>
      <c r="CR90" s="310"/>
      <c r="CS90" s="310"/>
      <c r="CT90" s="310"/>
      <c r="CU90" s="310"/>
      <c r="CV90" s="310"/>
      <c r="CW90" s="310"/>
      <c r="CX90" s="310"/>
      <c r="CY90" s="310"/>
      <c r="CZ90" s="310"/>
      <c r="DA90" s="310"/>
      <c r="DB90" s="310"/>
      <c r="DC90" s="310"/>
      <c r="DD90" s="310"/>
      <c r="DE90" s="310"/>
      <c r="DF90" s="310"/>
      <c r="DG90" s="310"/>
      <c r="DH90" s="310"/>
      <c r="DI90" s="310"/>
      <c r="DJ90" s="310"/>
      <c r="DK90" s="310"/>
      <c r="DL90" s="310"/>
      <c r="DM90" s="310"/>
      <c r="DN90" s="310"/>
      <c r="DO90" s="310"/>
      <c r="DP90" s="310"/>
      <c r="DQ90" s="310"/>
      <c r="DR90" s="310"/>
      <c r="DS90" s="310"/>
      <c r="DT90" s="310"/>
      <c r="DU90" s="310"/>
      <c r="DV90" s="310"/>
      <c r="DW90" s="310"/>
      <c r="DX90" s="310"/>
      <c r="DY90" s="310"/>
      <c r="DZ90" s="310"/>
      <c r="EA90" s="310"/>
      <c r="EB90" s="310"/>
      <c r="EC90" s="310"/>
      <c r="ED90" s="310"/>
      <c r="EE90" s="310"/>
      <c r="EF90" s="310"/>
      <c r="EG90" s="310"/>
      <c r="EH90" s="310"/>
      <c r="EI90" s="310"/>
      <c r="EJ90" s="310"/>
      <c r="EK90" s="310"/>
      <c r="EL90" s="310"/>
      <c r="EM90" s="310"/>
      <c r="EN90" s="310"/>
      <c r="EO90" s="310"/>
      <c r="EP90" s="310"/>
      <c r="EQ90" s="310"/>
      <c r="ER90" s="310"/>
      <c r="ES90" s="310"/>
      <c r="ET90" s="310"/>
      <c r="EU90" s="310"/>
      <c r="EV90" s="310"/>
      <c r="EW90" s="310"/>
      <c r="EX90" s="310"/>
      <c r="EY90" s="310"/>
      <c r="EZ90" s="310"/>
      <c r="FA90" s="310"/>
      <c r="FB90" s="310"/>
      <c r="FC90" s="310"/>
      <c r="FD90" s="310"/>
      <c r="FE90" s="311"/>
      <c r="FF90" s="312"/>
    </row>
    <row r="91" spans="1:162" ht="12.75" x14ac:dyDescent="0.2">
      <c r="A91" s="446">
        <v>84</v>
      </c>
      <c r="B91" s="447" t="s">
        <v>51</v>
      </c>
      <c r="C91" s="448" t="s">
        <v>1093</v>
      </c>
      <c r="D91" s="449" t="s">
        <v>1102</v>
      </c>
      <c r="E91" s="450" t="s">
        <v>50</v>
      </c>
      <c r="F91" s="451">
        <v>20990112</v>
      </c>
      <c r="G91" s="451">
        <v>0</v>
      </c>
      <c r="H91" s="451">
        <v>0</v>
      </c>
      <c r="I91" s="451">
        <v>20990112</v>
      </c>
      <c r="J91" s="451">
        <v>-14290</v>
      </c>
      <c r="K91" s="451">
        <v>0</v>
      </c>
      <c r="L91" s="451">
        <v>0</v>
      </c>
      <c r="M91" s="451">
        <v>-14290</v>
      </c>
      <c r="N91" s="451">
        <v>60344</v>
      </c>
      <c r="O91" s="451">
        <v>0</v>
      </c>
      <c r="P91" s="451">
        <v>0</v>
      </c>
      <c r="Q91" s="451">
        <v>60344</v>
      </c>
      <c r="R91" s="451">
        <v>321615</v>
      </c>
      <c r="S91" s="451">
        <v>0</v>
      </c>
      <c r="T91" s="451">
        <v>0</v>
      </c>
      <c r="U91" s="451">
        <v>321615</v>
      </c>
      <c r="V91" s="451">
        <v>850774</v>
      </c>
      <c r="W91" s="451">
        <v>0</v>
      </c>
      <c r="X91" s="451">
        <v>0</v>
      </c>
      <c r="Y91" s="451">
        <v>850774</v>
      </c>
      <c r="Z91" s="451">
        <v>19771669</v>
      </c>
      <c r="AA91" s="451">
        <v>0</v>
      </c>
      <c r="AB91" s="451">
        <v>0</v>
      </c>
      <c r="AC91" s="451">
        <v>19771669</v>
      </c>
      <c r="AD91" s="451">
        <v>0</v>
      </c>
      <c r="AE91" s="451">
        <v>0</v>
      </c>
      <c r="AF91" s="451">
        <v>0</v>
      </c>
      <c r="AG91" s="451">
        <v>0</v>
      </c>
      <c r="AH91" s="451">
        <v>0</v>
      </c>
      <c r="AI91" s="451">
        <v>0</v>
      </c>
      <c r="AJ91" s="451">
        <v>0</v>
      </c>
      <c r="AK91" s="451">
        <v>0</v>
      </c>
      <c r="AL91" s="451">
        <v>0</v>
      </c>
      <c r="AM91" s="451">
        <v>0</v>
      </c>
      <c r="AN91" s="451">
        <v>0</v>
      </c>
      <c r="AO91" s="451">
        <v>626278.21</v>
      </c>
      <c r="AP91" s="451">
        <v>-175288</v>
      </c>
      <c r="AQ91" s="324" t="s">
        <v>1120</v>
      </c>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0"/>
      <c r="BN91" s="310"/>
      <c r="BO91" s="310"/>
      <c r="BP91" s="310"/>
      <c r="BQ91" s="310"/>
      <c r="BR91" s="310"/>
      <c r="BS91" s="310"/>
      <c r="BT91" s="310"/>
      <c r="BU91" s="310"/>
      <c r="BV91" s="310"/>
      <c r="BW91" s="310"/>
      <c r="BX91" s="310"/>
      <c r="BY91" s="310"/>
      <c r="BZ91" s="310"/>
      <c r="CA91" s="310"/>
      <c r="CB91" s="310"/>
      <c r="CC91" s="310"/>
      <c r="CD91" s="310"/>
      <c r="CE91" s="310"/>
      <c r="CF91" s="310"/>
      <c r="CG91" s="310"/>
      <c r="CH91" s="310"/>
      <c r="CI91" s="310"/>
      <c r="CJ91" s="310"/>
      <c r="CK91" s="310"/>
      <c r="CL91" s="310"/>
      <c r="CM91" s="310"/>
      <c r="CN91" s="310"/>
      <c r="CO91" s="310"/>
      <c r="CP91" s="310"/>
      <c r="CQ91" s="310"/>
      <c r="CR91" s="310"/>
      <c r="CS91" s="310"/>
      <c r="CT91" s="310"/>
      <c r="CU91" s="310"/>
      <c r="CV91" s="310"/>
      <c r="CW91" s="310"/>
      <c r="CX91" s="310"/>
      <c r="CY91" s="310"/>
      <c r="CZ91" s="310"/>
      <c r="DA91" s="310"/>
      <c r="DB91" s="310"/>
      <c r="DC91" s="310"/>
      <c r="DD91" s="310"/>
      <c r="DE91" s="310"/>
      <c r="DF91" s="310"/>
      <c r="DG91" s="310"/>
      <c r="DH91" s="310"/>
      <c r="DI91" s="310"/>
      <c r="DJ91" s="310"/>
      <c r="DK91" s="310"/>
      <c r="DL91" s="310"/>
      <c r="DM91" s="310"/>
      <c r="DN91" s="310"/>
      <c r="DO91" s="310"/>
      <c r="DP91" s="310"/>
      <c r="DQ91" s="310"/>
      <c r="DR91" s="310"/>
      <c r="DS91" s="310"/>
      <c r="DT91" s="310"/>
      <c r="DU91" s="310"/>
      <c r="DV91" s="310"/>
      <c r="DW91" s="310"/>
      <c r="DX91" s="310"/>
      <c r="DY91" s="310"/>
      <c r="DZ91" s="310"/>
      <c r="EA91" s="310"/>
      <c r="EB91" s="310"/>
      <c r="EC91" s="310"/>
      <c r="ED91" s="310"/>
      <c r="EE91" s="310"/>
      <c r="EF91" s="310"/>
      <c r="EG91" s="310"/>
      <c r="EH91" s="310"/>
      <c r="EI91" s="310"/>
      <c r="EJ91" s="310"/>
      <c r="EK91" s="310"/>
      <c r="EL91" s="310"/>
      <c r="EM91" s="310"/>
      <c r="EN91" s="310"/>
      <c r="EO91" s="310"/>
      <c r="EP91" s="310"/>
      <c r="EQ91" s="310"/>
      <c r="ER91" s="310"/>
      <c r="ES91" s="310"/>
      <c r="ET91" s="310"/>
      <c r="EU91" s="310"/>
      <c r="EV91" s="310"/>
      <c r="EW91" s="310"/>
      <c r="EX91" s="310"/>
      <c r="EY91" s="310"/>
      <c r="EZ91" s="310"/>
      <c r="FA91" s="310"/>
      <c r="FB91" s="310"/>
      <c r="FC91" s="310"/>
      <c r="FD91" s="310"/>
      <c r="FE91" s="311"/>
      <c r="FF91" s="312"/>
    </row>
    <row r="92" spans="1:162" ht="12.75" x14ac:dyDescent="0.2">
      <c r="A92" s="446">
        <v>85</v>
      </c>
      <c r="B92" s="447" t="s">
        <v>53</v>
      </c>
      <c r="C92" s="448" t="s">
        <v>1093</v>
      </c>
      <c r="D92" s="449" t="s">
        <v>1094</v>
      </c>
      <c r="E92" s="450" t="s">
        <v>52</v>
      </c>
      <c r="F92" s="451">
        <v>28715316</v>
      </c>
      <c r="G92" s="451">
        <v>0</v>
      </c>
      <c r="H92" s="451">
        <v>0</v>
      </c>
      <c r="I92" s="451">
        <v>28715316</v>
      </c>
      <c r="J92" s="451">
        <v>0</v>
      </c>
      <c r="K92" s="451">
        <v>0</v>
      </c>
      <c r="L92" s="451">
        <v>0</v>
      </c>
      <c r="M92" s="451">
        <v>0</v>
      </c>
      <c r="N92" s="451">
        <v>140471</v>
      </c>
      <c r="O92" s="451">
        <v>0</v>
      </c>
      <c r="P92" s="451">
        <v>0</v>
      </c>
      <c r="Q92" s="451">
        <v>140471</v>
      </c>
      <c r="R92" s="451">
        <v>558333</v>
      </c>
      <c r="S92" s="451">
        <v>0</v>
      </c>
      <c r="T92" s="451">
        <v>0</v>
      </c>
      <c r="U92" s="451">
        <v>558333</v>
      </c>
      <c r="V92" s="451">
        <v>1026985</v>
      </c>
      <c r="W92" s="451">
        <v>0</v>
      </c>
      <c r="X92" s="451">
        <v>0</v>
      </c>
      <c r="Y92" s="451">
        <v>1026985</v>
      </c>
      <c r="Z92" s="451">
        <v>26989527</v>
      </c>
      <c r="AA92" s="451">
        <v>0</v>
      </c>
      <c r="AB92" s="451">
        <v>0</v>
      </c>
      <c r="AC92" s="451">
        <v>26989527</v>
      </c>
      <c r="AD92" s="451">
        <v>0</v>
      </c>
      <c r="AE92" s="451">
        <v>0</v>
      </c>
      <c r="AF92" s="451">
        <v>0</v>
      </c>
      <c r="AG92" s="451">
        <v>0</v>
      </c>
      <c r="AH92" s="451">
        <v>0</v>
      </c>
      <c r="AI92" s="451">
        <v>0</v>
      </c>
      <c r="AJ92" s="451">
        <v>0</v>
      </c>
      <c r="AK92" s="451">
        <v>0</v>
      </c>
      <c r="AL92" s="451">
        <v>0</v>
      </c>
      <c r="AM92" s="451">
        <v>0</v>
      </c>
      <c r="AN92" s="451">
        <v>0</v>
      </c>
      <c r="AO92" s="451">
        <v>522177</v>
      </c>
      <c r="AP92" s="451">
        <v>263566</v>
      </c>
      <c r="AQ92" s="324"/>
      <c r="AR92" s="310"/>
      <c r="AS92" s="310"/>
      <c r="AT92" s="310"/>
      <c r="AU92" s="310"/>
      <c r="AV92" s="310"/>
      <c r="AW92" s="310"/>
      <c r="AX92" s="310"/>
      <c r="AY92" s="310"/>
      <c r="AZ92" s="310"/>
      <c r="BA92" s="310"/>
      <c r="BB92" s="310"/>
      <c r="BC92" s="310"/>
      <c r="BD92" s="310"/>
      <c r="BE92" s="310"/>
      <c r="BF92" s="310"/>
      <c r="BG92" s="310"/>
      <c r="BH92" s="310"/>
      <c r="BI92" s="310"/>
      <c r="BJ92" s="310"/>
      <c r="BK92" s="310"/>
      <c r="BL92" s="310"/>
      <c r="BM92" s="310"/>
      <c r="BN92" s="310"/>
      <c r="BO92" s="310"/>
      <c r="BP92" s="310"/>
      <c r="BQ92" s="310"/>
      <c r="BR92" s="310"/>
      <c r="BS92" s="310"/>
      <c r="BT92" s="310"/>
      <c r="BU92" s="310"/>
      <c r="BV92" s="310"/>
      <c r="BW92" s="310"/>
      <c r="BX92" s="310"/>
      <c r="BY92" s="310"/>
      <c r="BZ92" s="310"/>
      <c r="CA92" s="310"/>
      <c r="CB92" s="310"/>
      <c r="CC92" s="310"/>
      <c r="CD92" s="310"/>
      <c r="CE92" s="310"/>
      <c r="CF92" s="310"/>
      <c r="CG92" s="310"/>
      <c r="CH92" s="310"/>
      <c r="CI92" s="310"/>
      <c r="CJ92" s="310"/>
      <c r="CK92" s="310"/>
      <c r="CL92" s="310"/>
      <c r="CM92" s="310"/>
      <c r="CN92" s="310"/>
      <c r="CO92" s="310"/>
      <c r="CP92" s="310"/>
      <c r="CQ92" s="310"/>
      <c r="CR92" s="310"/>
      <c r="CS92" s="310"/>
      <c r="CT92" s="310"/>
      <c r="CU92" s="310"/>
      <c r="CV92" s="310"/>
      <c r="CW92" s="310"/>
      <c r="CX92" s="310"/>
      <c r="CY92" s="310"/>
      <c r="CZ92" s="310"/>
      <c r="DA92" s="310"/>
      <c r="DB92" s="310"/>
      <c r="DC92" s="310"/>
      <c r="DD92" s="310"/>
      <c r="DE92" s="310"/>
      <c r="DF92" s="310"/>
      <c r="DG92" s="310"/>
      <c r="DH92" s="310"/>
      <c r="DI92" s="310"/>
      <c r="DJ92" s="310"/>
      <c r="DK92" s="310"/>
      <c r="DL92" s="310"/>
      <c r="DM92" s="310"/>
      <c r="DN92" s="310"/>
      <c r="DO92" s="310"/>
      <c r="DP92" s="310"/>
      <c r="DQ92" s="310"/>
      <c r="DR92" s="310"/>
      <c r="DS92" s="310"/>
      <c r="DT92" s="310"/>
      <c r="DU92" s="310"/>
      <c r="DV92" s="310"/>
      <c r="DW92" s="310"/>
      <c r="DX92" s="310"/>
      <c r="DY92" s="310"/>
      <c r="DZ92" s="310"/>
      <c r="EA92" s="310"/>
      <c r="EB92" s="310"/>
      <c r="EC92" s="310"/>
      <c r="ED92" s="310"/>
      <c r="EE92" s="310"/>
      <c r="EF92" s="310"/>
      <c r="EG92" s="310"/>
      <c r="EH92" s="310"/>
      <c r="EI92" s="310"/>
      <c r="EJ92" s="310"/>
      <c r="EK92" s="310"/>
      <c r="EL92" s="310"/>
      <c r="EM92" s="310"/>
      <c r="EN92" s="310"/>
      <c r="EO92" s="310"/>
      <c r="EP92" s="310"/>
      <c r="EQ92" s="310"/>
      <c r="ER92" s="310"/>
      <c r="ES92" s="310"/>
      <c r="ET92" s="310"/>
      <c r="EU92" s="310"/>
      <c r="EV92" s="310"/>
      <c r="EW92" s="310"/>
      <c r="EX92" s="310"/>
      <c r="EY92" s="310"/>
      <c r="EZ92" s="310"/>
      <c r="FA92" s="310"/>
      <c r="FB92" s="310"/>
      <c r="FC92" s="310"/>
      <c r="FD92" s="310"/>
      <c r="FE92" s="311"/>
      <c r="FF92" s="312"/>
    </row>
    <row r="93" spans="1:162" ht="12.75" x14ac:dyDescent="0.2">
      <c r="A93" s="446">
        <v>86</v>
      </c>
      <c r="B93" s="447" t="s">
        <v>55</v>
      </c>
      <c r="C93" s="448" t="s">
        <v>1093</v>
      </c>
      <c r="D93" s="449" t="s">
        <v>1097</v>
      </c>
      <c r="E93" s="450" t="s">
        <v>54</v>
      </c>
      <c r="F93" s="451">
        <v>43994474</v>
      </c>
      <c r="G93" s="451">
        <v>0</v>
      </c>
      <c r="H93" s="451">
        <v>0</v>
      </c>
      <c r="I93" s="451">
        <v>43994474</v>
      </c>
      <c r="J93" s="451">
        <v>717829</v>
      </c>
      <c r="K93" s="451">
        <v>0</v>
      </c>
      <c r="L93" s="451">
        <v>0</v>
      </c>
      <c r="M93" s="451">
        <v>717829</v>
      </c>
      <c r="N93" s="451">
        <v>459336</v>
      </c>
      <c r="O93" s="451">
        <v>0</v>
      </c>
      <c r="P93" s="451">
        <v>0</v>
      </c>
      <c r="Q93" s="451">
        <v>459336</v>
      </c>
      <c r="R93" s="451">
        <v>701016</v>
      </c>
      <c r="S93" s="451">
        <v>0</v>
      </c>
      <c r="T93" s="451">
        <v>0</v>
      </c>
      <c r="U93" s="451">
        <v>701016</v>
      </c>
      <c r="V93" s="451">
        <v>1859264</v>
      </c>
      <c r="W93" s="451">
        <v>0</v>
      </c>
      <c r="X93" s="451">
        <v>0</v>
      </c>
      <c r="Y93" s="451">
        <v>1859264</v>
      </c>
      <c r="Z93" s="451">
        <v>40257029</v>
      </c>
      <c r="AA93" s="451">
        <v>0</v>
      </c>
      <c r="AB93" s="451">
        <v>0</v>
      </c>
      <c r="AC93" s="451">
        <v>40257029</v>
      </c>
      <c r="AD93" s="451">
        <v>0</v>
      </c>
      <c r="AE93" s="451">
        <v>0</v>
      </c>
      <c r="AF93" s="451">
        <v>0</v>
      </c>
      <c r="AG93" s="451">
        <v>0</v>
      </c>
      <c r="AH93" s="451">
        <v>0</v>
      </c>
      <c r="AI93" s="451">
        <v>0</v>
      </c>
      <c r="AJ93" s="451">
        <v>0</v>
      </c>
      <c r="AK93" s="451">
        <v>0</v>
      </c>
      <c r="AL93" s="451">
        <v>0</v>
      </c>
      <c r="AM93" s="451">
        <v>0</v>
      </c>
      <c r="AN93" s="451">
        <v>0</v>
      </c>
      <c r="AO93" s="451">
        <v>2386948</v>
      </c>
      <c r="AP93" s="451">
        <v>-526291</v>
      </c>
      <c r="AQ93" s="324"/>
      <c r="AR93" s="310"/>
      <c r="AS93" s="310"/>
      <c r="AT93" s="310"/>
      <c r="AU93" s="310"/>
      <c r="AV93" s="310"/>
      <c r="AW93" s="310"/>
      <c r="AX93" s="310"/>
      <c r="AY93" s="310"/>
      <c r="AZ93" s="310"/>
      <c r="BA93" s="310"/>
      <c r="BB93" s="310"/>
      <c r="BC93" s="310"/>
      <c r="BD93" s="310"/>
      <c r="BE93" s="310"/>
      <c r="BF93" s="310"/>
      <c r="BG93" s="310"/>
      <c r="BH93" s="310"/>
      <c r="BI93" s="310"/>
      <c r="BJ93" s="310"/>
      <c r="BK93" s="310"/>
      <c r="BL93" s="310"/>
      <c r="BM93" s="310"/>
      <c r="BN93" s="310"/>
      <c r="BO93" s="310"/>
      <c r="BP93" s="310"/>
      <c r="BQ93" s="310"/>
      <c r="BR93" s="310"/>
      <c r="BS93" s="310"/>
      <c r="BT93" s="310"/>
      <c r="BU93" s="310"/>
      <c r="BV93" s="310"/>
      <c r="BW93" s="310"/>
      <c r="BX93" s="310"/>
      <c r="BY93" s="310"/>
      <c r="BZ93" s="310"/>
      <c r="CA93" s="310"/>
      <c r="CB93" s="310"/>
      <c r="CC93" s="310"/>
      <c r="CD93" s="310"/>
      <c r="CE93" s="310"/>
      <c r="CF93" s="310"/>
      <c r="CG93" s="310"/>
      <c r="CH93" s="310"/>
      <c r="CI93" s="310"/>
      <c r="CJ93" s="310"/>
      <c r="CK93" s="310"/>
      <c r="CL93" s="310"/>
      <c r="CM93" s="310"/>
      <c r="CN93" s="310"/>
      <c r="CO93" s="310"/>
      <c r="CP93" s="310"/>
      <c r="CQ93" s="310"/>
      <c r="CR93" s="310"/>
      <c r="CS93" s="310"/>
      <c r="CT93" s="310"/>
      <c r="CU93" s="310"/>
      <c r="CV93" s="310"/>
      <c r="CW93" s="310"/>
      <c r="CX93" s="310"/>
      <c r="CY93" s="310"/>
      <c r="CZ93" s="310"/>
      <c r="DA93" s="310"/>
      <c r="DB93" s="310"/>
      <c r="DC93" s="310"/>
      <c r="DD93" s="310"/>
      <c r="DE93" s="310"/>
      <c r="DF93" s="310"/>
      <c r="DG93" s="310"/>
      <c r="DH93" s="310"/>
      <c r="DI93" s="310"/>
      <c r="DJ93" s="310"/>
      <c r="DK93" s="310"/>
      <c r="DL93" s="310"/>
      <c r="DM93" s="310"/>
      <c r="DN93" s="310"/>
      <c r="DO93" s="310"/>
      <c r="DP93" s="310"/>
      <c r="DQ93" s="310"/>
      <c r="DR93" s="310"/>
      <c r="DS93" s="310"/>
      <c r="DT93" s="310"/>
      <c r="DU93" s="310"/>
      <c r="DV93" s="310"/>
      <c r="DW93" s="310"/>
      <c r="DX93" s="310"/>
      <c r="DY93" s="310"/>
      <c r="DZ93" s="310"/>
      <c r="EA93" s="310"/>
      <c r="EB93" s="310"/>
      <c r="EC93" s="310"/>
      <c r="ED93" s="310"/>
      <c r="EE93" s="310"/>
      <c r="EF93" s="310"/>
      <c r="EG93" s="310"/>
      <c r="EH93" s="310"/>
      <c r="EI93" s="310"/>
      <c r="EJ93" s="310"/>
      <c r="EK93" s="310"/>
      <c r="EL93" s="310"/>
      <c r="EM93" s="310"/>
      <c r="EN93" s="310"/>
      <c r="EO93" s="310"/>
      <c r="EP93" s="310"/>
      <c r="EQ93" s="310"/>
      <c r="ER93" s="310"/>
      <c r="ES93" s="310"/>
      <c r="ET93" s="310"/>
      <c r="EU93" s="310"/>
      <c r="EV93" s="310"/>
      <c r="EW93" s="310"/>
      <c r="EX93" s="310"/>
      <c r="EY93" s="310"/>
      <c r="EZ93" s="310"/>
      <c r="FA93" s="310"/>
      <c r="FB93" s="310"/>
      <c r="FC93" s="310"/>
      <c r="FD93" s="310"/>
      <c r="FE93" s="311"/>
      <c r="FF93" s="312"/>
    </row>
    <row r="94" spans="1:162" ht="12.75" x14ac:dyDescent="0.2">
      <c r="A94" s="446">
        <v>87</v>
      </c>
      <c r="B94" s="447" t="s">
        <v>57</v>
      </c>
      <c r="C94" s="448" t="s">
        <v>1093</v>
      </c>
      <c r="D94" s="449" t="s">
        <v>1096</v>
      </c>
      <c r="E94" s="450" t="s">
        <v>56</v>
      </c>
      <c r="F94" s="451">
        <v>33130376</v>
      </c>
      <c r="G94" s="451">
        <v>0</v>
      </c>
      <c r="H94" s="451">
        <v>0</v>
      </c>
      <c r="I94" s="451">
        <v>33130376</v>
      </c>
      <c r="J94" s="451">
        <v>336435</v>
      </c>
      <c r="K94" s="451">
        <v>0</v>
      </c>
      <c r="L94" s="451">
        <v>0</v>
      </c>
      <c r="M94" s="451">
        <v>336435</v>
      </c>
      <c r="N94" s="451">
        <v>356000</v>
      </c>
      <c r="O94" s="451">
        <v>0</v>
      </c>
      <c r="P94" s="451">
        <v>0</v>
      </c>
      <c r="Q94" s="451">
        <v>356000</v>
      </c>
      <c r="R94" s="451">
        <v>427254</v>
      </c>
      <c r="S94" s="451">
        <v>0</v>
      </c>
      <c r="T94" s="451">
        <v>0</v>
      </c>
      <c r="U94" s="451">
        <v>427254</v>
      </c>
      <c r="V94" s="451">
        <v>1083559</v>
      </c>
      <c r="W94" s="451">
        <v>0</v>
      </c>
      <c r="X94" s="451">
        <v>0</v>
      </c>
      <c r="Y94" s="451">
        <v>1083559</v>
      </c>
      <c r="Z94" s="451">
        <v>30927128</v>
      </c>
      <c r="AA94" s="451">
        <v>0</v>
      </c>
      <c r="AB94" s="451">
        <v>0</v>
      </c>
      <c r="AC94" s="451">
        <v>30927128</v>
      </c>
      <c r="AD94" s="451">
        <v>0</v>
      </c>
      <c r="AE94" s="451">
        <v>0</v>
      </c>
      <c r="AF94" s="451">
        <v>0</v>
      </c>
      <c r="AG94" s="451">
        <v>0</v>
      </c>
      <c r="AH94" s="451">
        <v>0</v>
      </c>
      <c r="AI94" s="451">
        <v>0</v>
      </c>
      <c r="AJ94" s="451">
        <v>0</v>
      </c>
      <c r="AK94" s="451">
        <v>0</v>
      </c>
      <c r="AL94" s="451">
        <v>0</v>
      </c>
      <c r="AM94" s="451">
        <v>0</v>
      </c>
      <c r="AN94" s="451">
        <v>0</v>
      </c>
      <c r="AO94" s="451">
        <v>2100579</v>
      </c>
      <c r="AP94" s="451">
        <v>652135</v>
      </c>
      <c r="AQ94" s="324"/>
      <c r="AR94" s="310"/>
      <c r="AS94" s="310"/>
      <c r="AT94" s="310"/>
      <c r="AU94" s="310"/>
      <c r="AV94" s="310"/>
      <c r="AW94" s="310"/>
      <c r="AX94" s="310"/>
      <c r="AY94" s="310"/>
      <c r="AZ94" s="310"/>
      <c r="BA94" s="310"/>
      <c r="BB94" s="310"/>
      <c r="BC94" s="310"/>
      <c r="BD94" s="310"/>
      <c r="BE94" s="310"/>
      <c r="BF94" s="310"/>
      <c r="BG94" s="310"/>
      <c r="BH94" s="310"/>
      <c r="BI94" s="310"/>
      <c r="BJ94" s="310"/>
      <c r="BK94" s="310"/>
      <c r="BL94" s="310"/>
      <c r="BM94" s="310"/>
      <c r="BN94" s="310"/>
      <c r="BO94" s="310"/>
      <c r="BP94" s="310"/>
      <c r="BQ94" s="310"/>
      <c r="BR94" s="310"/>
      <c r="BS94" s="310"/>
      <c r="BT94" s="310"/>
      <c r="BU94" s="310"/>
      <c r="BV94" s="310"/>
      <c r="BW94" s="310"/>
      <c r="BX94" s="310"/>
      <c r="BY94" s="310"/>
      <c r="BZ94" s="310"/>
      <c r="CA94" s="310"/>
      <c r="CB94" s="310"/>
      <c r="CC94" s="310"/>
      <c r="CD94" s="310"/>
      <c r="CE94" s="310"/>
      <c r="CF94" s="310"/>
      <c r="CG94" s="310"/>
      <c r="CH94" s="310"/>
      <c r="CI94" s="310"/>
      <c r="CJ94" s="310"/>
      <c r="CK94" s="310"/>
      <c r="CL94" s="310"/>
      <c r="CM94" s="310"/>
      <c r="CN94" s="310"/>
      <c r="CO94" s="310"/>
      <c r="CP94" s="310"/>
      <c r="CQ94" s="310"/>
      <c r="CR94" s="310"/>
      <c r="CS94" s="310"/>
      <c r="CT94" s="310"/>
      <c r="CU94" s="310"/>
      <c r="CV94" s="310"/>
      <c r="CW94" s="310"/>
      <c r="CX94" s="310"/>
      <c r="CY94" s="310"/>
      <c r="CZ94" s="310"/>
      <c r="DA94" s="310"/>
      <c r="DB94" s="310"/>
      <c r="DC94" s="310"/>
      <c r="DD94" s="310"/>
      <c r="DE94" s="310"/>
      <c r="DF94" s="310"/>
      <c r="DG94" s="310"/>
      <c r="DH94" s="310"/>
      <c r="DI94" s="310"/>
      <c r="DJ94" s="310"/>
      <c r="DK94" s="310"/>
      <c r="DL94" s="310"/>
      <c r="DM94" s="310"/>
      <c r="DN94" s="310"/>
      <c r="DO94" s="310"/>
      <c r="DP94" s="310"/>
      <c r="DQ94" s="310"/>
      <c r="DR94" s="310"/>
      <c r="DS94" s="310"/>
      <c r="DT94" s="310"/>
      <c r="DU94" s="310"/>
      <c r="DV94" s="310"/>
      <c r="DW94" s="310"/>
      <c r="DX94" s="310"/>
      <c r="DY94" s="310"/>
      <c r="DZ94" s="310"/>
      <c r="EA94" s="310"/>
      <c r="EB94" s="310"/>
      <c r="EC94" s="310"/>
      <c r="ED94" s="310"/>
      <c r="EE94" s="310"/>
      <c r="EF94" s="310"/>
      <c r="EG94" s="310"/>
      <c r="EH94" s="310"/>
      <c r="EI94" s="310"/>
      <c r="EJ94" s="310"/>
      <c r="EK94" s="310"/>
      <c r="EL94" s="310"/>
      <c r="EM94" s="310"/>
      <c r="EN94" s="310"/>
      <c r="EO94" s="310"/>
      <c r="EP94" s="310"/>
      <c r="EQ94" s="310"/>
      <c r="ER94" s="310"/>
      <c r="ES94" s="310"/>
      <c r="ET94" s="310"/>
      <c r="EU94" s="310"/>
      <c r="EV94" s="310"/>
      <c r="EW94" s="310"/>
      <c r="EX94" s="310"/>
      <c r="EY94" s="310"/>
      <c r="EZ94" s="310"/>
      <c r="FA94" s="310"/>
      <c r="FB94" s="310"/>
      <c r="FC94" s="310"/>
      <c r="FD94" s="310"/>
      <c r="FE94" s="311"/>
      <c r="FF94" s="312"/>
    </row>
    <row r="95" spans="1:162" ht="12.75" x14ac:dyDescent="0.2">
      <c r="A95" s="446">
        <v>88</v>
      </c>
      <c r="B95" s="447" t="s">
        <v>59</v>
      </c>
      <c r="C95" s="448" t="s">
        <v>1093</v>
      </c>
      <c r="D95" s="449" t="s">
        <v>1096</v>
      </c>
      <c r="E95" s="450" t="s">
        <v>58</v>
      </c>
      <c r="F95" s="451">
        <v>21033491.199999999</v>
      </c>
      <c r="G95" s="451">
        <v>0</v>
      </c>
      <c r="H95" s="451">
        <v>0</v>
      </c>
      <c r="I95" s="451">
        <v>21033491.199999999</v>
      </c>
      <c r="J95" s="451">
        <v>41956</v>
      </c>
      <c r="K95" s="451">
        <v>0</v>
      </c>
      <c r="L95" s="451">
        <v>0</v>
      </c>
      <c r="M95" s="451">
        <v>41956</v>
      </c>
      <c r="N95" s="451">
        <v>20623</v>
      </c>
      <c r="O95" s="451">
        <v>0</v>
      </c>
      <c r="P95" s="451">
        <v>0</v>
      </c>
      <c r="Q95" s="451">
        <v>20623</v>
      </c>
      <c r="R95" s="451">
        <v>3740</v>
      </c>
      <c r="S95" s="451">
        <v>0</v>
      </c>
      <c r="T95" s="451">
        <v>0</v>
      </c>
      <c r="U95" s="451">
        <v>3740</v>
      </c>
      <c r="V95" s="451">
        <v>409727</v>
      </c>
      <c r="W95" s="451">
        <v>0</v>
      </c>
      <c r="X95" s="451">
        <v>0</v>
      </c>
      <c r="Y95" s="451">
        <v>409727</v>
      </c>
      <c r="Z95" s="451">
        <v>20557445</v>
      </c>
      <c r="AA95" s="451">
        <v>0</v>
      </c>
      <c r="AB95" s="451">
        <v>0</v>
      </c>
      <c r="AC95" s="451">
        <v>20557445</v>
      </c>
      <c r="AD95" s="451">
        <v>0</v>
      </c>
      <c r="AE95" s="451">
        <v>0</v>
      </c>
      <c r="AF95" s="451">
        <v>0</v>
      </c>
      <c r="AG95" s="451">
        <v>0</v>
      </c>
      <c r="AH95" s="451">
        <v>0</v>
      </c>
      <c r="AI95" s="451">
        <v>0</v>
      </c>
      <c r="AJ95" s="451">
        <v>0</v>
      </c>
      <c r="AK95" s="451">
        <v>0</v>
      </c>
      <c r="AL95" s="451">
        <v>0</v>
      </c>
      <c r="AM95" s="451">
        <v>0</v>
      </c>
      <c r="AN95" s="451">
        <v>0</v>
      </c>
      <c r="AO95" s="451">
        <v>407386</v>
      </c>
      <c r="AP95" s="451">
        <v>48963</v>
      </c>
      <c r="AQ95" s="324"/>
      <c r="AR95" s="310"/>
      <c r="AS95" s="310"/>
      <c r="AT95" s="310"/>
      <c r="AU95" s="310"/>
      <c r="AV95" s="310"/>
      <c r="AW95" s="310"/>
      <c r="AX95" s="310"/>
      <c r="AY95" s="310"/>
      <c r="AZ95" s="310"/>
      <c r="BA95" s="310"/>
      <c r="BB95" s="310"/>
      <c r="BC95" s="310"/>
      <c r="BD95" s="310"/>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0"/>
      <c r="CC95" s="310"/>
      <c r="CD95" s="310"/>
      <c r="CE95" s="310"/>
      <c r="CF95" s="310"/>
      <c r="CG95" s="310"/>
      <c r="CH95" s="310"/>
      <c r="CI95" s="310"/>
      <c r="CJ95" s="310"/>
      <c r="CK95" s="310"/>
      <c r="CL95" s="310"/>
      <c r="CM95" s="310"/>
      <c r="CN95" s="310"/>
      <c r="CO95" s="310"/>
      <c r="CP95" s="310"/>
      <c r="CQ95" s="310"/>
      <c r="CR95" s="310"/>
      <c r="CS95" s="310"/>
      <c r="CT95" s="310"/>
      <c r="CU95" s="310"/>
      <c r="CV95" s="310"/>
      <c r="CW95" s="310"/>
      <c r="CX95" s="310"/>
      <c r="CY95" s="310"/>
      <c r="CZ95" s="310"/>
      <c r="DA95" s="310"/>
      <c r="DB95" s="310"/>
      <c r="DC95" s="310"/>
      <c r="DD95" s="310"/>
      <c r="DE95" s="310"/>
      <c r="DF95" s="310"/>
      <c r="DG95" s="310"/>
      <c r="DH95" s="310"/>
      <c r="DI95" s="310"/>
      <c r="DJ95" s="310"/>
      <c r="DK95" s="310"/>
      <c r="DL95" s="310"/>
      <c r="DM95" s="310"/>
      <c r="DN95" s="310"/>
      <c r="DO95" s="310"/>
      <c r="DP95" s="310"/>
      <c r="DQ95" s="310"/>
      <c r="DR95" s="310"/>
      <c r="DS95" s="310"/>
      <c r="DT95" s="310"/>
      <c r="DU95" s="310"/>
      <c r="DV95" s="310"/>
      <c r="DW95" s="310"/>
      <c r="DX95" s="310"/>
      <c r="DY95" s="310"/>
      <c r="DZ95" s="310"/>
      <c r="EA95" s="310"/>
      <c r="EB95" s="310"/>
      <c r="EC95" s="310"/>
      <c r="ED95" s="310"/>
      <c r="EE95" s="310"/>
      <c r="EF95" s="310"/>
      <c r="EG95" s="310"/>
      <c r="EH95" s="310"/>
      <c r="EI95" s="310"/>
      <c r="EJ95" s="310"/>
      <c r="EK95" s="310"/>
      <c r="EL95" s="310"/>
      <c r="EM95" s="310"/>
      <c r="EN95" s="310"/>
      <c r="EO95" s="310"/>
      <c r="EP95" s="310"/>
      <c r="EQ95" s="310"/>
      <c r="ER95" s="310"/>
      <c r="ES95" s="310"/>
      <c r="ET95" s="310"/>
      <c r="EU95" s="310"/>
      <c r="EV95" s="310"/>
      <c r="EW95" s="310"/>
      <c r="EX95" s="310"/>
      <c r="EY95" s="310"/>
      <c r="EZ95" s="310"/>
      <c r="FA95" s="310"/>
      <c r="FB95" s="310"/>
      <c r="FC95" s="310"/>
      <c r="FD95" s="310"/>
      <c r="FE95" s="311"/>
      <c r="FF95" s="312"/>
    </row>
    <row r="96" spans="1:162" ht="12.75" x14ac:dyDescent="0.2">
      <c r="A96" s="446">
        <v>89</v>
      </c>
      <c r="B96" s="447" t="s">
        <v>61</v>
      </c>
      <c r="C96" s="448" t="s">
        <v>794</v>
      </c>
      <c r="D96" s="449" t="s">
        <v>1101</v>
      </c>
      <c r="E96" s="450" t="s">
        <v>716</v>
      </c>
      <c r="F96" s="451">
        <v>91037592</v>
      </c>
      <c r="G96" s="451">
        <v>0</v>
      </c>
      <c r="H96" s="451">
        <v>0</v>
      </c>
      <c r="I96" s="451">
        <v>91037592</v>
      </c>
      <c r="J96" s="451">
        <v>263072</v>
      </c>
      <c r="K96" s="451">
        <v>0</v>
      </c>
      <c r="L96" s="451">
        <v>0</v>
      </c>
      <c r="M96" s="451">
        <v>263072</v>
      </c>
      <c r="N96" s="451">
        <v>251643</v>
      </c>
      <c r="O96" s="451">
        <v>0</v>
      </c>
      <c r="P96" s="451">
        <v>0</v>
      </c>
      <c r="Q96" s="451">
        <v>251643</v>
      </c>
      <c r="R96" s="451">
        <v>452511</v>
      </c>
      <c r="S96" s="451">
        <v>0</v>
      </c>
      <c r="T96" s="451">
        <v>0</v>
      </c>
      <c r="U96" s="451">
        <v>452511</v>
      </c>
      <c r="V96" s="451">
        <v>1713037</v>
      </c>
      <c r="W96" s="451">
        <v>0</v>
      </c>
      <c r="X96" s="451">
        <v>0</v>
      </c>
      <c r="Y96" s="451">
        <v>1713037</v>
      </c>
      <c r="Z96" s="451">
        <v>88357329</v>
      </c>
      <c r="AA96" s="451">
        <v>0</v>
      </c>
      <c r="AB96" s="451">
        <v>0</v>
      </c>
      <c r="AC96" s="451">
        <v>88357329</v>
      </c>
      <c r="AD96" s="451">
        <v>879893</v>
      </c>
      <c r="AE96" s="451">
        <v>0</v>
      </c>
      <c r="AF96" s="451">
        <v>0</v>
      </c>
      <c r="AG96" s="451">
        <v>879893</v>
      </c>
      <c r="AH96" s="451">
        <v>0</v>
      </c>
      <c r="AI96" s="451">
        <v>-9970.94</v>
      </c>
      <c r="AJ96" s="451">
        <v>0</v>
      </c>
      <c r="AK96" s="451">
        <v>94038</v>
      </c>
      <c r="AL96" s="451">
        <v>0</v>
      </c>
      <c r="AM96" s="451">
        <v>0</v>
      </c>
      <c r="AN96" s="451">
        <v>879893</v>
      </c>
      <c r="AO96" s="451">
        <v>3431895</v>
      </c>
      <c r="AP96" s="451">
        <v>1184064</v>
      </c>
      <c r="AQ96" s="324"/>
      <c r="AR96" s="310"/>
      <c r="AS96" s="310"/>
      <c r="AT96" s="310"/>
      <c r="AU96" s="310"/>
      <c r="AV96" s="310"/>
      <c r="AW96" s="310"/>
      <c r="AX96" s="310"/>
      <c r="AY96" s="310"/>
      <c r="AZ96" s="310"/>
      <c r="BA96" s="310"/>
      <c r="BB96" s="310"/>
      <c r="BC96" s="310"/>
      <c r="BD96" s="310"/>
      <c r="BE96" s="310"/>
      <c r="BF96" s="310"/>
      <c r="BG96" s="310"/>
      <c r="BH96" s="310"/>
      <c r="BI96" s="310"/>
      <c r="BJ96" s="310"/>
      <c r="BK96" s="310"/>
      <c r="BL96" s="310"/>
      <c r="BM96" s="310"/>
      <c r="BN96" s="310"/>
      <c r="BO96" s="310"/>
      <c r="BP96" s="310"/>
      <c r="BQ96" s="310"/>
      <c r="BR96" s="310"/>
      <c r="BS96" s="310"/>
      <c r="BT96" s="310"/>
      <c r="BU96" s="310"/>
      <c r="BV96" s="310"/>
      <c r="BW96" s="310"/>
      <c r="BX96" s="310"/>
      <c r="BY96" s="310"/>
      <c r="BZ96" s="310"/>
      <c r="CA96" s="310"/>
      <c r="CB96" s="310"/>
      <c r="CC96" s="310"/>
      <c r="CD96" s="310"/>
      <c r="CE96" s="310"/>
      <c r="CF96" s="310"/>
      <c r="CG96" s="310"/>
      <c r="CH96" s="310"/>
      <c r="CI96" s="310"/>
      <c r="CJ96" s="310"/>
      <c r="CK96" s="310"/>
      <c r="CL96" s="310"/>
      <c r="CM96" s="310"/>
      <c r="CN96" s="310"/>
      <c r="CO96" s="310"/>
      <c r="CP96" s="310"/>
      <c r="CQ96" s="310"/>
      <c r="CR96" s="310"/>
      <c r="CS96" s="310"/>
      <c r="CT96" s="310"/>
      <c r="CU96" s="310"/>
      <c r="CV96" s="310"/>
      <c r="CW96" s="310"/>
      <c r="CX96" s="310"/>
      <c r="CY96" s="310"/>
      <c r="CZ96" s="310"/>
      <c r="DA96" s="310"/>
      <c r="DB96" s="310"/>
      <c r="DC96" s="310"/>
      <c r="DD96" s="310"/>
      <c r="DE96" s="310"/>
      <c r="DF96" s="310"/>
      <c r="DG96" s="310"/>
      <c r="DH96" s="310"/>
      <c r="DI96" s="310"/>
      <c r="DJ96" s="310"/>
      <c r="DK96" s="310"/>
      <c r="DL96" s="310"/>
      <c r="DM96" s="310"/>
      <c r="DN96" s="310"/>
      <c r="DO96" s="310"/>
      <c r="DP96" s="310"/>
      <c r="DQ96" s="310"/>
      <c r="DR96" s="310"/>
      <c r="DS96" s="310"/>
      <c r="DT96" s="310"/>
      <c r="DU96" s="310"/>
      <c r="DV96" s="310"/>
      <c r="DW96" s="310"/>
      <c r="DX96" s="310"/>
      <c r="DY96" s="310"/>
      <c r="DZ96" s="310"/>
      <c r="EA96" s="310"/>
      <c r="EB96" s="310"/>
      <c r="EC96" s="310"/>
      <c r="ED96" s="310"/>
      <c r="EE96" s="310"/>
      <c r="EF96" s="310"/>
      <c r="EG96" s="310"/>
      <c r="EH96" s="310"/>
      <c r="EI96" s="310"/>
      <c r="EJ96" s="310"/>
      <c r="EK96" s="310"/>
      <c r="EL96" s="310"/>
      <c r="EM96" s="310"/>
      <c r="EN96" s="310"/>
      <c r="EO96" s="310"/>
      <c r="EP96" s="310"/>
      <c r="EQ96" s="310"/>
      <c r="ER96" s="310"/>
      <c r="ES96" s="310"/>
      <c r="ET96" s="310"/>
      <c r="EU96" s="310"/>
      <c r="EV96" s="310"/>
      <c r="EW96" s="310"/>
      <c r="EX96" s="310"/>
      <c r="EY96" s="310"/>
      <c r="EZ96" s="310"/>
      <c r="FA96" s="310"/>
      <c r="FB96" s="310"/>
      <c r="FC96" s="310"/>
      <c r="FD96" s="310"/>
      <c r="FE96" s="311"/>
      <c r="FF96" s="312"/>
    </row>
    <row r="97" spans="1:162" ht="12.75" x14ac:dyDescent="0.2">
      <c r="A97" s="446">
        <v>90</v>
      </c>
      <c r="B97" s="447" t="s">
        <v>63</v>
      </c>
      <c r="C97" s="448" t="s">
        <v>1093</v>
      </c>
      <c r="D97" s="449" t="s">
        <v>1103</v>
      </c>
      <c r="E97" s="450" t="s">
        <v>62</v>
      </c>
      <c r="F97" s="451">
        <v>53261979</v>
      </c>
      <c r="G97" s="451">
        <v>0</v>
      </c>
      <c r="H97" s="451">
        <v>0</v>
      </c>
      <c r="I97" s="451">
        <v>53261979</v>
      </c>
      <c r="J97" s="451">
        <v>484245.93</v>
      </c>
      <c r="K97" s="451">
        <v>0</v>
      </c>
      <c r="L97" s="451">
        <v>0</v>
      </c>
      <c r="M97" s="451">
        <v>484245.93</v>
      </c>
      <c r="N97" s="451">
        <v>138575</v>
      </c>
      <c r="O97" s="451">
        <v>0</v>
      </c>
      <c r="P97" s="451">
        <v>0</v>
      </c>
      <c r="Q97" s="451">
        <v>138575</v>
      </c>
      <c r="R97" s="451">
        <v>1186596</v>
      </c>
      <c r="S97" s="451">
        <v>0</v>
      </c>
      <c r="T97" s="451">
        <v>0</v>
      </c>
      <c r="U97" s="451">
        <v>1186596</v>
      </c>
      <c r="V97" s="451">
        <v>2505765</v>
      </c>
      <c r="W97" s="451">
        <v>0</v>
      </c>
      <c r="X97" s="451">
        <v>0</v>
      </c>
      <c r="Y97" s="451">
        <v>2505765</v>
      </c>
      <c r="Z97" s="451">
        <v>48946797</v>
      </c>
      <c r="AA97" s="451">
        <v>0</v>
      </c>
      <c r="AB97" s="451">
        <v>0</v>
      </c>
      <c r="AC97" s="451">
        <v>48946797</v>
      </c>
      <c r="AD97" s="451">
        <v>0</v>
      </c>
      <c r="AE97" s="451">
        <v>0</v>
      </c>
      <c r="AF97" s="451">
        <v>0</v>
      </c>
      <c r="AG97" s="451">
        <v>0</v>
      </c>
      <c r="AH97" s="451">
        <v>0</v>
      </c>
      <c r="AI97" s="451">
        <v>0</v>
      </c>
      <c r="AJ97" s="451">
        <v>0</v>
      </c>
      <c r="AK97" s="451">
        <v>0</v>
      </c>
      <c r="AL97" s="451">
        <v>0</v>
      </c>
      <c r="AM97" s="451">
        <v>0</v>
      </c>
      <c r="AN97" s="451">
        <v>0</v>
      </c>
      <c r="AO97" s="451">
        <v>1821820.82</v>
      </c>
      <c r="AP97" s="451">
        <v>305929.65999999997</v>
      </c>
      <c r="AQ97" s="324"/>
      <c r="AR97" s="310"/>
      <c r="AS97" s="310"/>
      <c r="AT97" s="310"/>
      <c r="AU97" s="310"/>
      <c r="AV97" s="310"/>
      <c r="AW97" s="310"/>
      <c r="AX97" s="310"/>
      <c r="AY97" s="310"/>
      <c r="AZ97" s="310"/>
      <c r="BA97" s="310"/>
      <c r="BB97" s="310"/>
      <c r="BC97" s="310"/>
      <c r="BD97" s="310"/>
      <c r="BE97" s="310"/>
      <c r="BF97" s="310"/>
      <c r="BG97" s="310"/>
      <c r="BH97" s="310"/>
      <c r="BI97" s="310"/>
      <c r="BJ97" s="310"/>
      <c r="BK97" s="310"/>
      <c r="BL97" s="310"/>
      <c r="BM97" s="310"/>
      <c r="BN97" s="310"/>
      <c r="BO97" s="310"/>
      <c r="BP97" s="310"/>
      <c r="BQ97" s="310"/>
      <c r="BR97" s="310"/>
      <c r="BS97" s="310"/>
      <c r="BT97" s="310"/>
      <c r="BU97" s="310"/>
      <c r="BV97" s="310"/>
      <c r="BW97" s="310"/>
      <c r="BX97" s="310"/>
      <c r="BY97" s="310"/>
      <c r="BZ97" s="310"/>
      <c r="CA97" s="310"/>
      <c r="CB97" s="310"/>
      <c r="CC97" s="310"/>
      <c r="CD97" s="310"/>
      <c r="CE97" s="310"/>
      <c r="CF97" s="310"/>
      <c r="CG97" s="310"/>
      <c r="CH97" s="310"/>
      <c r="CI97" s="310"/>
      <c r="CJ97" s="310"/>
      <c r="CK97" s="310"/>
      <c r="CL97" s="310"/>
      <c r="CM97" s="310"/>
      <c r="CN97" s="310"/>
      <c r="CO97" s="310"/>
      <c r="CP97" s="310"/>
      <c r="CQ97" s="310"/>
      <c r="CR97" s="310"/>
      <c r="CS97" s="310"/>
      <c r="CT97" s="310"/>
      <c r="CU97" s="310"/>
      <c r="CV97" s="310"/>
      <c r="CW97" s="310"/>
      <c r="CX97" s="310"/>
      <c r="CY97" s="310"/>
      <c r="CZ97" s="310"/>
      <c r="DA97" s="310"/>
      <c r="DB97" s="310"/>
      <c r="DC97" s="310"/>
      <c r="DD97" s="310"/>
      <c r="DE97" s="310"/>
      <c r="DF97" s="310"/>
      <c r="DG97" s="310"/>
      <c r="DH97" s="310"/>
      <c r="DI97" s="310"/>
      <c r="DJ97" s="310"/>
      <c r="DK97" s="310"/>
      <c r="DL97" s="310"/>
      <c r="DM97" s="310"/>
      <c r="DN97" s="310"/>
      <c r="DO97" s="310"/>
      <c r="DP97" s="310"/>
      <c r="DQ97" s="310"/>
      <c r="DR97" s="310"/>
      <c r="DS97" s="310"/>
      <c r="DT97" s="310"/>
      <c r="DU97" s="310"/>
      <c r="DV97" s="310"/>
      <c r="DW97" s="310"/>
      <c r="DX97" s="310"/>
      <c r="DY97" s="310"/>
      <c r="DZ97" s="310"/>
      <c r="EA97" s="310"/>
      <c r="EB97" s="310"/>
      <c r="EC97" s="310"/>
      <c r="ED97" s="310"/>
      <c r="EE97" s="310"/>
      <c r="EF97" s="310"/>
      <c r="EG97" s="310"/>
      <c r="EH97" s="310"/>
      <c r="EI97" s="310"/>
      <c r="EJ97" s="310"/>
      <c r="EK97" s="310"/>
      <c r="EL97" s="310"/>
      <c r="EM97" s="310"/>
      <c r="EN97" s="310"/>
      <c r="EO97" s="310"/>
      <c r="EP97" s="310"/>
      <c r="EQ97" s="310"/>
      <c r="ER97" s="310"/>
      <c r="ES97" s="310"/>
      <c r="ET97" s="310"/>
      <c r="EU97" s="310"/>
      <c r="EV97" s="310"/>
      <c r="EW97" s="310"/>
      <c r="EX97" s="310"/>
      <c r="EY97" s="310"/>
      <c r="EZ97" s="310"/>
      <c r="FA97" s="310"/>
      <c r="FB97" s="310"/>
      <c r="FC97" s="310"/>
      <c r="FD97" s="310"/>
      <c r="FE97" s="311"/>
      <c r="FF97" s="312"/>
    </row>
    <row r="98" spans="1:162" ht="12.75" x14ac:dyDescent="0.2">
      <c r="A98" s="446">
        <v>91</v>
      </c>
      <c r="B98" s="447" t="s">
        <v>65</v>
      </c>
      <c r="C98" s="448" t="s">
        <v>1093</v>
      </c>
      <c r="D98" s="449" t="s">
        <v>1094</v>
      </c>
      <c r="E98" s="450" t="s">
        <v>64</v>
      </c>
      <c r="F98" s="451">
        <v>32870546.699999999</v>
      </c>
      <c r="G98" s="451">
        <v>0</v>
      </c>
      <c r="H98" s="451">
        <v>0</v>
      </c>
      <c r="I98" s="451">
        <v>32870546.699999999</v>
      </c>
      <c r="J98" s="451">
        <v>316693</v>
      </c>
      <c r="K98" s="451">
        <v>0</v>
      </c>
      <c r="L98" s="451">
        <v>0</v>
      </c>
      <c r="M98" s="451">
        <v>316693</v>
      </c>
      <c r="N98" s="451">
        <v>216544</v>
      </c>
      <c r="O98" s="451">
        <v>0</v>
      </c>
      <c r="P98" s="451">
        <v>0</v>
      </c>
      <c r="Q98" s="451">
        <v>216544</v>
      </c>
      <c r="R98" s="451">
        <v>477592</v>
      </c>
      <c r="S98" s="451">
        <v>0</v>
      </c>
      <c r="T98" s="451">
        <v>0</v>
      </c>
      <c r="U98" s="451">
        <v>477592</v>
      </c>
      <c r="V98" s="451">
        <v>1158467</v>
      </c>
      <c r="W98" s="451">
        <v>0</v>
      </c>
      <c r="X98" s="451">
        <v>0</v>
      </c>
      <c r="Y98" s="451">
        <v>1158467</v>
      </c>
      <c r="Z98" s="451">
        <v>30701251</v>
      </c>
      <c r="AA98" s="451">
        <v>0</v>
      </c>
      <c r="AB98" s="451">
        <v>0</v>
      </c>
      <c r="AC98" s="451">
        <v>30701251</v>
      </c>
      <c r="AD98" s="451">
        <v>0</v>
      </c>
      <c r="AE98" s="451">
        <v>0</v>
      </c>
      <c r="AF98" s="451">
        <v>0</v>
      </c>
      <c r="AG98" s="451">
        <v>0</v>
      </c>
      <c r="AH98" s="451">
        <v>0</v>
      </c>
      <c r="AI98" s="451">
        <v>0</v>
      </c>
      <c r="AJ98" s="451">
        <v>0</v>
      </c>
      <c r="AK98" s="451">
        <v>0</v>
      </c>
      <c r="AL98" s="451">
        <v>0</v>
      </c>
      <c r="AM98" s="451">
        <v>0</v>
      </c>
      <c r="AN98" s="451">
        <v>0</v>
      </c>
      <c r="AO98" s="451">
        <v>1696791</v>
      </c>
      <c r="AP98" s="451">
        <v>569044</v>
      </c>
      <c r="AQ98" s="324"/>
      <c r="AR98" s="310"/>
      <c r="AS98" s="310"/>
      <c r="AT98" s="310"/>
      <c r="AU98" s="310"/>
      <c r="AV98" s="310"/>
      <c r="AW98" s="310"/>
      <c r="AX98" s="310"/>
      <c r="AY98" s="310"/>
      <c r="AZ98" s="310"/>
      <c r="BA98" s="310"/>
      <c r="BB98" s="310"/>
      <c r="BC98" s="310"/>
      <c r="BD98" s="310"/>
      <c r="BE98" s="310"/>
      <c r="BF98" s="310"/>
      <c r="BG98" s="310"/>
      <c r="BH98" s="310"/>
      <c r="BI98" s="310"/>
      <c r="BJ98" s="310"/>
      <c r="BK98" s="310"/>
      <c r="BL98" s="310"/>
      <c r="BM98" s="310"/>
      <c r="BN98" s="310"/>
      <c r="BO98" s="310"/>
      <c r="BP98" s="310"/>
      <c r="BQ98" s="310"/>
      <c r="BR98" s="310"/>
      <c r="BS98" s="310"/>
      <c r="BT98" s="310"/>
      <c r="BU98" s="310"/>
      <c r="BV98" s="310"/>
      <c r="BW98" s="310"/>
      <c r="BX98" s="310"/>
      <c r="BY98" s="310"/>
      <c r="BZ98" s="310"/>
      <c r="CA98" s="310"/>
      <c r="CB98" s="310"/>
      <c r="CC98" s="310"/>
      <c r="CD98" s="310"/>
      <c r="CE98" s="310"/>
      <c r="CF98" s="310"/>
      <c r="CG98" s="310"/>
      <c r="CH98" s="310"/>
      <c r="CI98" s="310"/>
      <c r="CJ98" s="310"/>
      <c r="CK98" s="310"/>
      <c r="CL98" s="310"/>
      <c r="CM98" s="310"/>
      <c r="CN98" s="310"/>
      <c r="CO98" s="310"/>
      <c r="CP98" s="310"/>
      <c r="CQ98" s="310"/>
      <c r="CR98" s="310"/>
      <c r="CS98" s="310"/>
      <c r="CT98" s="310"/>
      <c r="CU98" s="310"/>
      <c r="CV98" s="310"/>
      <c r="CW98" s="310"/>
      <c r="CX98" s="310"/>
      <c r="CY98" s="310"/>
      <c r="CZ98" s="310"/>
      <c r="DA98" s="310"/>
      <c r="DB98" s="310"/>
      <c r="DC98" s="310"/>
      <c r="DD98" s="310"/>
      <c r="DE98" s="310"/>
      <c r="DF98" s="310"/>
      <c r="DG98" s="310"/>
      <c r="DH98" s="310"/>
      <c r="DI98" s="310"/>
      <c r="DJ98" s="310"/>
      <c r="DK98" s="310"/>
      <c r="DL98" s="310"/>
      <c r="DM98" s="310"/>
      <c r="DN98" s="310"/>
      <c r="DO98" s="310"/>
      <c r="DP98" s="310"/>
      <c r="DQ98" s="310"/>
      <c r="DR98" s="310"/>
      <c r="DS98" s="310"/>
      <c r="DT98" s="310"/>
      <c r="DU98" s="310"/>
      <c r="DV98" s="310"/>
      <c r="DW98" s="310"/>
      <c r="DX98" s="310"/>
      <c r="DY98" s="310"/>
      <c r="DZ98" s="310"/>
      <c r="EA98" s="310"/>
      <c r="EB98" s="310"/>
      <c r="EC98" s="310"/>
      <c r="ED98" s="310"/>
      <c r="EE98" s="310"/>
      <c r="EF98" s="310"/>
      <c r="EG98" s="310"/>
      <c r="EH98" s="310"/>
      <c r="EI98" s="310"/>
      <c r="EJ98" s="310"/>
      <c r="EK98" s="310"/>
      <c r="EL98" s="310"/>
      <c r="EM98" s="310"/>
      <c r="EN98" s="310"/>
      <c r="EO98" s="310"/>
      <c r="EP98" s="310"/>
      <c r="EQ98" s="310"/>
      <c r="ER98" s="310"/>
      <c r="ES98" s="310"/>
      <c r="ET98" s="310"/>
      <c r="EU98" s="310"/>
      <c r="EV98" s="310"/>
      <c r="EW98" s="310"/>
      <c r="EX98" s="310"/>
      <c r="EY98" s="310"/>
      <c r="EZ98" s="310"/>
      <c r="FA98" s="310"/>
      <c r="FB98" s="310"/>
      <c r="FC98" s="310"/>
      <c r="FD98" s="310"/>
      <c r="FE98" s="311"/>
      <c r="FF98" s="312"/>
    </row>
    <row r="99" spans="1:162" ht="12.75" x14ac:dyDescent="0.2">
      <c r="A99" s="446">
        <v>92</v>
      </c>
      <c r="B99" s="447" t="s">
        <v>67</v>
      </c>
      <c r="C99" s="448" t="s">
        <v>1093</v>
      </c>
      <c r="D99" s="449" t="s">
        <v>1094</v>
      </c>
      <c r="E99" s="450" t="s">
        <v>66</v>
      </c>
      <c r="F99" s="451">
        <v>54616607</v>
      </c>
      <c r="G99" s="451">
        <v>0</v>
      </c>
      <c r="H99" s="451">
        <v>0</v>
      </c>
      <c r="I99" s="451">
        <v>54616607</v>
      </c>
      <c r="J99" s="451">
        <v>213644</v>
      </c>
      <c r="K99" s="451">
        <v>0</v>
      </c>
      <c r="L99" s="451">
        <v>0</v>
      </c>
      <c r="M99" s="451">
        <v>213644</v>
      </c>
      <c r="N99" s="451">
        <v>144087</v>
      </c>
      <c r="O99" s="451">
        <v>0</v>
      </c>
      <c r="P99" s="451">
        <v>0</v>
      </c>
      <c r="Q99" s="451">
        <v>144087</v>
      </c>
      <c r="R99" s="451">
        <v>1016000</v>
      </c>
      <c r="S99" s="451">
        <v>0</v>
      </c>
      <c r="T99" s="451">
        <v>0</v>
      </c>
      <c r="U99" s="451">
        <v>1016000</v>
      </c>
      <c r="V99" s="451">
        <v>2117000</v>
      </c>
      <c r="W99" s="451">
        <v>0</v>
      </c>
      <c r="X99" s="451">
        <v>0</v>
      </c>
      <c r="Y99" s="451">
        <v>2117000</v>
      </c>
      <c r="Z99" s="451">
        <v>51125876</v>
      </c>
      <c r="AA99" s="451">
        <v>0</v>
      </c>
      <c r="AB99" s="451">
        <v>0</v>
      </c>
      <c r="AC99" s="451">
        <v>51125876</v>
      </c>
      <c r="AD99" s="451">
        <v>0</v>
      </c>
      <c r="AE99" s="451">
        <v>0</v>
      </c>
      <c r="AF99" s="451">
        <v>0</v>
      </c>
      <c r="AG99" s="451">
        <v>0</v>
      </c>
      <c r="AH99" s="451">
        <v>0</v>
      </c>
      <c r="AI99" s="451">
        <v>0</v>
      </c>
      <c r="AJ99" s="451">
        <v>0</v>
      </c>
      <c r="AK99" s="451">
        <v>0</v>
      </c>
      <c r="AL99" s="451">
        <v>0</v>
      </c>
      <c r="AM99" s="451">
        <v>0</v>
      </c>
      <c r="AN99" s="451">
        <v>0</v>
      </c>
      <c r="AO99" s="451">
        <v>1293967</v>
      </c>
      <c r="AP99" s="451">
        <v>202240</v>
      </c>
      <c r="AQ99" s="324"/>
      <c r="AR99" s="310"/>
      <c r="AS99" s="310"/>
      <c r="AT99" s="310"/>
      <c r="AU99" s="310"/>
      <c r="AV99" s="310"/>
      <c r="AW99" s="310"/>
      <c r="AX99" s="310"/>
      <c r="AY99" s="310"/>
      <c r="AZ99" s="310"/>
      <c r="BA99" s="310"/>
      <c r="BB99" s="310"/>
      <c r="BC99" s="310"/>
      <c r="BD99" s="310"/>
      <c r="BE99" s="310"/>
      <c r="BF99" s="310"/>
      <c r="BG99" s="310"/>
      <c r="BH99" s="310"/>
      <c r="BI99" s="310"/>
      <c r="BJ99" s="310"/>
      <c r="BK99" s="310"/>
      <c r="BL99" s="310"/>
      <c r="BM99" s="310"/>
      <c r="BN99" s="310"/>
      <c r="BO99" s="310"/>
      <c r="BP99" s="310"/>
      <c r="BQ99" s="310"/>
      <c r="BR99" s="310"/>
      <c r="BS99" s="310"/>
      <c r="BT99" s="310"/>
      <c r="BU99" s="310"/>
      <c r="BV99" s="310"/>
      <c r="BW99" s="310"/>
      <c r="BX99" s="310"/>
      <c r="BY99" s="310"/>
      <c r="BZ99" s="310"/>
      <c r="CA99" s="310"/>
      <c r="CB99" s="310"/>
      <c r="CC99" s="310"/>
      <c r="CD99" s="310"/>
      <c r="CE99" s="310"/>
      <c r="CF99" s="310"/>
      <c r="CG99" s="310"/>
      <c r="CH99" s="310"/>
      <c r="CI99" s="310"/>
      <c r="CJ99" s="310"/>
      <c r="CK99" s="310"/>
      <c r="CL99" s="310"/>
      <c r="CM99" s="310"/>
      <c r="CN99" s="310"/>
      <c r="CO99" s="310"/>
      <c r="CP99" s="310"/>
      <c r="CQ99" s="310"/>
      <c r="CR99" s="310"/>
      <c r="CS99" s="310"/>
      <c r="CT99" s="310"/>
      <c r="CU99" s="310"/>
      <c r="CV99" s="310"/>
      <c r="CW99" s="310"/>
      <c r="CX99" s="310"/>
      <c r="CY99" s="310"/>
      <c r="CZ99" s="310"/>
      <c r="DA99" s="310"/>
      <c r="DB99" s="310"/>
      <c r="DC99" s="310"/>
      <c r="DD99" s="310"/>
      <c r="DE99" s="310"/>
      <c r="DF99" s="310"/>
      <c r="DG99" s="310"/>
      <c r="DH99" s="310"/>
      <c r="DI99" s="310"/>
      <c r="DJ99" s="310"/>
      <c r="DK99" s="310"/>
      <c r="DL99" s="310"/>
      <c r="DM99" s="310"/>
      <c r="DN99" s="310"/>
      <c r="DO99" s="310"/>
      <c r="DP99" s="310"/>
      <c r="DQ99" s="310"/>
      <c r="DR99" s="310"/>
      <c r="DS99" s="310"/>
      <c r="DT99" s="310"/>
      <c r="DU99" s="310"/>
      <c r="DV99" s="310"/>
      <c r="DW99" s="310"/>
      <c r="DX99" s="310"/>
      <c r="DY99" s="310"/>
      <c r="DZ99" s="310"/>
      <c r="EA99" s="310"/>
      <c r="EB99" s="310"/>
      <c r="EC99" s="310"/>
      <c r="ED99" s="310"/>
      <c r="EE99" s="310"/>
      <c r="EF99" s="310"/>
      <c r="EG99" s="310"/>
      <c r="EH99" s="310"/>
      <c r="EI99" s="310"/>
      <c r="EJ99" s="310"/>
      <c r="EK99" s="310"/>
      <c r="EL99" s="310"/>
      <c r="EM99" s="310"/>
      <c r="EN99" s="310"/>
      <c r="EO99" s="310"/>
      <c r="EP99" s="310"/>
      <c r="EQ99" s="310"/>
      <c r="ER99" s="310"/>
      <c r="ES99" s="310"/>
      <c r="ET99" s="310"/>
      <c r="EU99" s="310"/>
      <c r="EV99" s="310"/>
      <c r="EW99" s="310"/>
      <c r="EX99" s="310"/>
      <c r="EY99" s="310"/>
      <c r="EZ99" s="310"/>
      <c r="FA99" s="310"/>
      <c r="FB99" s="310"/>
      <c r="FC99" s="310"/>
      <c r="FD99" s="310"/>
      <c r="FE99" s="311"/>
      <c r="FF99" s="312"/>
    </row>
    <row r="100" spans="1:162" ht="12.75" x14ac:dyDescent="0.2">
      <c r="A100" s="446">
        <v>93</v>
      </c>
      <c r="B100" s="447" t="s">
        <v>69</v>
      </c>
      <c r="C100" s="448" t="s">
        <v>1093</v>
      </c>
      <c r="D100" s="449" t="s">
        <v>1095</v>
      </c>
      <c r="E100" s="450" t="s">
        <v>68</v>
      </c>
      <c r="F100" s="451">
        <v>20523837.899999999</v>
      </c>
      <c r="G100" s="451">
        <v>0</v>
      </c>
      <c r="H100" s="451">
        <v>0</v>
      </c>
      <c r="I100" s="451">
        <v>20523837.899999999</v>
      </c>
      <c r="J100" s="451">
        <v>22024</v>
      </c>
      <c r="K100" s="451">
        <v>0</v>
      </c>
      <c r="L100" s="451">
        <v>0</v>
      </c>
      <c r="M100" s="451">
        <v>22024</v>
      </c>
      <c r="N100" s="451">
        <v>21123</v>
      </c>
      <c r="O100" s="451">
        <v>0</v>
      </c>
      <c r="P100" s="451">
        <v>0</v>
      </c>
      <c r="Q100" s="451">
        <v>21123</v>
      </c>
      <c r="R100" s="451">
        <v>120382.04</v>
      </c>
      <c r="S100" s="451">
        <v>0</v>
      </c>
      <c r="T100" s="451">
        <v>0</v>
      </c>
      <c r="U100" s="451">
        <v>120382.04</v>
      </c>
      <c r="V100" s="451">
        <v>286017</v>
      </c>
      <c r="W100" s="451">
        <v>0</v>
      </c>
      <c r="X100" s="451">
        <v>0</v>
      </c>
      <c r="Y100" s="451">
        <v>286017</v>
      </c>
      <c r="Z100" s="451">
        <v>20074292</v>
      </c>
      <c r="AA100" s="451">
        <v>0</v>
      </c>
      <c r="AB100" s="451">
        <v>0</v>
      </c>
      <c r="AC100" s="451">
        <v>20074292</v>
      </c>
      <c r="AD100" s="451">
        <v>0</v>
      </c>
      <c r="AE100" s="451">
        <v>0</v>
      </c>
      <c r="AF100" s="451">
        <v>0</v>
      </c>
      <c r="AG100" s="451">
        <v>0</v>
      </c>
      <c r="AH100" s="451">
        <v>0</v>
      </c>
      <c r="AI100" s="451">
        <v>0</v>
      </c>
      <c r="AJ100" s="451">
        <v>0</v>
      </c>
      <c r="AK100" s="451">
        <v>0</v>
      </c>
      <c r="AL100" s="451">
        <v>0</v>
      </c>
      <c r="AM100" s="451">
        <v>0</v>
      </c>
      <c r="AN100" s="451">
        <v>0</v>
      </c>
      <c r="AO100" s="451">
        <v>555228</v>
      </c>
      <c r="AP100" s="451">
        <v>71973</v>
      </c>
      <c r="AQ100" s="324"/>
      <c r="AR100" s="310"/>
      <c r="AS100" s="310"/>
      <c r="AT100" s="310"/>
      <c r="AU100" s="310"/>
      <c r="AV100" s="310"/>
      <c r="AW100" s="310"/>
      <c r="AX100" s="310"/>
      <c r="AY100" s="310"/>
      <c r="AZ100" s="310"/>
      <c r="BA100" s="310"/>
      <c r="BB100" s="310"/>
      <c r="BC100" s="310"/>
      <c r="BD100" s="310"/>
      <c r="BE100" s="310"/>
      <c r="BF100" s="310"/>
      <c r="BG100" s="310"/>
      <c r="BH100" s="310"/>
      <c r="BI100" s="310"/>
      <c r="BJ100" s="310"/>
      <c r="BK100" s="310"/>
      <c r="BL100" s="310"/>
      <c r="BM100" s="310"/>
      <c r="BN100" s="310"/>
      <c r="BO100" s="310"/>
      <c r="BP100" s="310"/>
      <c r="BQ100" s="310"/>
      <c r="BR100" s="310"/>
      <c r="BS100" s="310"/>
      <c r="BT100" s="310"/>
      <c r="BU100" s="310"/>
      <c r="BV100" s="310"/>
      <c r="BW100" s="310"/>
      <c r="BX100" s="310"/>
      <c r="BY100" s="310"/>
      <c r="BZ100" s="310"/>
      <c r="CA100" s="310"/>
      <c r="CB100" s="310"/>
      <c r="CC100" s="310"/>
      <c r="CD100" s="310"/>
      <c r="CE100" s="310"/>
      <c r="CF100" s="310"/>
      <c r="CG100" s="310"/>
      <c r="CH100" s="310"/>
      <c r="CI100" s="310"/>
      <c r="CJ100" s="310"/>
      <c r="CK100" s="310"/>
      <c r="CL100" s="310"/>
      <c r="CM100" s="310"/>
      <c r="CN100" s="310"/>
      <c r="CO100" s="310"/>
      <c r="CP100" s="310"/>
      <c r="CQ100" s="310"/>
      <c r="CR100" s="310"/>
      <c r="CS100" s="310"/>
      <c r="CT100" s="310"/>
      <c r="CU100" s="310"/>
      <c r="CV100" s="310"/>
      <c r="CW100" s="310"/>
      <c r="CX100" s="310"/>
      <c r="CY100" s="310"/>
      <c r="CZ100" s="310"/>
      <c r="DA100" s="310"/>
      <c r="DB100" s="310"/>
      <c r="DC100" s="310"/>
      <c r="DD100" s="310"/>
      <c r="DE100" s="310"/>
      <c r="DF100" s="310"/>
      <c r="DG100" s="310"/>
      <c r="DH100" s="310"/>
      <c r="DI100" s="310"/>
      <c r="DJ100" s="310"/>
      <c r="DK100" s="310"/>
      <c r="DL100" s="310"/>
      <c r="DM100" s="310"/>
      <c r="DN100" s="310"/>
      <c r="DO100" s="310"/>
      <c r="DP100" s="310"/>
      <c r="DQ100" s="310"/>
      <c r="DR100" s="310"/>
      <c r="DS100" s="310"/>
      <c r="DT100" s="310"/>
      <c r="DU100" s="310"/>
      <c r="DV100" s="310"/>
      <c r="DW100" s="310"/>
      <c r="DX100" s="310"/>
      <c r="DY100" s="310"/>
      <c r="DZ100" s="310"/>
      <c r="EA100" s="310"/>
      <c r="EB100" s="310"/>
      <c r="EC100" s="310"/>
      <c r="ED100" s="310"/>
      <c r="EE100" s="310"/>
      <c r="EF100" s="310"/>
      <c r="EG100" s="310"/>
      <c r="EH100" s="310"/>
      <c r="EI100" s="310"/>
      <c r="EJ100" s="310"/>
      <c r="EK100" s="310"/>
      <c r="EL100" s="310"/>
      <c r="EM100" s="310"/>
      <c r="EN100" s="310"/>
      <c r="EO100" s="310"/>
      <c r="EP100" s="310"/>
      <c r="EQ100" s="310"/>
      <c r="ER100" s="310"/>
      <c r="ES100" s="310"/>
      <c r="ET100" s="310"/>
      <c r="EU100" s="310"/>
      <c r="EV100" s="310"/>
      <c r="EW100" s="310"/>
      <c r="EX100" s="310"/>
      <c r="EY100" s="310"/>
      <c r="EZ100" s="310"/>
      <c r="FA100" s="310"/>
      <c r="FB100" s="310"/>
      <c r="FC100" s="310"/>
      <c r="FD100" s="310"/>
      <c r="FE100" s="311"/>
      <c r="FF100" s="312"/>
    </row>
    <row r="101" spans="1:162" ht="12.75" x14ac:dyDescent="0.2">
      <c r="A101" s="446">
        <v>94</v>
      </c>
      <c r="B101" s="447" t="s">
        <v>71</v>
      </c>
      <c r="C101" s="448" t="s">
        <v>1093</v>
      </c>
      <c r="D101" s="449" t="s">
        <v>1094</v>
      </c>
      <c r="E101" s="450" t="s">
        <v>70</v>
      </c>
      <c r="F101" s="451">
        <v>53593946</v>
      </c>
      <c r="G101" s="451">
        <v>0</v>
      </c>
      <c r="H101" s="451">
        <v>0</v>
      </c>
      <c r="I101" s="451">
        <v>53593946</v>
      </c>
      <c r="J101" s="451">
        <v>234989</v>
      </c>
      <c r="K101" s="451">
        <v>0</v>
      </c>
      <c r="L101" s="451">
        <v>0</v>
      </c>
      <c r="M101" s="451">
        <v>234989</v>
      </c>
      <c r="N101" s="451">
        <v>99000</v>
      </c>
      <c r="O101" s="451">
        <v>0</v>
      </c>
      <c r="P101" s="451">
        <v>0</v>
      </c>
      <c r="Q101" s="451">
        <v>99000</v>
      </c>
      <c r="R101" s="451">
        <v>248020</v>
      </c>
      <c r="S101" s="451">
        <v>0</v>
      </c>
      <c r="T101" s="451">
        <v>0</v>
      </c>
      <c r="U101" s="451">
        <v>248020</v>
      </c>
      <c r="V101" s="451">
        <v>820156</v>
      </c>
      <c r="W101" s="451">
        <v>0</v>
      </c>
      <c r="X101" s="451">
        <v>0</v>
      </c>
      <c r="Y101" s="451">
        <v>820156</v>
      </c>
      <c r="Z101" s="451">
        <v>52191781</v>
      </c>
      <c r="AA101" s="451">
        <v>0</v>
      </c>
      <c r="AB101" s="451">
        <v>0</v>
      </c>
      <c r="AC101" s="451">
        <v>52191781</v>
      </c>
      <c r="AD101" s="451">
        <v>0</v>
      </c>
      <c r="AE101" s="451">
        <v>0</v>
      </c>
      <c r="AF101" s="451">
        <v>0</v>
      </c>
      <c r="AG101" s="451">
        <v>0</v>
      </c>
      <c r="AH101" s="451">
        <v>0</v>
      </c>
      <c r="AI101" s="451">
        <v>0</v>
      </c>
      <c r="AJ101" s="451">
        <v>0</v>
      </c>
      <c r="AK101" s="451">
        <v>0</v>
      </c>
      <c r="AL101" s="451">
        <v>0</v>
      </c>
      <c r="AM101" s="451">
        <v>0</v>
      </c>
      <c r="AN101" s="451">
        <v>0</v>
      </c>
      <c r="AO101" s="451">
        <v>1027025</v>
      </c>
      <c r="AP101" s="451">
        <v>606593</v>
      </c>
      <c r="AQ101" s="324"/>
      <c r="AR101" s="310"/>
      <c r="AS101" s="310"/>
      <c r="AT101" s="310"/>
      <c r="AU101" s="310"/>
      <c r="AV101" s="310"/>
      <c r="AW101" s="310"/>
      <c r="AX101" s="310"/>
      <c r="AY101" s="310"/>
      <c r="AZ101" s="310"/>
      <c r="BA101" s="310"/>
      <c r="BB101" s="310"/>
      <c r="BC101" s="310"/>
      <c r="BD101" s="310"/>
      <c r="BE101" s="310"/>
      <c r="BF101" s="310"/>
      <c r="BG101" s="310"/>
      <c r="BH101" s="310"/>
      <c r="BI101" s="310"/>
      <c r="BJ101" s="310"/>
      <c r="BK101" s="310"/>
      <c r="BL101" s="310"/>
      <c r="BM101" s="310"/>
      <c r="BN101" s="310"/>
      <c r="BO101" s="310"/>
      <c r="BP101" s="310"/>
      <c r="BQ101" s="310"/>
      <c r="BR101" s="310"/>
      <c r="BS101" s="310"/>
      <c r="BT101" s="310"/>
      <c r="BU101" s="310"/>
      <c r="BV101" s="310"/>
      <c r="BW101" s="310"/>
      <c r="BX101" s="310"/>
      <c r="BY101" s="310"/>
      <c r="BZ101" s="310"/>
      <c r="CA101" s="310"/>
      <c r="CB101" s="310"/>
      <c r="CC101" s="310"/>
      <c r="CD101" s="310"/>
      <c r="CE101" s="310"/>
      <c r="CF101" s="310"/>
      <c r="CG101" s="310"/>
      <c r="CH101" s="310"/>
      <c r="CI101" s="310"/>
      <c r="CJ101" s="310"/>
      <c r="CK101" s="310"/>
      <c r="CL101" s="310"/>
      <c r="CM101" s="310"/>
      <c r="CN101" s="310"/>
      <c r="CO101" s="310"/>
      <c r="CP101" s="310"/>
      <c r="CQ101" s="310"/>
      <c r="CR101" s="310"/>
      <c r="CS101" s="310"/>
      <c r="CT101" s="310"/>
      <c r="CU101" s="310"/>
      <c r="CV101" s="310"/>
      <c r="CW101" s="310"/>
      <c r="CX101" s="310"/>
      <c r="CY101" s="310"/>
      <c r="CZ101" s="310"/>
      <c r="DA101" s="310"/>
      <c r="DB101" s="310"/>
      <c r="DC101" s="310"/>
      <c r="DD101" s="310"/>
      <c r="DE101" s="310"/>
      <c r="DF101" s="310"/>
      <c r="DG101" s="310"/>
      <c r="DH101" s="310"/>
      <c r="DI101" s="310"/>
      <c r="DJ101" s="310"/>
      <c r="DK101" s="310"/>
      <c r="DL101" s="310"/>
      <c r="DM101" s="310"/>
      <c r="DN101" s="310"/>
      <c r="DO101" s="310"/>
      <c r="DP101" s="310"/>
      <c r="DQ101" s="310"/>
      <c r="DR101" s="310"/>
      <c r="DS101" s="310"/>
      <c r="DT101" s="310"/>
      <c r="DU101" s="310"/>
      <c r="DV101" s="310"/>
      <c r="DW101" s="310"/>
      <c r="DX101" s="310"/>
      <c r="DY101" s="310"/>
      <c r="DZ101" s="310"/>
      <c r="EA101" s="310"/>
      <c r="EB101" s="310"/>
      <c r="EC101" s="310"/>
      <c r="ED101" s="310"/>
      <c r="EE101" s="310"/>
      <c r="EF101" s="310"/>
      <c r="EG101" s="310"/>
      <c r="EH101" s="310"/>
      <c r="EI101" s="310"/>
      <c r="EJ101" s="310"/>
      <c r="EK101" s="310"/>
      <c r="EL101" s="310"/>
      <c r="EM101" s="310"/>
      <c r="EN101" s="310"/>
      <c r="EO101" s="310"/>
      <c r="EP101" s="310"/>
      <c r="EQ101" s="310"/>
      <c r="ER101" s="310"/>
      <c r="ES101" s="310"/>
      <c r="ET101" s="310"/>
      <c r="EU101" s="310"/>
      <c r="EV101" s="310"/>
      <c r="EW101" s="310"/>
      <c r="EX101" s="310"/>
      <c r="EY101" s="310"/>
      <c r="EZ101" s="310"/>
      <c r="FA101" s="310"/>
      <c r="FB101" s="310"/>
      <c r="FC101" s="310"/>
      <c r="FD101" s="310"/>
      <c r="FE101" s="311"/>
      <c r="FF101" s="312"/>
    </row>
    <row r="102" spans="1:162" ht="12.75" x14ac:dyDescent="0.2">
      <c r="A102" s="446">
        <v>95</v>
      </c>
      <c r="B102" s="447" t="s">
        <v>73</v>
      </c>
      <c r="C102" s="448" t="s">
        <v>1098</v>
      </c>
      <c r="D102" s="449" t="s">
        <v>1099</v>
      </c>
      <c r="E102" s="450" t="s">
        <v>72</v>
      </c>
      <c r="F102" s="451">
        <v>106397925</v>
      </c>
      <c r="G102" s="451">
        <v>0</v>
      </c>
      <c r="H102" s="451">
        <v>0</v>
      </c>
      <c r="I102" s="451">
        <v>106397925</v>
      </c>
      <c r="J102" s="451">
        <v>455031</v>
      </c>
      <c r="K102" s="451">
        <v>0</v>
      </c>
      <c r="L102" s="451">
        <v>0</v>
      </c>
      <c r="M102" s="451">
        <v>455031</v>
      </c>
      <c r="N102" s="451">
        <v>1099864</v>
      </c>
      <c r="O102" s="451">
        <v>0</v>
      </c>
      <c r="P102" s="451">
        <v>0</v>
      </c>
      <c r="Q102" s="451">
        <v>1099864</v>
      </c>
      <c r="R102" s="451">
        <v>404468.25</v>
      </c>
      <c r="S102" s="451">
        <v>0</v>
      </c>
      <c r="T102" s="451">
        <v>0</v>
      </c>
      <c r="U102" s="451">
        <v>404468.25</v>
      </c>
      <c r="V102" s="451">
        <v>2012756.29</v>
      </c>
      <c r="W102" s="451">
        <v>0</v>
      </c>
      <c r="X102" s="451">
        <v>0</v>
      </c>
      <c r="Y102" s="451">
        <v>2012756.29</v>
      </c>
      <c r="Z102" s="451">
        <v>102425806</v>
      </c>
      <c r="AA102" s="451">
        <v>0</v>
      </c>
      <c r="AB102" s="451">
        <v>0</v>
      </c>
      <c r="AC102" s="451">
        <v>102425806</v>
      </c>
      <c r="AD102" s="451">
        <v>0</v>
      </c>
      <c r="AE102" s="451">
        <v>0</v>
      </c>
      <c r="AF102" s="451">
        <v>0</v>
      </c>
      <c r="AG102" s="451">
        <v>0</v>
      </c>
      <c r="AH102" s="451">
        <v>0</v>
      </c>
      <c r="AI102" s="451">
        <v>0</v>
      </c>
      <c r="AJ102" s="451">
        <v>0</v>
      </c>
      <c r="AK102" s="451">
        <v>0</v>
      </c>
      <c r="AL102" s="451">
        <v>0</v>
      </c>
      <c r="AM102" s="451">
        <v>0</v>
      </c>
      <c r="AN102" s="451">
        <v>0</v>
      </c>
      <c r="AO102" s="451">
        <v>10351355.4</v>
      </c>
      <c r="AP102" s="451">
        <v>1583172.61</v>
      </c>
      <c r="AQ102" s="324"/>
      <c r="AR102" s="310"/>
      <c r="AS102" s="310"/>
      <c r="AT102" s="310"/>
      <c r="AU102" s="310"/>
      <c r="AV102" s="310"/>
      <c r="AW102" s="310"/>
      <c r="AX102" s="310"/>
      <c r="AY102" s="310"/>
      <c r="AZ102" s="310"/>
      <c r="BA102" s="310"/>
      <c r="BB102" s="310"/>
      <c r="BC102" s="310"/>
      <c r="BD102" s="310"/>
      <c r="BE102" s="310"/>
      <c r="BF102" s="310"/>
      <c r="BG102" s="310"/>
      <c r="BH102" s="310"/>
      <c r="BI102" s="310"/>
      <c r="BJ102" s="310"/>
      <c r="BK102" s="310"/>
      <c r="BL102" s="310"/>
      <c r="BM102" s="310"/>
      <c r="BN102" s="310"/>
      <c r="BO102" s="310"/>
      <c r="BP102" s="310"/>
      <c r="BQ102" s="310"/>
      <c r="BR102" s="310"/>
      <c r="BS102" s="310"/>
      <c r="BT102" s="310"/>
      <c r="BU102" s="310"/>
      <c r="BV102" s="310"/>
      <c r="BW102" s="310"/>
      <c r="BX102" s="310"/>
      <c r="BY102" s="310"/>
      <c r="BZ102" s="310"/>
      <c r="CA102" s="310"/>
      <c r="CB102" s="310"/>
      <c r="CC102" s="310"/>
      <c r="CD102" s="310"/>
      <c r="CE102" s="310"/>
      <c r="CF102" s="310"/>
      <c r="CG102" s="310"/>
      <c r="CH102" s="310"/>
      <c r="CI102" s="310"/>
      <c r="CJ102" s="310"/>
      <c r="CK102" s="310"/>
      <c r="CL102" s="310"/>
      <c r="CM102" s="310"/>
      <c r="CN102" s="310"/>
      <c r="CO102" s="310"/>
      <c r="CP102" s="310"/>
      <c r="CQ102" s="310"/>
      <c r="CR102" s="310"/>
      <c r="CS102" s="310"/>
      <c r="CT102" s="310"/>
      <c r="CU102" s="310"/>
      <c r="CV102" s="310"/>
      <c r="CW102" s="310"/>
      <c r="CX102" s="310"/>
      <c r="CY102" s="310"/>
      <c r="CZ102" s="310"/>
      <c r="DA102" s="310"/>
      <c r="DB102" s="310"/>
      <c r="DC102" s="310"/>
      <c r="DD102" s="310"/>
      <c r="DE102" s="310"/>
      <c r="DF102" s="310"/>
      <c r="DG102" s="310"/>
      <c r="DH102" s="310"/>
      <c r="DI102" s="310"/>
      <c r="DJ102" s="310"/>
      <c r="DK102" s="310"/>
      <c r="DL102" s="310"/>
      <c r="DM102" s="310"/>
      <c r="DN102" s="310"/>
      <c r="DO102" s="310"/>
      <c r="DP102" s="310"/>
      <c r="DQ102" s="310"/>
      <c r="DR102" s="310"/>
      <c r="DS102" s="310"/>
      <c r="DT102" s="310"/>
      <c r="DU102" s="310"/>
      <c r="DV102" s="310"/>
      <c r="DW102" s="310"/>
      <c r="DX102" s="310"/>
      <c r="DY102" s="310"/>
      <c r="DZ102" s="310"/>
      <c r="EA102" s="310"/>
      <c r="EB102" s="310"/>
      <c r="EC102" s="310"/>
      <c r="ED102" s="310"/>
      <c r="EE102" s="310"/>
      <c r="EF102" s="310"/>
      <c r="EG102" s="310"/>
      <c r="EH102" s="310"/>
      <c r="EI102" s="310"/>
      <c r="EJ102" s="310"/>
      <c r="EK102" s="310"/>
      <c r="EL102" s="310"/>
      <c r="EM102" s="310"/>
      <c r="EN102" s="310"/>
      <c r="EO102" s="310"/>
      <c r="EP102" s="310"/>
      <c r="EQ102" s="310"/>
      <c r="ER102" s="310"/>
      <c r="ES102" s="310"/>
      <c r="ET102" s="310"/>
      <c r="EU102" s="310"/>
      <c r="EV102" s="310"/>
      <c r="EW102" s="310"/>
      <c r="EX102" s="310"/>
      <c r="EY102" s="310"/>
      <c r="EZ102" s="310"/>
      <c r="FA102" s="310"/>
      <c r="FB102" s="310"/>
      <c r="FC102" s="310"/>
      <c r="FD102" s="310"/>
      <c r="FE102" s="311"/>
      <c r="FF102" s="312"/>
    </row>
    <row r="103" spans="1:162" ht="12.75" x14ac:dyDescent="0.2">
      <c r="A103" s="446">
        <v>96</v>
      </c>
      <c r="B103" s="447" t="s">
        <v>75</v>
      </c>
      <c r="C103" s="448" t="s">
        <v>1093</v>
      </c>
      <c r="D103" s="449" t="s">
        <v>1097</v>
      </c>
      <c r="E103" s="450" t="s">
        <v>74</v>
      </c>
      <c r="F103" s="451">
        <v>32979130</v>
      </c>
      <c r="G103" s="451">
        <v>0</v>
      </c>
      <c r="H103" s="451">
        <v>0</v>
      </c>
      <c r="I103" s="451">
        <v>32979130</v>
      </c>
      <c r="J103" s="451">
        <v>397804.88</v>
      </c>
      <c r="K103" s="451">
        <v>0</v>
      </c>
      <c r="L103" s="451">
        <v>0</v>
      </c>
      <c r="M103" s="451">
        <v>397804.88</v>
      </c>
      <c r="N103" s="451">
        <v>-30160</v>
      </c>
      <c r="O103" s="451">
        <v>0</v>
      </c>
      <c r="P103" s="451">
        <v>0</v>
      </c>
      <c r="Q103" s="451">
        <v>-30160</v>
      </c>
      <c r="R103" s="451">
        <v>401434</v>
      </c>
      <c r="S103" s="451">
        <v>0</v>
      </c>
      <c r="T103" s="451">
        <v>0</v>
      </c>
      <c r="U103" s="451">
        <v>401434</v>
      </c>
      <c r="V103" s="451">
        <v>1084632</v>
      </c>
      <c r="W103" s="451">
        <v>0</v>
      </c>
      <c r="X103" s="451">
        <v>0</v>
      </c>
      <c r="Y103" s="451">
        <v>1084632</v>
      </c>
      <c r="Z103" s="451">
        <v>31125419</v>
      </c>
      <c r="AA103" s="451">
        <v>0</v>
      </c>
      <c r="AB103" s="451">
        <v>0</v>
      </c>
      <c r="AC103" s="451">
        <v>31125419</v>
      </c>
      <c r="AD103" s="451">
        <v>0</v>
      </c>
      <c r="AE103" s="451">
        <v>0</v>
      </c>
      <c r="AF103" s="451">
        <v>0</v>
      </c>
      <c r="AG103" s="451">
        <v>0</v>
      </c>
      <c r="AH103" s="451">
        <v>0</v>
      </c>
      <c r="AI103" s="451">
        <v>0</v>
      </c>
      <c r="AJ103" s="451">
        <v>0</v>
      </c>
      <c r="AK103" s="451">
        <v>0</v>
      </c>
      <c r="AL103" s="451">
        <v>0</v>
      </c>
      <c r="AM103" s="451">
        <v>0</v>
      </c>
      <c r="AN103" s="451">
        <v>0</v>
      </c>
      <c r="AO103" s="451">
        <v>1112462.3899999999</v>
      </c>
      <c r="AP103" s="451">
        <v>340423.19</v>
      </c>
      <c r="AQ103" s="324"/>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0"/>
      <c r="BW103" s="310"/>
      <c r="BX103" s="310"/>
      <c r="BY103" s="310"/>
      <c r="BZ103" s="310"/>
      <c r="CA103" s="310"/>
      <c r="CB103" s="310"/>
      <c r="CC103" s="310"/>
      <c r="CD103" s="310"/>
      <c r="CE103" s="310"/>
      <c r="CF103" s="310"/>
      <c r="CG103" s="310"/>
      <c r="CH103" s="310"/>
      <c r="CI103" s="310"/>
      <c r="CJ103" s="310"/>
      <c r="CK103" s="310"/>
      <c r="CL103" s="310"/>
      <c r="CM103" s="310"/>
      <c r="CN103" s="310"/>
      <c r="CO103" s="310"/>
      <c r="CP103" s="310"/>
      <c r="CQ103" s="310"/>
      <c r="CR103" s="310"/>
      <c r="CS103" s="310"/>
      <c r="CT103" s="310"/>
      <c r="CU103" s="310"/>
      <c r="CV103" s="310"/>
      <c r="CW103" s="310"/>
      <c r="CX103" s="310"/>
      <c r="CY103" s="310"/>
      <c r="CZ103" s="310"/>
      <c r="DA103" s="310"/>
      <c r="DB103" s="310"/>
      <c r="DC103" s="310"/>
      <c r="DD103" s="310"/>
      <c r="DE103" s="310"/>
      <c r="DF103" s="310"/>
      <c r="DG103" s="310"/>
      <c r="DH103" s="310"/>
      <c r="DI103" s="310"/>
      <c r="DJ103" s="310"/>
      <c r="DK103" s="310"/>
      <c r="DL103" s="310"/>
      <c r="DM103" s="310"/>
      <c r="DN103" s="310"/>
      <c r="DO103" s="310"/>
      <c r="DP103" s="310"/>
      <c r="DQ103" s="310"/>
      <c r="DR103" s="310"/>
      <c r="DS103" s="310"/>
      <c r="DT103" s="310"/>
      <c r="DU103" s="310"/>
      <c r="DV103" s="310"/>
      <c r="DW103" s="310"/>
      <c r="DX103" s="310"/>
      <c r="DY103" s="310"/>
      <c r="DZ103" s="310"/>
      <c r="EA103" s="310"/>
      <c r="EB103" s="310"/>
      <c r="EC103" s="310"/>
      <c r="ED103" s="310"/>
      <c r="EE103" s="310"/>
      <c r="EF103" s="310"/>
      <c r="EG103" s="310"/>
      <c r="EH103" s="310"/>
      <c r="EI103" s="310"/>
      <c r="EJ103" s="310"/>
      <c r="EK103" s="310"/>
      <c r="EL103" s="310"/>
      <c r="EM103" s="310"/>
      <c r="EN103" s="310"/>
      <c r="EO103" s="310"/>
      <c r="EP103" s="310"/>
      <c r="EQ103" s="310"/>
      <c r="ER103" s="310"/>
      <c r="ES103" s="310"/>
      <c r="ET103" s="310"/>
      <c r="EU103" s="310"/>
      <c r="EV103" s="310"/>
      <c r="EW103" s="310"/>
      <c r="EX103" s="310"/>
      <c r="EY103" s="310"/>
      <c r="EZ103" s="310"/>
      <c r="FA103" s="310"/>
      <c r="FB103" s="310"/>
      <c r="FC103" s="310"/>
      <c r="FD103" s="310"/>
      <c r="FE103" s="311"/>
      <c r="FF103" s="312"/>
    </row>
    <row r="104" spans="1:162" ht="12.75" x14ac:dyDescent="0.2">
      <c r="A104" s="446">
        <v>97</v>
      </c>
      <c r="B104" s="447" t="s">
        <v>77</v>
      </c>
      <c r="C104" s="448" t="s">
        <v>1093</v>
      </c>
      <c r="D104" s="449" t="s">
        <v>1094</v>
      </c>
      <c r="E104" s="450" t="s">
        <v>1112</v>
      </c>
      <c r="F104" s="451">
        <v>23036483</v>
      </c>
      <c r="G104" s="451">
        <v>0</v>
      </c>
      <c r="H104" s="451">
        <v>0</v>
      </c>
      <c r="I104" s="451">
        <v>23036483</v>
      </c>
      <c r="J104" s="451">
        <v>225181</v>
      </c>
      <c r="K104" s="451">
        <v>0</v>
      </c>
      <c r="L104" s="451">
        <v>0</v>
      </c>
      <c r="M104" s="451">
        <v>225181</v>
      </c>
      <c r="N104" s="451">
        <v>-91763</v>
      </c>
      <c r="O104" s="451">
        <v>0</v>
      </c>
      <c r="P104" s="451">
        <v>0</v>
      </c>
      <c r="Q104" s="451">
        <v>-91763</v>
      </c>
      <c r="R104" s="451">
        <v>263311</v>
      </c>
      <c r="S104" s="451">
        <v>0</v>
      </c>
      <c r="T104" s="451">
        <v>0</v>
      </c>
      <c r="U104" s="451">
        <v>263311</v>
      </c>
      <c r="V104" s="451">
        <v>1053245</v>
      </c>
      <c r="W104" s="451">
        <v>0</v>
      </c>
      <c r="X104" s="451">
        <v>0</v>
      </c>
      <c r="Y104" s="451">
        <v>1053245</v>
      </c>
      <c r="Z104" s="451">
        <v>21586509</v>
      </c>
      <c r="AA104" s="451">
        <v>0</v>
      </c>
      <c r="AB104" s="451">
        <v>0</v>
      </c>
      <c r="AC104" s="451">
        <v>21586509</v>
      </c>
      <c r="AD104" s="451">
        <v>0</v>
      </c>
      <c r="AE104" s="451">
        <v>0</v>
      </c>
      <c r="AF104" s="451">
        <v>0</v>
      </c>
      <c r="AG104" s="451">
        <v>0</v>
      </c>
      <c r="AH104" s="451">
        <v>0</v>
      </c>
      <c r="AI104" s="451">
        <v>0</v>
      </c>
      <c r="AJ104" s="451">
        <v>0</v>
      </c>
      <c r="AK104" s="451">
        <v>0</v>
      </c>
      <c r="AL104" s="451">
        <v>0</v>
      </c>
      <c r="AM104" s="451">
        <v>0</v>
      </c>
      <c r="AN104" s="451">
        <v>0</v>
      </c>
      <c r="AO104" s="451">
        <v>350938</v>
      </c>
      <c r="AP104" s="451">
        <v>98637</v>
      </c>
      <c r="AQ104" s="324"/>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c r="EI104" s="310"/>
      <c r="EJ104" s="310"/>
      <c r="EK104" s="310"/>
      <c r="EL104" s="310"/>
      <c r="EM104" s="310"/>
      <c r="EN104" s="310"/>
      <c r="EO104" s="310"/>
      <c r="EP104" s="310"/>
      <c r="EQ104" s="310"/>
      <c r="ER104" s="310"/>
      <c r="ES104" s="310"/>
      <c r="ET104" s="310"/>
      <c r="EU104" s="310"/>
      <c r="EV104" s="310"/>
      <c r="EW104" s="310"/>
      <c r="EX104" s="310"/>
      <c r="EY104" s="310"/>
      <c r="EZ104" s="310"/>
      <c r="FA104" s="310"/>
      <c r="FB104" s="310"/>
      <c r="FC104" s="310"/>
      <c r="FD104" s="310"/>
      <c r="FE104" s="311"/>
      <c r="FF104" s="312"/>
    </row>
    <row r="105" spans="1:162" ht="12.75" x14ac:dyDescent="0.2">
      <c r="A105" s="446">
        <v>98</v>
      </c>
      <c r="B105" s="447" t="s">
        <v>79</v>
      </c>
      <c r="C105" s="448" t="s">
        <v>1093</v>
      </c>
      <c r="D105" s="449" t="s">
        <v>1096</v>
      </c>
      <c r="E105" s="450" t="s">
        <v>78</v>
      </c>
      <c r="F105" s="451">
        <v>24034750.699999999</v>
      </c>
      <c r="G105" s="451">
        <v>0</v>
      </c>
      <c r="H105" s="451">
        <v>0</v>
      </c>
      <c r="I105" s="451">
        <v>24034750.699999999</v>
      </c>
      <c r="J105" s="451">
        <v>0</v>
      </c>
      <c r="K105" s="451">
        <v>0</v>
      </c>
      <c r="L105" s="451">
        <v>0</v>
      </c>
      <c r="M105" s="451">
        <v>0</v>
      </c>
      <c r="N105" s="451">
        <v>54000</v>
      </c>
      <c r="O105" s="451">
        <v>0</v>
      </c>
      <c r="P105" s="451">
        <v>0</v>
      </c>
      <c r="Q105" s="451">
        <v>54000</v>
      </c>
      <c r="R105" s="451">
        <v>110000</v>
      </c>
      <c r="S105" s="451">
        <v>0</v>
      </c>
      <c r="T105" s="451">
        <v>0</v>
      </c>
      <c r="U105" s="451">
        <v>110000</v>
      </c>
      <c r="V105" s="451">
        <v>305000</v>
      </c>
      <c r="W105" s="451">
        <v>0</v>
      </c>
      <c r="X105" s="451">
        <v>0</v>
      </c>
      <c r="Y105" s="451">
        <v>305000</v>
      </c>
      <c r="Z105" s="451">
        <v>23565751</v>
      </c>
      <c r="AA105" s="451">
        <v>0</v>
      </c>
      <c r="AB105" s="451">
        <v>0</v>
      </c>
      <c r="AC105" s="451">
        <v>23565751</v>
      </c>
      <c r="AD105" s="451">
        <v>0</v>
      </c>
      <c r="AE105" s="451">
        <v>0</v>
      </c>
      <c r="AF105" s="451">
        <v>0</v>
      </c>
      <c r="AG105" s="451">
        <v>0</v>
      </c>
      <c r="AH105" s="451">
        <v>0</v>
      </c>
      <c r="AI105" s="451">
        <v>0</v>
      </c>
      <c r="AJ105" s="451">
        <v>0</v>
      </c>
      <c r="AK105" s="451">
        <v>0</v>
      </c>
      <c r="AL105" s="451">
        <v>0</v>
      </c>
      <c r="AM105" s="451">
        <v>0</v>
      </c>
      <c r="AN105" s="451">
        <v>0</v>
      </c>
      <c r="AO105" s="451">
        <v>1199334.9099999999</v>
      </c>
      <c r="AP105" s="451">
        <v>1014811.64</v>
      </c>
      <c r="AQ105" s="324"/>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c r="EI105" s="310"/>
      <c r="EJ105" s="310"/>
      <c r="EK105" s="310"/>
      <c r="EL105" s="310"/>
      <c r="EM105" s="310"/>
      <c r="EN105" s="310"/>
      <c r="EO105" s="310"/>
      <c r="EP105" s="310"/>
      <c r="EQ105" s="310"/>
      <c r="ER105" s="310"/>
      <c r="ES105" s="310"/>
      <c r="ET105" s="310"/>
      <c r="EU105" s="310"/>
      <c r="EV105" s="310"/>
      <c r="EW105" s="310"/>
      <c r="EX105" s="310"/>
      <c r="EY105" s="310"/>
      <c r="EZ105" s="310"/>
      <c r="FA105" s="310"/>
      <c r="FB105" s="310"/>
      <c r="FC105" s="310"/>
      <c r="FD105" s="310"/>
      <c r="FE105" s="311"/>
      <c r="FF105" s="312"/>
    </row>
    <row r="106" spans="1:162" ht="12.75" x14ac:dyDescent="0.2">
      <c r="A106" s="446">
        <v>99</v>
      </c>
      <c r="B106" s="447" t="s">
        <v>81</v>
      </c>
      <c r="C106" s="448" t="s">
        <v>1093</v>
      </c>
      <c r="D106" s="449" t="s">
        <v>1102</v>
      </c>
      <c r="E106" s="450" t="s">
        <v>80</v>
      </c>
      <c r="F106" s="451">
        <v>75489920.299999997</v>
      </c>
      <c r="G106" s="451">
        <v>0</v>
      </c>
      <c r="H106" s="451">
        <v>0</v>
      </c>
      <c r="I106" s="451">
        <v>75489920.299999997</v>
      </c>
      <c r="J106" s="451">
        <v>366058.23</v>
      </c>
      <c r="K106" s="451">
        <v>0</v>
      </c>
      <c r="L106" s="451">
        <v>0</v>
      </c>
      <c r="M106" s="451">
        <v>366058.23</v>
      </c>
      <c r="N106" s="451">
        <v>30000</v>
      </c>
      <c r="O106" s="451">
        <v>0</v>
      </c>
      <c r="P106" s="451">
        <v>0</v>
      </c>
      <c r="Q106" s="451">
        <v>30000</v>
      </c>
      <c r="R106" s="451">
        <v>863876</v>
      </c>
      <c r="S106" s="451">
        <v>0</v>
      </c>
      <c r="T106" s="451">
        <v>0</v>
      </c>
      <c r="U106" s="451">
        <v>863876</v>
      </c>
      <c r="V106" s="451">
        <v>2815441</v>
      </c>
      <c r="W106" s="451">
        <v>0</v>
      </c>
      <c r="X106" s="451">
        <v>0</v>
      </c>
      <c r="Y106" s="451">
        <v>2815441</v>
      </c>
      <c r="Z106" s="451">
        <v>71414545</v>
      </c>
      <c r="AA106" s="451">
        <v>0</v>
      </c>
      <c r="AB106" s="451">
        <v>0</v>
      </c>
      <c r="AC106" s="451">
        <v>71414545</v>
      </c>
      <c r="AD106" s="451">
        <v>0</v>
      </c>
      <c r="AE106" s="451">
        <v>0</v>
      </c>
      <c r="AF106" s="451">
        <v>0</v>
      </c>
      <c r="AG106" s="451">
        <v>0</v>
      </c>
      <c r="AH106" s="451">
        <v>0</v>
      </c>
      <c r="AI106" s="451">
        <v>0</v>
      </c>
      <c r="AJ106" s="451">
        <v>0</v>
      </c>
      <c r="AK106" s="451">
        <v>0</v>
      </c>
      <c r="AL106" s="451">
        <v>0</v>
      </c>
      <c r="AM106" s="451">
        <v>0</v>
      </c>
      <c r="AN106" s="451">
        <v>0</v>
      </c>
      <c r="AO106" s="451">
        <v>1451201</v>
      </c>
      <c r="AP106" s="451">
        <v>1174874.9099999999</v>
      </c>
      <c r="AQ106" s="324"/>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c r="EI106" s="310"/>
      <c r="EJ106" s="310"/>
      <c r="EK106" s="310"/>
      <c r="EL106" s="310"/>
      <c r="EM106" s="310"/>
      <c r="EN106" s="310"/>
      <c r="EO106" s="310"/>
      <c r="EP106" s="310"/>
      <c r="EQ106" s="310"/>
      <c r="ER106" s="310"/>
      <c r="ES106" s="310"/>
      <c r="ET106" s="310"/>
      <c r="EU106" s="310"/>
      <c r="EV106" s="310"/>
      <c r="EW106" s="310"/>
      <c r="EX106" s="310"/>
      <c r="EY106" s="310"/>
      <c r="EZ106" s="310"/>
      <c r="FA106" s="310"/>
      <c r="FB106" s="310"/>
      <c r="FC106" s="310"/>
      <c r="FD106" s="310"/>
      <c r="FE106" s="311"/>
      <c r="FF106" s="312"/>
    </row>
    <row r="107" spans="1:162" ht="12.75" x14ac:dyDescent="0.2">
      <c r="A107" s="446">
        <v>100</v>
      </c>
      <c r="B107" s="447" t="s">
        <v>83</v>
      </c>
      <c r="C107" s="448" t="s">
        <v>1093</v>
      </c>
      <c r="D107" s="449" t="s">
        <v>1094</v>
      </c>
      <c r="E107" s="450" t="s">
        <v>82</v>
      </c>
      <c r="F107" s="451">
        <v>40621978.5</v>
      </c>
      <c r="G107" s="451">
        <v>0</v>
      </c>
      <c r="H107" s="451">
        <v>22812.87</v>
      </c>
      <c r="I107" s="451">
        <v>40644791.399999999</v>
      </c>
      <c r="J107" s="451">
        <v>0</v>
      </c>
      <c r="K107" s="451">
        <v>0</v>
      </c>
      <c r="L107" s="451">
        <v>0</v>
      </c>
      <c r="M107" s="451">
        <v>0</v>
      </c>
      <c r="N107" s="451">
        <v>412095.72</v>
      </c>
      <c r="O107" s="451">
        <v>0</v>
      </c>
      <c r="P107" s="451">
        <v>0</v>
      </c>
      <c r="Q107" s="451">
        <v>412095.72</v>
      </c>
      <c r="R107" s="451">
        <v>879247.94</v>
      </c>
      <c r="S107" s="451">
        <v>0</v>
      </c>
      <c r="T107" s="451">
        <v>0</v>
      </c>
      <c r="U107" s="451">
        <v>879247.94</v>
      </c>
      <c r="V107" s="451">
        <v>2498170.08</v>
      </c>
      <c r="W107" s="451">
        <v>0</v>
      </c>
      <c r="X107" s="451">
        <v>0</v>
      </c>
      <c r="Y107" s="451">
        <v>2498170.08</v>
      </c>
      <c r="Z107" s="451">
        <v>36832465</v>
      </c>
      <c r="AA107" s="451">
        <v>0</v>
      </c>
      <c r="AB107" s="451">
        <v>22813</v>
      </c>
      <c r="AC107" s="451">
        <v>36855278</v>
      </c>
      <c r="AD107" s="451">
        <v>0</v>
      </c>
      <c r="AE107" s="451">
        <v>0</v>
      </c>
      <c r="AF107" s="451">
        <v>0</v>
      </c>
      <c r="AG107" s="451">
        <v>0</v>
      </c>
      <c r="AH107" s="451">
        <v>0</v>
      </c>
      <c r="AI107" s="451">
        <v>22840.639999999999</v>
      </c>
      <c r="AJ107" s="451">
        <v>0</v>
      </c>
      <c r="AK107" s="451">
        <v>95219.23</v>
      </c>
      <c r="AL107" s="451">
        <v>0</v>
      </c>
      <c r="AM107" s="451">
        <v>0</v>
      </c>
      <c r="AN107" s="451">
        <v>0</v>
      </c>
      <c r="AO107" s="451">
        <v>790922.1</v>
      </c>
      <c r="AP107" s="451">
        <v>368704</v>
      </c>
      <c r="AQ107" s="324"/>
      <c r="AR107" s="310"/>
      <c r="AS107" s="310"/>
      <c r="AT107" s="310"/>
      <c r="AU107" s="310"/>
      <c r="AV107" s="310"/>
      <c r="AW107" s="310"/>
      <c r="AX107" s="310"/>
      <c r="AY107" s="310"/>
      <c r="AZ107" s="310"/>
      <c r="BA107" s="310"/>
      <c r="BB107" s="310"/>
      <c r="BC107" s="310"/>
      <c r="BD107" s="310"/>
      <c r="BE107" s="310"/>
      <c r="BF107" s="310"/>
      <c r="BG107" s="310"/>
      <c r="BH107" s="310"/>
      <c r="BI107" s="310"/>
      <c r="BJ107" s="310"/>
      <c r="BK107" s="310"/>
      <c r="BL107" s="310"/>
      <c r="BM107" s="310"/>
      <c r="BN107" s="310"/>
      <c r="BO107" s="310"/>
      <c r="BP107" s="310"/>
      <c r="BQ107" s="310"/>
      <c r="BR107" s="310"/>
      <c r="BS107" s="310"/>
      <c r="BT107" s="310"/>
      <c r="BU107" s="310"/>
      <c r="BV107" s="310"/>
      <c r="BW107" s="310"/>
      <c r="BX107" s="310"/>
      <c r="BY107" s="310"/>
      <c r="BZ107" s="310"/>
      <c r="CA107" s="310"/>
      <c r="CB107" s="310"/>
      <c r="CC107" s="310"/>
      <c r="CD107" s="310"/>
      <c r="CE107" s="310"/>
      <c r="CF107" s="310"/>
      <c r="CG107" s="310"/>
      <c r="CH107" s="310"/>
      <c r="CI107" s="310"/>
      <c r="CJ107" s="310"/>
      <c r="CK107" s="310"/>
      <c r="CL107" s="310"/>
      <c r="CM107" s="310"/>
      <c r="CN107" s="310"/>
      <c r="CO107" s="310"/>
      <c r="CP107" s="310"/>
      <c r="CQ107" s="310"/>
      <c r="CR107" s="310"/>
      <c r="CS107" s="310"/>
      <c r="CT107" s="310"/>
      <c r="CU107" s="310"/>
      <c r="CV107" s="310"/>
      <c r="CW107" s="310"/>
      <c r="CX107" s="310"/>
      <c r="CY107" s="310"/>
      <c r="CZ107" s="310"/>
      <c r="DA107" s="310"/>
      <c r="DB107" s="310"/>
      <c r="DC107" s="310"/>
      <c r="DD107" s="310"/>
      <c r="DE107" s="310"/>
      <c r="DF107" s="310"/>
      <c r="DG107" s="310"/>
      <c r="DH107" s="310"/>
      <c r="DI107" s="310"/>
      <c r="DJ107" s="310"/>
      <c r="DK107" s="310"/>
      <c r="DL107" s="310"/>
      <c r="DM107" s="310"/>
      <c r="DN107" s="310"/>
      <c r="DO107" s="310"/>
      <c r="DP107" s="310"/>
      <c r="DQ107" s="310"/>
      <c r="DR107" s="310"/>
      <c r="DS107" s="310"/>
      <c r="DT107" s="310"/>
      <c r="DU107" s="310"/>
      <c r="DV107" s="310"/>
      <c r="DW107" s="310"/>
      <c r="DX107" s="310"/>
      <c r="DY107" s="310"/>
      <c r="DZ107" s="310"/>
      <c r="EA107" s="310"/>
      <c r="EB107" s="310"/>
      <c r="EC107" s="310"/>
      <c r="ED107" s="310"/>
      <c r="EE107" s="310"/>
      <c r="EF107" s="310"/>
      <c r="EG107" s="310"/>
      <c r="EH107" s="310"/>
      <c r="EI107" s="310"/>
      <c r="EJ107" s="310"/>
      <c r="EK107" s="310"/>
      <c r="EL107" s="310"/>
      <c r="EM107" s="310"/>
      <c r="EN107" s="310"/>
      <c r="EO107" s="310"/>
      <c r="EP107" s="310"/>
      <c r="EQ107" s="310"/>
      <c r="ER107" s="310"/>
      <c r="ES107" s="310"/>
      <c r="ET107" s="310"/>
      <c r="EU107" s="310"/>
      <c r="EV107" s="310"/>
      <c r="EW107" s="310"/>
      <c r="EX107" s="310"/>
      <c r="EY107" s="310"/>
      <c r="EZ107" s="310"/>
      <c r="FA107" s="310"/>
      <c r="FB107" s="310"/>
      <c r="FC107" s="310"/>
      <c r="FD107" s="310"/>
      <c r="FE107" s="311"/>
      <c r="FF107" s="312"/>
    </row>
    <row r="108" spans="1:162" ht="12.75" x14ac:dyDescent="0.2">
      <c r="A108" s="446">
        <v>101</v>
      </c>
      <c r="B108" s="447" t="s">
        <v>85</v>
      </c>
      <c r="C108" s="448" t="s">
        <v>1093</v>
      </c>
      <c r="D108" s="449" t="s">
        <v>1097</v>
      </c>
      <c r="E108" s="450" t="s">
        <v>84</v>
      </c>
      <c r="F108" s="451">
        <v>24384637.300000001</v>
      </c>
      <c r="G108" s="451">
        <v>0</v>
      </c>
      <c r="H108" s="451">
        <v>0</v>
      </c>
      <c r="I108" s="451">
        <v>24384637.300000001</v>
      </c>
      <c r="J108" s="451">
        <v>215568.61</v>
      </c>
      <c r="K108" s="451">
        <v>0</v>
      </c>
      <c r="L108" s="451">
        <v>0</v>
      </c>
      <c r="M108" s="451">
        <v>215568.61</v>
      </c>
      <c r="N108" s="451">
        <v>14772.53</v>
      </c>
      <c r="O108" s="451">
        <v>0</v>
      </c>
      <c r="P108" s="451">
        <v>0</v>
      </c>
      <c r="Q108" s="451">
        <v>14772.53</v>
      </c>
      <c r="R108" s="451">
        <v>297066</v>
      </c>
      <c r="S108" s="451">
        <v>0</v>
      </c>
      <c r="T108" s="451">
        <v>0</v>
      </c>
      <c r="U108" s="451">
        <v>297066</v>
      </c>
      <c r="V108" s="451">
        <v>718672</v>
      </c>
      <c r="W108" s="451">
        <v>0</v>
      </c>
      <c r="X108" s="451">
        <v>0</v>
      </c>
      <c r="Y108" s="451">
        <v>718672</v>
      </c>
      <c r="Z108" s="451">
        <v>23138558</v>
      </c>
      <c r="AA108" s="451">
        <v>0</v>
      </c>
      <c r="AB108" s="451">
        <v>0</v>
      </c>
      <c r="AC108" s="451">
        <v>23138558</v>
      </c>
      <c r="AD108" s="451">
        <v>0</v>
      </c>
      <c r="AE108" s="451">
        <v>0</v>
      </c>
      <c r="AF108" s="451">
        <v>0</v>
      </c>
      <c r="AG108" s="451">
        <v>0</v>
      </c>
      <c r="AH108" s="451">
        <v>0</v>
      </c>
      <c r="AI108" s="451">
        <v>0</v>
      </c>
      <c r="AJ108" s="451">
        <v>0</v>
      </c>
      <c r="AK108" s="451">
        <v>0</v>
      </c>
      <c r="AL108" s="451">
        <v>0</v>
      </c>
      <c r="AM108" s="451">
        <v>0</v>
      </c>
      <c r="AN108" s="451">
        <v>0</v>
      </c>
      <c r="AO108" s="451">
        <v>657122.53</v>
      </c>
      <c r="AP108" s="451">
        <v>148032.29999999999</v>
      </c>
      <c r="AQ108" s="324"/>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c r="BX108" s="310"/>
      <c r="BY108" s="310"/>
      <c r="BZ108" s="310"/>
      <c r="CA108" s="310"/>
      <c r="CB108" s="310"/>
      <c r="CC108" s="310"/>
      <c r="CD108" s="310"/>
      <c r="CE108" s="310"/>
      <c r="CF108" s="310"/>
      <c r="CG108" s="310"/>
      <c r="CH108" s="310"/>
      <c r="CI108" s="310"/>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0"/>
      <c r="DF108" s="310"/>
      <c r="DG108" s="310"/>
      <c r="DH108" s="310"/>
      <c r="DI108" s="310"/>
      <c r="DJ108" s="310"/>
      <c r="DK108" s="310"/>
      <c r="DL108" s="310"/>
      <c r="DM108" s="310"/>
      <c r="DN108" s="310"/>
      <c r="DO108" s="310"/>
      <c r="DP108" s="310"/>
      <c r="DQ108" s="310"/>
      <c r="DR108" s="310"/>
      <c r="DS108" s="310"/>
      <c r="DT108" s="310"/>
      <c r="DU108" s="310"/>
      <c r="DV108" s="310"/>
      <c r="DW108" s="310"/>
      <c r="DX108" s="310"/>
      <c r="DY108" s="310"/>
      <c r="DZ108" s="310"/>
      <c r="EA108" s="310"/>
      <c r="EB108" s="310"/>
      <c r="EC108" s="310"/>
      <c r="ED108" s="310"/>
      <c r="EE108" s="310"/>
      <c r="EF108" s="310"/>
      <c r="EG108" s="310"/>
      <c r="EH108" s="310"/>
      <c r="EI108" s="310"/>
      <c r="EJ108" s="310"/>
      <c r="EK108" s="310"/>
      <c r="EL108" s="310"/>
      <c r="EM108" s="310"/>
      <c r="EN108" s="310"/>
      <c r="EO108" s="310"/>
      <c r="EP108" s="310"/>
      <c r="EQ108" s="310"/>
      <c r="ER108" s="310"/>
      <c r="ES108" s="310"/>
      <c r="ET108" s="310"/>
      <c r="EU108" s="310"/>
      <c r="EV108" s="310"/>
      <c r="EW108" s="310"/>
      <c r="EX108" s="310"/>
      <c r="EY108" s="310"/>
      <c r="EZ108" s="310"/>
      <c r="FA108" s="310"/>
      <c r="FB108" s="310"/>
      <c r="FC108" s="310"/>
      <c r="FD108" s="310"/>
      <c r="FE108" s="311"/>
      <c r="FF108" s="312"/>
    </row>
    <row r="109" spans="1:162" ht="12.75" x14ac:dyDescent="0.2">
      <c r="A109" s="446">
        <v>102</v>
      </c>
      <c r="B109" s="447" t="s">
        <v>87</v>
      </c>
      <c r="C109" s="448" t="s">
        <v>1093</v>
      </c>
      <c r="D109" s="449" t="s">
        <v>1097</v>
      </c>
      <c r="E109" s="450" t="s">
        <v>86</v>
      </c>
      <c r="F109" s="451">
        <v>21497347.899999999</v>
      </c>
      <c r="G109" s="451">
        <v>0</v>
      </c>
      <c r="H109" s="451">
        <v>0</v>
      </c>
      <c r="I109" s="451">
        <v>21497347.899999999</v>
      </c>
      <c r="J109" s="451">
        <v>106376</v>
      </c>
      <c r="K109" s="451">
        <v>0</v>
      </c>
      <c r="L109" s="451">
        <v>0</v>
      </c>
      <c r="M109" s="451">
        <v>106376</v>
      </c>
      <c r="N109" s="451">
        <v>53968.32</v>
      </c>
      <c r="O109" s="451">
        <v>0</v>
      </c>
      <c r="P109" s="451">
        <v>0</v>
      </c>
      <c r="Q109" s="451">
        <v>53968.32</v>
      </c>
      <c r="R109" s="451">
        <v>190169</v>
      </c>
      <c r="S109" s="451">
        <v>0</v>
      </c>
      <c r="T109" s="451">
        <v>0</v>
      </c>
      <c r="U109" s="451">
        <v>190169</v>
      </c>
      <c r="V109" s="451">
        <v>210654</v>
      </c>
      <c r="W109" s="451">
        <v>0</v>
      </c>
      <c r="X109" s="451">
        <v>0</v>
      </c>
      <c r="Y109" s="451">
        <v>210654</v>
      </c>
      <c r="Z109" s="451">
        <v>20936181</v>
      </c>
      <c r="AA109" s="451">
        <v>0</v>
      </c>
      <c r="AB109" s="451">
        <v>0</v>
      </c>
      <c r="AC109" s="451">
        <v>20936181</v>
      </c>
      <c r="AD109" s="451">
        <v>0</v>
      </c>
      <c r="AE109" s="451">
        <v>0</v>
      </c>
      <c r="AF109" s="451">
        <v>0</v>
      </c>
      <c r="AG109" s="451">
        <v>0</v>
      </c>
      <c r="AH109" s="451">
        <v>0</v>
      </c>
      <c r="AI109" s="451">
        <v>0</v>
      </c>
      <c r="AJ109" s="451">
        <v>0</v>
      </c>
      <c r="AK109" s="451">
        <v>0</v>
      </c>
      <c r="AL109" s="451">
        <v>0</v>
      </c>
      <c r="AM109" s="451">
        <v>0</v>
      </c>
      <c r="AN109" s="451">
        <v>0</v>
      </c>
      <c r="AO109" s="451">
        <v>602504.47</v>
      </c>
      <c r="AP109" s="451">
        <v>375296.2</v>
      </c>
      <c r="AQ109" s="324"/>
      <c r="AR109" s="310"/>
      <c r="AS109" s="310"/>
      <c r="AT109" s="310"/>
      <c r="AU109" s="310"/>
      <c r="AV109" s="310"/>
      <c r="AW109" s="310"/>
      <c r="AX109" s="310"/>
      <c r="AY109" s="310"/>
      <c r="AZ109" s="310"/>
      <c r="BA109" s="310"/>
      <c r="BB109" s="310"/>
      <c r="BC109" s="310"/>
      <c r="BD109" s="310"/>
      <c r="BE109" s="310"/>
      <c r="BF109" s="310"/>
      <c r="BG109" s="310"/>
      <c r="BH109" s="310"/>
      <c r="BI109" s="310"/>
      <c r="BJ109" s="310"/>
      <c r="BK109" s="310"/>
      <c r="BL109" s="310"/>
      <c r="BM109" s="310"/>
      <c r="BN109" s="310"/>
      <c r="BO109" s="310"/>
      <c r="BP109" s="310"/>
      <c r="BQ109" s="310"/>
      <c r="BR109" s="310"/>
      <c r="BS109" s="310"/>
      <c r="BT109" s="310"/>
      <c r="BU109" s="310"/>
      <c r="BV109" s="310"/>
      <c r="BW109" s="310"/>
      <c r="BX109" s="310"/>
      <c r="BY109" s="310"/>
      <c r="BZ109" s="310"/>
      <c r="CA109" s="310"/>
      <c r="CB109" s="310"/>
      <c r="CC109" s="310"/>
      <c r="CD109" s="310"/>
      <c r="CE109" s="310"/>
      <c r="CF109" s="310"/>
      <c r="CG109" s="310"/>
      <c r="CH109" s="310"/>
      <c r="CI109" s="310"/>
      <c r="CJ109" s="310"/>
      <c r="CK109" s="310"/>
      <c r="CL109" s="310"/>
      <c r="CM109" s="310"/>
      <c r="CN109" s="310"/>
      <c r="CO109" s="310"/>
      <c r="CP109" s="310"/>
      <c r="CQ109" s="310"/>
      <c r="CR109" s="310"/>
      <c r="CS109" s="310"/>
      <c r="CT109" s="310"/>
      <c r="CU109" s="310"/>
      <c r="CV109" s="310"/>
      <c r="CW109" s="310"/>
      <c r="CX109" s="310"/>
      <c r="CY109" s="310"/>
      <c r="CZ109" s="310"/>
      <c r="DA109" s="310"/>
      <c r="DB109" s="310"/>
      <c r="DC109" s="310"/>
      <c r="DD109" s="310"/>
      <c r="DE109" s="310"/>
      <c r="DF109" s="310"/>
      <c r="DG109" s="310"/>
      <c r="DH109" s="310"/>
      <c r="DI109" s="310"/>
      <c r="DJ109" s="310"/>
      <c r="DK109" s="310"/>
      <c r="DL109" s="310"/>
      <c r="DM109" s="310"/>
      <c r="DN109" s="310"/>
      <c r="DO109" s="310"/>
      <c r="DP109" s="310"/>
      <c r="DQ109" s="310"/>
      <c r="DR109" s="310"/>
      <c r="DS109" s="310"/>
      <c r="DT109" s="310"/>
      <c r="DU109" s="310"/>
      <c r="DV109" s="310"/>
      <c r="DW109" s="310"/>
      <c r="DX109" s="310"/>
      <c r="DY109" s="310"/>
      <c r="DZ109" s="310"/>
      <c r="EA109" s="310"/>
      <c r="EB109" s="310"/>
      <c r="EC109" s="310"/>
      <c r="ED109" s="310"/>
      <c r="EE109" s="310"/>
      <c r="EF109" s="310"/>
      <c r="EG109" s="310"/>
      <c r="EH109" s="310"/>
      <c r="EI109" s="310"/>
      <c r="EJ109" s="310"/>
      <c r="EK109" s="310"/>
      <c r="EL109" s="310"/>
      <c r="EM109" s="310"/>
      <c r="EN109" s="310"/>
      <c r="EO109" s="310"/>
      <c r="EP109" s="310"/>
      <c r="EQ109" s="310"/>
      <c r="ER109" s="310"/>
      <c r="ES109" s="310"/>
      <c r="ET109" s="310"/>
      <c r="EU109" s="310"/>
      <c r="EV109" s="310"/>
      <c r="EW109" s="310"/>
      <c r="EX109" s="310"/>
      <c r="EY109" s="310"/>
      <c r="EZ109" s="310"/>
      <c r="FA109" s="310"/>
      <c r="FB109" s="310"/>
      <c r="FC109" s="310"/>
      <c r="FD109" s="310"/>
      <c r="FE109" s="311"/>
      <c r="FF109" s="312"/>
    </row>
    <row r="110" spans="1:162" ht="12.75" x14ac:dyDescent="0.2">
      <c r="A110" s="446">
        <v>103</v>
      </c>
      <c r="B110" s="447" t="s">
        <v>89</v>
      </c>
      <c r="C110" s="448" t="s">
        <v>1093</v>
      </c>
      <c r="D110" s="449" t="s">
        <v>1102</v>
      </c>
      <c r="E110" s="450" t="s">
        <v>88</v>
      </c>
      <c r="F110" s="451">
        <v>11669091.1</v>
      </c>
      <c r="G110" s="451">
        <v>0</v>
      </c>
      <c r="H110" s="451">
        <v>0</v>
      </c>
      <c r="I110" s="451">
        <v>11669091.1</v>
      </c>
      <c r="J110" s="451">
        <v>37362</v>
      </c>
      <c r="K110" s="451">
        <v>0</v>
      </c>
      <c r="L110" s="451">
        <v>0</v>
      </c>
      <c r="M110" s="451">
        <v>37362</v>
      </c>
      <c r="N110" s="451">
        <v>0</v>
      </c>
      <c r="O110" s="451">
        <v>0</v>
      </c>
      <c r="P110" s="451">
        <v>0</v>
      </c>
      <c r="Q110" s="451">
        <v>0</v>
      </c>
      <c r="R110" s="451">
        <v>124439</v>
      </c>
      <c r="S110" s="451">
        <v>0</v>
      </c>
      <c r="T110" s="451">
        <v>0</v>
      </c>
      <c r="U110" s="451">
        <v>124439</v>
      </c>
      <c r="V110" s="451">
        <v>126745</v>
      </c>
      <c r="W110" s="451">
        <v>0</v>
      </c>
      <c r="X110" s="451">
        <v>0</v>
      </c>
      <c r="Y110" s="451">
        <v>126745</v>
      </c>
      <c r="Z110" s="451">
        <v>11380545</v>
      </c>
      <c r="AA110" s="451">
        <v>0</v>
      </c>
      <c r="AB110" s="451">
        <v>0</v>
      </c>
      <c r="AC110" s="451">
        <v>11380545</v>
      </c>
      <c r="AD110" s="451">
        <v>0</v>
      </c>
      <c r="AE110" s="451">
        <v>0</v>
      </c>
      <c r="AF110" s="451">
        <v>0</v>
      </c>
      <c r="AG110" s="451">
        <v>0</v>
      </c>
      <c r="AH110" s="451">
        <v>0</v>
      </c>
      <c r="AI110" s="451">
        <v>0</v>
      </c>
      <c r="AJ110" s="451">
        <v>0</v>
      </c>
      <c r="AK110" s="451">
        <v>0</v>
      </c>
      <c r="AL110" s="451">
        <v>0</v>
      </c>
      <c r="AM110" s="451">
        <v>0</v>
      </c>
      <c r="AN110" s="451">
        <v>0</v>
      </c>
      <c r="AO110" s="451">
        <v>742343</v>
      </c>
      <c r="AP110" s="451">
        <v>54436</v>
      </c>
      <c r="AQ110" s="324"/>
      <c r="AR110" s="310"/>
      <c r="AS110" s="310"/>
      <c r="AT110" s="310"/>
      <c r="AU110" s="310"/>
      <c r="AV110" s="310"/>
      <c r="AW110" s="310"/>
      <c r="AX110" s="310"/>
      <c r="AY110" s="310"/>
      <c r="AZ110" s="310"/>
      <c r="BA110" s="310"/>
      <c r="BB110" s="310"/>
      <c r="BC110" s="310"/>
      <c r="BD110" s="310"/>
      <c r="BE110" s="310"/>
      <c r="BF110" s="310"/>
      <c r="BG110" s="310"/>
      <c r="BH110" s="310"/>
      <c r="BI110" s="310"/>
      <c r="BJ110" s="310"/>
      <c r="BK110" s="310"/>
      <c r="BL110" s="310"/>
      <c r="BM110" s="310"/>
      <c r="BN110" s="310"/>
      <c r="BO110" s="310"/>
      <c r="BP110" s="310"/>
      <c r="BQ110" s="310"/>
      <c r="BR110" s="310"/>
      <c r="BS110" s="310"/>
      <c r="BT110" s="310"/>
      <c r="BU110" s="310"/>
      <c r="BV110" s="310"/>
      <c r="BW110" s="310"/>
      <c r="BX110" s="310"/>
      <c r="BY110" s="310"/>
      <c r="BZ110" s="310"/>
      <c r="CA110" s="310"/>
      <c r="CB110" s="310"/>
      <c r="CC110" s="310"/>
      <c r="CD110" s="310"/>
      <c r="CE110" s="310"/>
      <c r="CF110" s="310"/>
      <c r="CG110" s="310"/>
      <c r="CH110" s="310"/>
      <c r="CI110" s="310"/>
      <c r="CJ110" s="310"/>
      <c r="CK110" s="310"/>
      <c r="CL110" s="310"/>
      <c r="CM110" s="310"/>
      <c r="CN110" s="310"/>
      <c r="CO110" s="310"/>
      <c r="CP110" s="310"/>
      <c r="CQ110" s="310"/>
      <c r="CR110" s="310"/>
      <c r="CS110" s="310"/>
      <c r="CT110" s="310"/>
      <c r="CU110" s="310"/>
      <c r="CV110" s="310"/>
      <c r="CW110" s="310"/>
      <c r="CX110" s="310"/>
      <c r="CY110" s="310"/>
      <c r="CZ110" s="310"/>
      <c r="DA110" s="310"/>
      <c r="DB110" s="310"/>
      <c r="DC110" s="310"/>
      <c r="DD110" s="310"/>
      <c r="DE110" s="310"/>
      <c r="DF110" s="310"/>
      <c r="DG110" s="310"/>
      <c r="DH110" s="310"/>
      <c r="DI110" s="310"/>
      <c r="DJ110" s="310"/>
      <c r="DK110" s="310"/>
      <c r="DL110" s="310"/>
      <c r="DM110" s="310"/>
      <c r="DN110" s="310"/>
      <c r="DO110" s="310"/>
      <c r="DP110" s="310"/>
      <c r="DQ110" s="310"/>
      <c r="DR110" s="310"/>
      <c r="DS110" s="310"/>
      <c r="DT110" s="310"/>
      <c r="DU110" s="310"/>
      <c r="DV110" s="310"/>
      <c r="DW110" s="310"/>
      <c r="DX110" s="310"/>
      <c r="DY110" s="310"/>
      <c r="DZ110" s="310"/>
      <c r="EA110" s="310"/>
      <c r="EB110" s="310"/>
      <c r="EC110" s="310"/>
      <c r="ED110" s="310"/>
      <c r="EE110" s="310"/>
      <c r="EF110" s="310"/>
      <c r="EG110" s="310"/>
      <c r="EH110" s="310"/>
      <c r="EI110" s="310"/>
      <c r="EJ110" s="310"/>
      <c r="EK110" s="310"/>
      <c r="EL110" s="310"/>
      <c r="EM110" s="310"/>
      <c r="EN110" s="310"/>
      <c r="EO110" s="310"/>
      <c r="EP110" s="310"/>
      <c r="EQ110" s="310"/>
      <c r="ER110" s="310"/>
      <c r="ES110" s="310"/>
      <c r="ET110" s="310"/>
      <c r="EU110" s="310"/>
      <c r="EV110" s="310"/>
      <c r="EW110" s="310"/>
      <c r="EX110" s="310"/>
      <c r="EY110" s="310"/>
      <c r="EZ110" s="310"/>
      <c r="FA110" s="310"/>
      <c r="FB110" s="310"/>
      <c r="FC110" s="310"/>
      <c r="FD110" s="310"/>
      <c r="FE110" s="311"/>
      <c r="FF110" s="312"/>
    </row>
    <row r="111" spans="1:162" ht="12.75" x14ac:dyDescent="0.2">
      <c r="A111" s="446">
        <v>104</v>
      </c>
      <c r="B111" s="447" t="s">
        <v>91</v>
      </c>
      <c r="C111" s="448" t="s">
        <v>1093</v>
      </c>
      <c r="D111" s="449" t="s">
        <v>1095</v>
      </c>
      <c r="E111" s="450" t="s">
        <v>90</v>
      </c>
      <c r="F111" s="451">
        <v>22764415</v>
      </c>
      <c r="G111" s="451">
        <v>0</v>
      </c>
      <c r="H111" s="451">
        <v>1879290</v>
      </c>
      <c r="I111" s="451">
        <v>24643705</v>
      </c>
      <c r="J111" s="451">
        <v>125926</v>
      </c>
      <c r="K111" s="451">
        <v>0</v>
      </c>
      <c r="L111" s="451">
        <v>0</v>
      </c>
      <c r="M111" s="451">
        <v>125926</v>
      </c>
      <c r="N111" s="451">
        <v>189887</v>
      </c>
      <c r="O111" s="451">
        <v>0</v>
      </c>
      <c r="P111" s="451">
        <v>0</v>
      </c>
      <c r="Q111" s="451">
        <v>189887</v>
      </c>
      <c r="R111" s="451">
        <v>330135</v>
      </c>
      <c r="S111" s="451">
        <v>0</v>
      </c>
      <c r="T111" s="451">
        <v>0</v>
      </c>
      <c r="U111" s="451">
        <v>330135</v>
      </c>
      <c r="V111" s="451">
        <v>885656</v>
      </c>
      <c r="W111" s="451">
        <v>0</v>
      </c>
      <c r="X111" s="451">
        <v>0</v>
      </c>
      <c r="Y111" s="451">
        <v>885656</v>
      </c>
      <c r="Z111" s="451">
        <v>21232811</v>
      </c>
      <c r="AA111" s="451">
        <v>0</v>
      </c>
      <c r="AB111" s="451">
        <v>1879290</v>
      </c>
      <c r="AC111" s="451">
        <v>23112101</v>
      </c>
      <c r="AD111" s="451">
        <v>0</v>
      </c>
      <c r="AE111" s="451">
        <v>0</v>
      </c>
      <c r="AF111" s="451">
        <v>0</v>
      </c>
      <c r="AG111" s="451">
        <v>0</v>
      </c>
      <c r="AH111" s="451">
        <v>0</v>
      </c>
      <c r="AI111" s="451">
        <v>0</v>
      </c>
      <c r="AJ111" s="451">
        <v>0</v>
      </c>
      <c r="AK111" s="451">
        <v>1919421</v>
      </c>
      <c r="AL111" s="451">
        <v>0</v>
      </c>
      <c r="AM111" s="451">
        <v>0</v>
      </c>
      <c r="AN111" s="451">
        <v>0</v>
      </c>
      <c r="AO111" s="451">
        <v>1276326</v>
      </c>
      <c r="AP111" s="451">
        <v>309345</v>
      </c>
      <c r="AQ111" s="324"/>
      <c r="AR111" s="310"/>
      <c r="AS111" s="310"/>
      <c r="AT111" s="310"/>
      <c r="AU111" s="310"/>
      <c r="AV111" s="310"/>
      <c r="AW111" s="310"/>
      <c r="AX111" s="310"/>
      <c r="AY111" s="310"/>
      <c r="AZ111" s="310"/>
      <c r="BA111" s="310"/>
      <c r="BB111" s="310"/>
      <c r="BC111" s="310"/>
      <c r="BD111" s="310"/>
      <c r="BE111" s="310"/>
      <c r="BF111" s="310"/>
      <c r="BG111" s="310"/>
      <c r="BH111" s="310"/>
      <c r="BI111" s="310"/>
      <c r="BJ111" s="310"/>
      <c r="BK111" s="310"/>
      <c r="BL111" s="310"/>
      <c r="BM111" s="310"/>
      <c r="BN111" s="310"/>
      <c r="BO111" s="310"/>
      <c r="BP111" s="310"/>
      <c r="BQ111" s="310"/>
      <c r="BR111" s="310"/>
      <c r="BS111" s="310"/>
      <c r="BT111" s="310"/>
      <c r="BU111" s="310"/>
      <c r="BV111" s="310"/>
      <c r="BW111" s="310"/>
      <c r="BX111" s="310"/>
      <c r="BY111" s="310"/>
      <c r="BZ111" s="310"/>
      <c r="CA111" s="310"/>
      <c r="CB111" s="310"/>
      <c r="CC111" s="310"/>
      <c r="CD111" s="310"/>
      <c r="CE111" s="310"/>
      <c r="CF111" s="310"/>
      <c r="CG111" s="310"/>
      <c r="CH111" s="310"/>
      <c r="CI111" s="310"/>
      <c r="CJ111" s="310"/>
      <c r="CK111" s="310"/>
      <c r="CL111" s="310"/>
      <c r="CM111" s="310"/>
      <c r="CN111" s="310"/>
      <c r="CO111" s="310"/>
      <c r="CP111" s="310"/>
      <c r="CQ111" s="310"/>
      <c r="CR111" s="310"/>
      <c r="CS111" s="310"/>
      <c r="CT111" s="310"/>
      <c r="CU111" s="310"/>
      <c r="CV111" s="310"/>
      <c r="CW111" s="310"/>
      <c r="CX111" s="310"/>
      <c r="CY111" s="310"/>
      <c r="CZ111" s="310"/>
      <c r="DA111" s="310"/>
      <c r="DB111" s="310"/>
      <c r="DC111" s="310"/>
      <c r="DD111" s="310"/>
      <c r="DE111" s="310"/>
      <c r="DF111" s="310"/>
      <c r="DG111" s="310"/>
      <c r="DH111" s="310"/>
      <c r="DI111" s="310"/>
      <c r="DJ111" s="310"/>
      <c r="DK111" s="310"/>
      <c r="DL111" s="310"/>
      <c r="DM111" s="310"/>
      <c r="DN111" s="310"/>
      <c r="DO111" s="310"/>
      <c r="DP111" s="310"/>
      <c r="DQ111" s="310"/>
      <c r="DR111" s="310"/>
      <c r="DS111" s="310"/>
      <c r="DT111" s="310"/>
      <c r="DU111" s="310"/>
      <c r="DV111" s="310"/>
      <c r="DW111" s="310"/>
      <c r="DX111" s="310"/>
      <c r="DY111" s="310"/>
      <c r="DZ111" s="310"/>
      <c r="EA111" s="310"/>
      <c r="EB111" s="310"/>
      <c r="EC111" s="310"/>
      <c r="ED111" s="310"/>
      <c r="EE111" s="310"/>
      <c r="EF111" s="310"/>
      <c r="EG111" s="310"/>
      <c r="EH111" s="310"/>
      <c r="EI111" s="310"/>
      <c r="EJ111" s="310"/>
      <c r="EK111" s="310"/>
      <c r="EL111" s="310"/>
      <c r="EM111" s="310"/>
      <c r="EN111" s="310"/>
      <c r="EO111" s="310"/>
      <c r="EP111" s="310"/>
      <c r="EQ111" s="310"/>
      <c r="ER111" s="310"/>
      <c r="ES111" s="310"/>
      <c r="ET111" s="310"/>
      <c r="EU111" s="310"/>
      <c r="EV111" s="310"/>
      <c r="EW111" s="310"/>
      <c r="EX111" s="310"/>
      <c r="EY111" s="310"/>
      <c r="EZ111" s="310"/>
      <c r="FA111" s="310"/>
      <c r="FB111" s="310"/>
      <c r="FC111" s="310"/>
      <c r="FD111" s="310"/>
      <c r="FE111" s="311"/>
      <c r="FF111" s="312"/>
    </row>
    <row r="112" spans="1:162" ht="12.75" x14ac:dyDescent="0.2">
      <c r="A112" s="446">
        <v>105</v>
      </c>
      <c r="B112" s="447" t="s">
        <v>93</v>
      </c>
      <c r="C112" s="448" t="s">
        <v>1100</v>
      </c>
      <c r="D112" s="449" t="s">
        <v>1105</v>
      </c>
      <c r="E112" s="450" t="s">
        <v>92</v>
      </c>
      <c r="F112" s="451">
        <v>86687993</v>
      </c>
      <c r="G112" s="451">
        <v>1084225</v>
      </c>
      <c r="H112" s="451">
        <v>0</v>
      </c>
      <c r="I112" s="451">
        <v>87772218</v>
      </c>
      <c r="J112" s="451">
        <v>1031250</v>
      </c>
      <c r="K112" s="451">
        <v>7706</v>
      </c>
      <c r="L112" s="451">
        <v>0</v>
      </c>
      <c r="M112" s="451">
        <v>1038956</v>
      </c>
      <c r="N112" s="451">
        <v>0</v>
      </c>
      <c r="O112" s="451">
        <v>0</v>
      </c>
      <c r="P112" s="451">
        <v>0</v>
      </c>
      <c r="Q112" s="451">
        <v>0</v>
      </c>
      <c r="R112" s="451">
        <v>636045</v>
      </c>
      <c r="S112" s="451">
        <v>7955</v>
      </c>
      <c r="T112" s="451">
        <v>0</v>
      </c>
      <c r="U112" s="451">
        <v>644000</v>
      </c>
      <c r="V112" s="451">
        <v>2702080</v>
      </c>
      <c r="W112" s="451">
        <v>33795</v>
      </c>
      <c r="X112" s="451">
        <v>0</v>
      </c>
      <c r="Y112" s="451">
        <v>2735875</v>
      </c>
      <c r="Z112" s="451">
        <v>82318618</v>
      </c>
      <c r="AA112" s="451">
        <v>1034769</v>
      </c>
      <c r="AB112" s="451">
        <v>0</v>
      </c>
      <c r="AC112" s="451">
        <v>83353387</v>
      </c>
      <c r="AD112" s="451">
        <v>0</v>
      </c>
      <c r="AE112" s="451">
        <v>0</v>
      </c>
      <c r="AF112" s="451">
        <v>0</v>
      </c>
      <c r="AG112" s="451">
        <v>0</v>
      </c>
      <c r="AH112" s="451">
        <v>41693</v>
      </c>
      <c r="AI112" s="451">
        <v>0</v>
      </c>
      <c r="AJ112" s="451">
        <v>1111685</v>
      </c>
      <c r="AK112" s="451">
        <v>0</v>
      </c>
      <c r="AL112" s="451">
        <v>0</v>
      </c>
      <c r="AM112" s="451">
        <v>0</v>
      </c>
      <c r="AN112" s="451">
        <v>0</v>
      </c>
      <c r="AO112" s="451">
        <v>6654302</v>
      </c>
      <c r="AP112" s="451">
        <v>2074431</v>
      </c>
      <c r="AQ112" s="324"/>
      <c r="AR112" s="310"/>
      <c r="AS112" s="310"/>
      <c r="AT112" s="310"/>
      <c r="AU112" s="310"/>
      <c r="AV112" s="310"/>
      <c r="AW112" s="310"/>
      <c r="AX112" s="310"/>
      <c r="AY112" s="310"/>
      <c r="AZ112" s="310"/>
      <c r="BA112" s="310"/>
      <c r="BB112" s="310"/>
      <c r="BC112" s="310"/>
      <c r="BD112" s="310"/>
      <c r="BE112" s="310"/>
      <c r="BF112" s="310"/>
      <c r="BG112" s="310"/>
      <c r="BH112" s="310"/>
      <c r="BI112" s="310"/>
      <c r="BJ112" s="310"/>
      <c r="BK112" s="310"/>
      <c r="BL112" s="310"/>
      <c r="BM112" s="310"/>
      <c r="BN112" s="310"/>
      <c r="BO112" s="310"/>
      <c r="BP112" s="310"/>
      <c r="BQ112" s="310"/>
      <c r="BR112" s="310"/>
      <c r="BS112" s="310"/>
      <c r="BT112" s="310"/>
      <c r="BU112" s="310"/>
      <c r="BV112" s="310"/>
      <c r="BW112" s="310"/>
      <c r="BX112" s="310"/>
      <c r="BY112" s="310"/>
      <c r="BZ112" s="310"/>
      <c r="CA112" s="310"/>
      <c r="CB112" s="310"/>
      <c r="CC112" s="310"/>
      <c r="CD112" s="310"/>
      <c r="CE112" s="310"/>
      <c r="CF112" s="310"/>
      <c r="CG112" s="310"/>
      <c r="CH112" s="310"/>
      <c r="CI112" s="310"/>
      <c r="CJ112" s="310"/>
      <c r="CK112" s="310"/>
      <c r="CL112" s="310"/>
      <c r="CM112" s="310"/>
      <c r="CN112" s="310"/>
      <c r="CO112" s="310"/>
      <c r="CP112" s="310"/>
      <c r="CQ112" s="310"/>
      <c r="CR112" s="310"/>
      <c r="CS112" s="310"/>
      <c r="CT112" s="310"/>
      <c r="CU112" s="310"/>
      <c r="CV112" s="310"/>
      <c r="CW112" s="310"/>
      <c r="CX112" s="310"/>
      <c r="CY112" s="310"/>
      <c r="CZ112" s="310"/>
      <c r="DA112" s="310"/>
      <c r="DB112" s="310"/>
      <c r="DC112" s="310"/>
      <c r="DD112" s="310"/>
      <c r="DE112" s="310"/>
      <c r="DF112" s="310"/>
      <c r="DG112" s="310"/>
      <c r="DH112" s="310"/>
      <c r="DI112" s="310"/>
      <c r="DJ112" s="310"/>
      <c r="DK112" s="310"/>
      <c r="DL112" s="310"/>
      <c r="DM112" s="310"/>
      <c r="DN112" s="310"/>
      <c r="DO112" s="310"/>
      <c r="DP112" s="310"/>
      <c r="DQ112" s="310"/>
      <c r="DR112" s="310"/>
      <c r="DS112" s="310"/>
      <c r="DT112" s="310"/>
      <c r="DU112" s="310"/>
      <c r="DV112" s="310"/>
      <c r="DW112" s="310"/>
      <c r="DX112" s="310"/>
      <c r="DY112" s="310"/>
      <c r="DZ112" s="310"/>
      <c r="EA112" s="310"/>
      <c r="EB112" s="310"/>
      <c r="EC112" s="310"/>
      <c r="ED112" s="310"/>
      <c r="EE112" s="310"/>
      <c r="EF112" s="310"/>
      <c r="EG112" s="310"/>
      <c r="EH112" s="310"/>
      <c r="EI112" s="310"/>
      <c r="EJ112" s="310"/>
      <c r="EK112" s="310"/>
      <c r="EL112" s="310"/>
      <c r="EM112" s="310"/>
      <c r="EN112" s="310"/>
      <c r="EO112" s="310"/>
      <c r="EP112" s="310"/>
      <c r="EQ112" s="310"/>
      <c r="ER112" s="310"/>
      <c r="ES112" s="310"/>
      <c r="ET112" s="310"/>
      <c r="EU112" s="310"/>
      <c r="EV112" s="310"/>
      <c r="EW112" s="310"/>
      <c r="EX112" s="310"/>
      <c r="EY112" s="310"/>
      <c r="EZ112" s="310"/>
      <c r="FA112" s="310"/>
      <c r="FB112" s="310"/>
      <c r="FC112" s="310"/>
      <c r="FD112" s="310"/>
      <c r="FE112" s="311"/>
      <c r="FF112" s="312"/>
    </row>
    <row r="113" spans="1:162" ht="12.75" x14ac:dyDescent="0.2">
      <c r="A113" s="446">
        <v>106</v>
      </c>
      <c r="B113" s="447" t="s">
        <v>95</v>
      </c>
      <c r="C113" s="448" t="s">
        <v>1093</v>
      </c>
      <c r="D113" s="449" t="s">
        <v>1096</v>
      </c>
      <c r="E113" s="450" t="s">
        <v>94</v>
      </c>
      <c r="F113" s="451">
        <v>20809974</v>
      </c>
      <c r="G113" s="451">
        <v>0</v>
      </c>
      <c r="H113" s="451">
        <v>0</v>
      </c>
      <c r="I113" s="451">
        <v>20809974</v>
      </c>
      <c r="J113" s="451">
        <v>51565</v>
      </c>
      <c r="K113" s="451">
        <v>0</v>
      </c>
      <c r="L113" s="451">
        <v>0</v>
      </c>
      <c r="M113" s="451">
        <v>51565</v>
      </c>
      <c r="N113" s="451">
        <v>114780</v>
      </c>
      <c r="O113" s="451">
        <v>0</v>
      </c>
      <c r="P113" s="451">
        <v>0</v>
      </c>
      <c r="Q113" s="451">
        <v>114780</v>
      </c>
      <c r="R113" s="451">
        <v>147485</v>
      </c>
      <c r="S113" s="451">
        <v>0</v>
      </c>
      <c r="T113" s="451">
        <v>0</v>
      </c>
      <c r="U113" s="451">
        <v>147485</v>
      </c>
      <c r="V113" s="451">
        <v>408636</v>
      </c>
      <c r="W113" s="451">
        <v>0</v>
      </c>
      <c r="X113" s="451">
        <v>0</v>
      </c>
      <c r="Y113" s="451">
        <v>408636</v>
      </c>
      <c r="Z113" s="451">
        <v>20087508</v>
      </c>
      <c r="AA113" s="451">
        <v>0</v>
      </c>
      <c r="AB113" s="451">
        <v>0</v>
      </c>
      <c r="AC113" s="451">
        <v>20087508</v>
      </c>
      <c r="AD113" s="451">
        <v>0</v>
      </c>
      <c r="AE113" s="451">
        <v>0</v>
      </c>
      <c r="AF113" s="451">
        <v>0</v>
      </c>
      <c r="AG113" s="451">
        <v>0</v>
      </c>
      <c r="AH113" s="451">
        <v>0</v>
      </c>
      <c r="AI113" s="451">
        <v>0</v>
      </c>
      <c r="AJ113" s="451">
        <v>0</v>
      </c>
      <c r="AK113" s="451">
        <v>0</v>
      </c>
      <c r="AL113" s="451">
        <v>0</v>
      </c>
      <c r="AM113" s="451">
        <v>0</v>
      </c>
      <c r="AN113" s="451">
        <v>0</v>
      </c>
      <c r="AO113" s="451">
        <v>495777.45</v>
      </c>
      <c r="AP113" s="451">
        <v>-58307.8</v>
      </c>
      <c r="AQ113" s="324"/>
      <c r="AR113" s="310"/>
      <c r="AS113" s="310"/>
      <c r="AT113" s="310"/>
      <c r="AU113" s="310"/>
      <c r="AV113" s="310"/>
      <c r="AW113" s="310"/>
      <c r="AX113" s="310"/>
      <c r="AY113" s="310"/>
      <c r="AZ113" s="310"/>
      <c r="BA113" s="310"/>
      <c r="BB113" s="310"/>
      <c r="BC113" s="310"/>
      <c r="BD113" s="310"/>
      <c r="BE113" s="310"/>
      <c r="BF113" s="310"/>
      <c r="BG113" s="310"/>
      <c r="BH113" s="310"/>
      <c r="BI113" s="310"/>
      <c r="BJ113" s="310"/>
      <c r="BK113" s="310"/>
      <c r="BL113" s="310"/>
      <c r="BM113" s="310"/>
      <c r="BN113" s="310"/>
      <c r="BO113" s="310"/>
      <c r="BP113" s="310"/>
      <c r="BQ113" s="310"/>
      <c r="BR113" s="310"/>
      <c r="BS113" s="310"/>
      <c r="BT113" s="310"/>
      <c r="BU113" s="310"/>
      <c r="BV113" s="310"/>
      <c r="BW113" s="310"/>
      <c r="BX113" s="310"/>
      <c r="BY113" s="310"/>
      <c r="BZ113" s="310"/>
      <c r="CA113" s="310"/>
      <c r="CB113" s="310"/>
      <c r="CC113" s="310"/>
      <c r="CD113" s="310"/>
      <c r="CE113" s="310"/>
      <c r="CF113" s="310"/>
      <c r="CG113" s="310"/>
      <c r="CH113" s="310"/>
      <c r="CI113" s="310"/>
      <c r="CJ113" s="310"/>
      <c r="CK113" s="310"/>
      <c r="CL113" s="310"/>
      <c r="CM113" s="310"/>
      <c r="CN113" s="310"/>
      <c r="CO113" s="310"/>
      <c r="CP113" s="310"/>
      <c r="CQ113" s="310"/>
      <c r="CR113" s="310"/>
      <c r="CS113" s="310"/>
      <c r="CT113" s="310"/>
      <c r="CU113" s="310"/>
      <c r="CV113" s="310"/>
      <c r="CW113" s="310"/>
      <c r="CX113" s="310"/>
      <c r="CY113" s="310"/>
      <c r="CZ113" s="310"/>
      <c r="DA113" s="310"/>
      <c r="DB113" s="310"/>
      <c r="DC113" s="310"/>
      <c r="DD113" s="310"/>
      <c r="DE113" s="310"/>
      <c r="DF113" s="310"/>
      <c r="DG113" s="310"/>
      <c r="DH113" s="310"/>
      <c r="DI113" s="310"/>
      <c r="DJ113" s="310"/>
      <c r="DK113" s="310"/>
      <c r="DL113" s="310"/>
      <c r="DM113" s="310"/>
      <c r="DN113" s="310"/>
      <c r="DO113" s="310"/>
      <c r="DP113" s="310"/>
      <c r="DQ113" s="310"/>
      <c r="DR113" s="310"/>
      <c r="DS113" s="310"/>
      <c r="DT113" s="310"/>
      <c r="DU113" s="310"/>
      <c r="DV113" s="310"/>
      <c r="DW113" s="310"/>
      <c r="DX113" s="310"/>
      <c r="DY113" s="310"/>
      <c r="DZ113" s="310"/>
      <c r="EA113" s="310"/>
      <c r="EB113" s="310"/>
      <c r="EC113" s="310"/>
      <c r="ED113" s="310"/>
      <c r="EE113" s="310"/>
      <c r="EF113" s="310"/>
      <c r="EG113" s="310"/>
      <c r="EH113" s="310"/>
      <c r="EI113" s="310"/>
      <c r="EJ113" s="310"/>
      <c r="EK113" s="310"/>
      <c r="EL113" s="310"/>
      <c r="EM113" s="310"/>
      <c r="EN113" s="310"/>
      <c r="EO113" s="310"/>
      <c r="EP113" s="310"/>
      <c r="EQ113" s="310"/>
      <c r="ER113" s="310"/>
      <c r="ES113" s="310"/>
      <c r="ET113" s="310"/>
      <c r="EU113" s="310"/>
      <c r="EV113" s="310"/>
      <c r="EW113" s="310"/>
      <c r="EX113" s="310"/>
      <c r="EY113" s="310"/>
      <c r="EZ113" s="310"/>
      <c r="FA113" s="310"/>
      <c r="FB113" s="310"/>
      <c r="FC113" s="310"/>
      <c r="FD113" s="310"/>
      <c r="FE113" s="311"/>
      <c r="FF113" s="312"/>
    </row>
    <row r="114" spans="1:162" ht="12.75" x14ac:dyDescent="0.2">
      <c r="A114" s="446">
        <v>107</v>
      </c>
      <c r="B114" s="447" t="s">
        <v>97</v>
      </c>
      <c r="C114" s="448" t="s">
        <v>1093</v>
      </c>
      <c r="D114" s="449" t="s">
        <v>1102</v>
      </c>
      <c r="E114" s="450" t="s">
        <v>96</v>
      </c>
      <c r="F114" s="451">
        <v>51086459.100000001</v>
      </c>
      <c r="G114" s="451">
        <v>0</v>
      </c>
      <c r="H114" s="451">
        <v>0</v>
      </c>
      <c r="I114" s="451">
        <v>51086459.100000001</v>
      </c>
      <c r="J114" s="451">
        <v>35689.54</v>
      </c>
      <c r="K114" s="451">
        <v>0</v>
      </c>
      <c r="L114" s="451">
        <v>0</v>
      </c>
      <c r="M114" s="451">
        <v>35689.54</v>
      </c>
      <c r="N114" s="451">
        <v>300219</v>
      </c>
      <c r="O114" s="451">
        <v>0</v>
      </c>
      <c r="P114" s="451">
        <v>0</v>
      </c>
      <c r="Q114" s="451">
        <v>300219</v>
      </c>
      <c r="R114" s="451">
        <v>556252</v>
      </c>
      <c r="S114" s="451">
        <v>0</v>
      </c>
      <c r="T114" s="451">
        <v>0</v>
      </c>
      <c r="U114" s="451">
        <v>556252</v>
      </c>
      <c r="V114" s="451">
        <v>526814</v>
      </c>
      <c r="W114" s="451">
        <v>0</v>
      </c>
      <c r="X114" s="451">
        <v>0</v>
      </c>
      <c r="Y114" s="451">
        <v>526814</v>
      </c>
      <c r="Z114" s="451">
        <v>49667485</v>
      </c>
      <c r="AA114" s="451">
        <v>0</v>
      </c>
      <c r="AB114" s="451">
        <v>0</v>
      </c>
      <c r="AC114" s="451">
        <v>49667485</v>
      </c>
      <c r="AD114" s="451">
        <v>0</v>
      </c>
      <c r="AE114" s="451">
        <v>0</v>
      </c>
      <c r="AF114" s="451">
        <v>0</v>
      </c>
      <c r="AG114" s="451">
        <v>0</v>
      </c>
      <c r="AH114" s="451">
        <v>0</v>
      </c>
      <c r="AI114" s="451">
        <v>0</v>
      </c>
      <c r="AJ114" s="451">
        <v>0</v>
      </c>
      <c r="AK114" s="451">
        <v>0</v>
      </c>
      <c r="AL114" s="451">
        <v>0</v>
      </c>
      <c r="AM114" s="451">
        <v>0</v>
      </c>
      <c r="AN114" s="451">
        <v>0</v>
      </c>
      <c r="AO114" s="451">
        <v>4207178.4400000004</v>
      </c>
      <c r="AP114" s="451">
        <v>969667.83</v>
      </c>
      <c r="AQ114" s="324"/>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c r="BO114" s="310"/>
      <c r="BP114" s="310"/>
      <c r="BQ114" s="310"/>
      <c r="BR114" s="310"/>
      <c r="BS114" s="310"/>
      <c r="BT114" s="310"/>
      <c r="BU114" s="310"/>
      <c r="BV114" s="310"/>
      <c r="BW114" s="310"/>
      <c r="BX114" s="310"/>
      <c r="BY114" s="310"/>
      <c r="BZ114" s="310"/>
      <c r="CA114" s="310"/>
      <c r="CB114" s="310"/>
      <c r="CC114" s="310"/>
      <c r="CD114" s="310"/>
      <c r="CE114" s="310"/>
      <c r="CF114" s="310"/>
      <c r="CG114" s="310"/>
      <c r="CH114" s="310"/>
      <c r="CI114" s="310"/>
      <c r="CJ114" s="310"/>
      <c r="CK114" s="310"/>
      <c r="CL114" s="310"/>
      <c r="CM114" s="310"/>
      <c r="CN114" s="310"/>
      <c r="CO114" s="310"/>
      <c r="CP114" s="310"/>
      <c r="CQ114" s="310"/>
      <c r="CR114" s="310"/>
      <c r="CS114" s="310"/>
      <c r="CT114" s="310"/>
      <c r="CU114" s="310"/>
      <c r="CV114" s="310"/>
      <c r="CW114" s="310"/>
      <c r="CX114" s="310"/>
      <c r="CY114" s="310"/>
      <c r="CZ114" s="310"/>
      <c r="DA114" s="310"/>
      <c r="DB114" s="310"/>
      <c r="DC114" s="310"/>
      <c r="DD114" s="310"/>
      <c r="DE114" s="310"/>
      <c r="DF114" s="310"/>
      <c r="DG114" s="310"/>
      <c r="DH114" s="310"/>
      <c r="DI114" s="310"/>
      <c r="DJ114" s="310"/>
      <c r="DK114" s="310"/>
      <c r="DL114" s="310"/>
      <c r="DM114" s="310"/>
      <c r="DN114" s="310"/>
      <c r="DO114" s="310"/>
      <c r="DP114" s="310"/>
      <c r="DQ114" s="310"/>
      <c r="DR114" s="310"/>
      <c r="DS114" s="310"/>
      <c r="DT114" s="310"/>
      <c r="DU114" s="310"/>
      <c r="DV114" s="310"/>
      <c r="DW114" s="310"/>
      <c r="DX114" s="310"/>
      <c r="DY114" s="310"/>
      <c r="DZ114" s="310"/>
      <c r="EA114" s="310"/>
      <c r="EB114" s="310"/>
      <c r="EC114" s="310"/>
      <c r="ED114" s="310"/>
      <c r="EE114" s="310"/>
      <c r="EF114" s="310"/>
      <c r="EG114" s="310"/>
      <c r="EH114" s="310"/>
      <c r="EI114" s="310"/>
      <c r="EJ114" s="310"/>
      <c r="EK114" s="310"/>
      <c r="EL114" s="310"/>
      <c r="EM114" s="310"/>
      <c r="EN114" s="310"/>
      <c r="EO114" s="310"/>
      <c r="EP114" s="310"/>
      <c r="EQ114" s="310"/>
      <c r="ER114" s="310"/>
      <c r="ES114" s="310"/>
      <c r="ET114" s="310"/>
      <c r="EU114" s="310"/>
      <c r="EV114" s="310"/>
      <c r="EW114" s="310"/>
      <c r="EX114" s="310"/>
      <c r="EY114" s="310"/>
      <c r="EZ114" s="310"/>
      <c r="FA114" s="310"/>
      <c r="FB114" s="310"/>
      <c r="FC114" s="310"/>
      <c r="FD114" s="310"/>
      <c r="FE114" s="311"/>
      <c r="FF114" s="312"/>
    </row>
    <row r="115" spans="1:162" ht="12.75" x14ac:dyDescent="0.2">
      <c r="A115" s="446">
        <v>108</v>
      </c>
      <c r="B115" s="447" t="s">
        <v>99</v>
      </c>
      <c r="C115" s="448" t="s">
        <v>1093</v>
      </c>
      <c r="D115" s="449" t="s">
        <v>1094</v>
      </c>
      <c r="E115" s="450" t="s">
        <v>98</v>
      </c>
      <c r="F115" s="451">
        <v>14566046</v>
      </c>
      <c r="G115" s="451">
        <v>0</v>
      </c>
      <c r="H115" s="451">
        <v>307872</v>
      </c>
      <c r="I115" s="451">
        <v>14873918</v>
      </c>
      <c r="J115" s="451">
        <v>122081</v>
      </c>
      <c r="K115" s="451">
        <v>0</v>
      </c>
      <c r="L115" s="451">
        <v>0</v>
      </c>
      <c r="M115" s="451">
        <v>122081</v>
      </c>
      <c r="N115" s="451">
        <v>13100</v>
      </c>
      <c r="O115" s="451">
        <v>0</v>
      </c>
      <c r="P115" s="451">
        <v>35200</v>
      </c>
      <c r="Q115" s="451">
        <v>48300</v>
      </c>
      <c r="R115" s="451">
        <v>687122</v>
      </c>
      <c r="S115" s="451">
        <v>0</v>
      </c>
      <c r="T115" s="451">
        <v>19161</v>
      </c>
      <c r="U115" s="451">
        <v>706283</v>
      </c>
      <c r="V115" s="451">
        <v>2503809</v>
      </c>
      <c r="W115" s="451">
        <v>0</v>
      </c>
      <c r="X115" s="451">
        <v>53090</v>
      </c>
      <c r="Y115" s="451">
        <v>2556899</v>
      </c>
      <c r="Z115" s="451">
        <v>11239934</v>
      </c>
      <c r="AA115" s="451">
        <v>0</v>
      </c>
      <c r="AB115" s="451">
        <v>200421</v>
      </c>
      <c r="AC115" s="451">
        <v>11440355</v>
      </c>
      <c r="AD115" s="451">
        <v>0</v>
      </c>
      <c r="AE115" s="451">
        <v>0</v>
      </c>
      <c r="AF115" s="451">
        <v>0</v>
      </c>
      <c r="AG115" s="451">
        <v>0</v>
      </c>
      <c r="AH115" s="451">
        <v>0</v>
      </c>
      <c r="AI115" s="451">
        <v>6851</v>
      </c>
      <c r="AJ115" s="451">
        <v>0</v>
      </c>
      <c r="AK115" s="451">
        <v>419327</v>
      </c>
      <c r="AL115" s="451">
        <v>0</v>
      </c>
      <c r="AM115" s="451">
        <v>0</v>
      </c>
      <c r="AN115" s="451">
        <v>0</v>
      </c>
      <c r="AO115" s="451">
        <v>884642</v>
      </c>
      <c r="AP115" s="451">
        <v>322077</v>
      </c>
      <c r="AQ115" s="324"/>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c r="EI115" s="310"/>
      <c r="EJ115" s="310"/>
      <c r="EK115" s="310"/>
      <c r="EL115" s="310"/>
      <c r="EM115" s="310"/>
      <c r="EN115" s="310"/>
      <c r="EO115" s="310"/>
      <c r="EP115" s="310"/>
      <c r="EQ115" s="310"/>
      <c r="ER115" s="310"/>
      <c r="ES115" s="310"/>
      <c r="ET115" s="310"/>
      <c r="EU115" s="310"/>
      <c r="EV115" s="310"/>
      <c r="EW115" s="310"/>
      <c r="EX115" s="310"/>
      <c r="EY115" s="310"/>
      <c r="EZ115" s="310"/>
      <c r="FA115" s="310"/>
      <c r="FB115" s="310"/>
      <c r="FC115" s="310"/>
      <c r="FD115" s="310"/>
      <c r="FE115" s="311"/>
      <c r="FF115" s="312"/>
    </row>
    <row r="116" spans="1:162" ht="12.75" x14ac:dyDescent="0.2">
      <c r="A116" s="446">
        <v>109</v>
      </c>
      <c r="B116" s="447" t="s">
        <v>101</v>
      </c>
      <c r="C116" s="448" t="s">
        <v>1093</v>
      </c>
      <c r="D116" s="449" t="s">
        <v>1094</v>
      </c>
      <c r="E116" s="450" t="s">
        <v>100</v>
      </c>
      <c r="F116" s="451">
        <v>22162713</v>
      </c>
      <c r="G116" s="451">
        <v>0</v>
      </c>
      <c r="H116" s="451">
        <v>0</v>
      </c>
      <c r="I116" s="451">
        <v>22162713</v>
      </c>
      <c r="J116" s="451">
        <v>517620.06</v>
      </c>
      <c r="K116" s="451">
        <v>0</v>
      </c>
      <c r="L116" s="451">
        <v>0</v>
      </c>
      <c r="M116" s="451">
        <v>517620.06</v>
      </c>
      <c r="N116" s="451">
        <v>199241.15</v>
      </c>
      <c r="O116" s="451">
        <v>0</v>
      </c>
      <c r="P116" s="451">
        <v>0</v>
      </c>
      <c r="Q116" s="451">
        <v>199241.15</v>
      </c>
      <c r="R116" s="451">
        <v>125215</v>
      </c>
      <c r="S116" s="451">
        <v>0</v>
      </c>
      <c r="T116" s="451">
        <v>0</v>
      </c>
      <c r="U116" s="451">
        <v>125215</v>
      </c>
      <c r="V116" s="451">
        <v>419199</v>
      </c>
      <c r="W116" s="451">
        <v>0</v>
      </c>
      <c r="X116" s="451">
        <v>0</v>
      </c>
      <c r="Y116" s="451">
        <v>419199</v>
      </c>
      <c r="Z116" s="451">
        <v>20901438</v>
      </c>
      <c r="AA116" s="451">
        <v>0</v>
      </c>
      <c r="AB116" s="451">
        <v>0</v>
      </c>
      <c r="AC116" s="451">
        <v>20901438</v>
      </c>
      <c r="AD116" s="451">
        <v>0</v>
      </c>
      <c r="AE116" s="451">
        <v>0</v>
      </c>
      <c r="AF116" s="451">
        <v>0</v>
      </c>
      <c r="AG116" s="451">
        <v>0</v>
      </c>
      <c r="AH116" s="451">
        <v>0</v>
      </c>
      <c r="AI116" s="451">
        <v>0</v>
      </c>
      <c r="AJ116" s="451">
        <v>0</v>
      </c>
      <c r="AK116" s="451">
        <v>0</v>
      </c>
      <c r="AL116" s="451">
        <v>0</v>
      </c>
      <c r="AM116" s="451">
        <v>0</v>
      </c>
      <c r="AN116" s="451">
        <v>0</v>
      </c>
      <c r="AO116" s="451">
        <v>1811381.63</v>
      </c>
      <c r="AP116" s="451">
        <v>230857.91</v>
      </c>
      <c r="AQ116" s="324"/>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c r="EI116" s="310"/>
      <c r="EJ116" s="310"/>
      <c r="EK116" s="310"/>
      <c r="EL116" s="310"/>
      <c r="EM116" s="310"/>
      <c r="EN116" s="310"/>
      <c r="EO116" s="310"/>
      <c r="EP116" s="310"/>
      <c r="EQ116" s="310"/>
      <c r="ER116" s="310"/>
      <c r="ES116" s="310"/>
      <c r="ET116" s="310"/>
      <c r="EU116" s="310"/>
      <c r="EV116" s="310"/>
      <c r="EW116" s="310"/>
      <c r="EX116" s="310"/>
      <c r="EY116" s="310"/>
      <c r="EZ116" s="310"/>
      <c r="FA116" s="310"/>
      <c r="FB116" s="310"/>
      <c r="FC116" s="310"/>
      <c r="FD116" s="310"/>
      <c r="FE116" s="311"/>
      <c r="FF116" s="312"/>
    </row>
    <row r="117" spans="1:162" ht="12.75" x14ac:dyDescent="0.2">
      <c r="A117" s="446">
        <v>110</v>
      </c>
      <c r="B117" s="447" t="s">
        <v>103</v>
      </c>
      <c r="C117" s="448" t="s">
        <v>1093</v>
      </c>
      <c r="D117" s="449" t="s">
        <v>1097</v>
      </c>
      <c r="E117" s="450" t="s">
        <v>102</v>
      </c>
      <c r="F117" s="451">
        <v>29048288.699999999</v>
      </c>
      <c r="G117" s="451">
        <v>0</v>
      </c>
      <c r="H117" s="451">
        <v>86822.44</v>
      </c>
      <c r="I117" s="451">
        <v>29135111.100000001</v>
      </c>
      <c r="J117" s="451">
        <v>93439</v>
      </c>
      <c r="K117" s="451">
        <v>0</v>
      </c>
      <c r="L117" s="451">
        <v>0</v>
      </c>
      <c r="M117" s="451">
        <v>93439</v>
      </c>
      <c r="N117" s="451">
        <v>28565</v>
      </c>
      <c r="O117" s="451">
        <v>0</v>
      </c>
      <c r="P117" s="451">
        <v>0</v>
      </c>
      <c r="Q117" s="451">
        <v>28565</v>
      </c>
      <c r="R117" s="451">
        <v>1298127</v>
      </c>
      <c r="S117" s="451">
        <v>0</v>
      </c>
      <c r="T117" s="451">
        <v>0</v>
      </c>
      <c r="U117" s="451">
        <v>1298127</v>
      </c>
      <c r="V117" s="451">
        <v>9462921</v>
      </c>
      <c r="W117" s="451">
        <v>0</v>
      </c>
      <c r="X117" s="451">
        <v>0</v>
      </c>
      <c r="Y117" s="451">
        <v>9462921</v>
      </c>
      <c r="Z117" s="451">
        <v>18165237</v>
      </c>
      <c r="AA117" s="451">
        <v>0</v>
      </c>
      <c r="AB117" s="451">
        <v>86822</v>
      </c>
      <c r="AC117" s="451">
        <v>18252059</v>
      </c>
      <c r="AD117" s="451">
        <v>0</v>
      </c>
      <c r="AE117" s="451">
        <v>0</v>
      </c>
      <c r="AF117" s="451">
        <v>0</v>
      </c>
      <c r="AG117" s="451">
        <v>0</v>
      </c>
      <c r="AH117" s="451">
        <v>0</v>
      </c>
      <c r="AI117" s="451">
        <v>56000</v>
      </c>
      <c r="AJ117" s="451">
        <v>0</v>
      </c>
      <c r="AK117" s="451">
        <v>267476</v>
      </c>
      <c r="AL117" s="451">
        <v>0</v>
      </c>
      <c r="AM117" s="451">
        <v>0</v>
      </c>
      <c r="AN117" s="451">
        <v>0</v>
      </c>
      <c r="AO117" s="451">
        <v>945189</v>
      </c>
      <c r="AP117" s="451">
        <v>359558</v>
      </c>
      <c r="AQ117" s="324"/>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c r="EI117" s="310"/>
      <c r="EJ117" s="310"/>
      <c r="EK117" s="310"/>
      <c r="EL117" s="310"/>
      <c r="EM117" s="310"/>
      <c r="EN117" s="310"/>
      <c r="EO117" s="310"/>
      <c r="EP117" s="310"/>
      <c r="EQ117" s="310"/>
      <c r="ER117" s="310"/>
      <c r="ES117" s="310"/>
      <c r="ET117" s="310"/>
      <c r="EU117" s="310"/>
      <c r="EV117" s="310"/>
      <c r="EW117" s="310"/>
      <c r="EX117" s="310"/>
      <c r="EY117" s="310"/>
      <c r="EZ117" s="310"/>
      <c r="FA117" s="310"/>
      <c r="FB117" s="310"/>
      <c r="FC117" s="310"/>
      <c r="FD117" s="310"/>
      <c r="FE117" s="311"/>
      <c r="FF117" s="312"/>
    </row>
    <row r="118" spans="1:162" ht="12.75" x14ac:dyDescent="0.2">
      <c r="A118" s="446">
        <v>111</v>
      </c>
      <c r="B118" s="447" t="s">
        <v>105</v>
      </c>
      <c r="C118" s="448" t="s">
        <v>1104</v>
      </c>
      <c r="D118" s="449" t="s">
        <v>1099</v>
      </c>
      <c r="E118" s="450" t="s">
        <v>104</v>
      </c>
      <c r="F118" s="451">
        <v>69286248</v>
      </c>
      <c r="G118" s="451">
        <v>0</v>
      </c>
      <c r="H118" s="451">
        <v>0</v>
      </c>
      <c r="I118" s="451">
        <v>69286248</v>
      </c>
      <c r="J118" s="451">
        <v>354019.83</v>
      </c>
      <c r="K118" s="451">
        <v>0</v>
      </c>
      <c r="L118" s="451">
        <v>0</v>
      </c>
      <c r="M118" s="451">
        <v>354019.83</v>
      </c>
      <c r="N118" s="451">
        <v>845536</v>
      </c>
      <c r="O118" s="451">
        <v>0</v>
      </c>
      <c r="P118" s="451">
        <v>0</v>
      </c>
      <c r="Q118" s="451">
        <v>845536</v>
      </c>
      <c r="R118" s="451">
        <v>1434000</v>
      </c>
      <c r="S118" s="451">
        <v>0</v>
      </c>
      <c r="T118" s="451">
        <v>0</v>
      </c>
      <c r="U118" s="451">
        <v>1434000</v>
      </c>
      <c r="V118" s="451">
        <v>2758000</v>
      </c>
      <c r="W118" s="451">
        <v>0</v>
      </c>
      <c r="X118" s="451">
        <v>0</v>
      </c>
      <c r="Y118" s="451">
        <v>2758000</v>
      </c>
      <c r="Z118" s="451">
        <v>63894692</v>
      </c>
      <c r="AA118" s="451">
        <v>0</v>
      </c>
      <c r="AB118" s="451">
        <v>0</v>
      </c>
      <c r="AC118" s="451">
        <v>63894692</v>
      </c>
      <c r="AD118" s="451">
        <v>0</v>
      </c>
      <c r="AE118" s="451">
        <v>0</v>
      </c>
      <c r="AF118" s="451">
        <v>0</v>
      </c>
      <c r="AG118" s="451">
        <v>0</v>
      </c>
      <c r="AH118" s="451">
        <v>0</v>
      </c>
      <c r="AI118" s="451">
        <v>0</v>
      </c>
      <c r="AJ118" s="451">
        <v>0</v>
      </c>
      <c r="AK118" s="451">
        <v>0</v>
      </c>
      <c r="AL118" s="451">
        <v>0</v>
      </c>
      <c r="AM118" s="451">
        <v>0</v>
      </c>
      <c r="AN118" s="451">
        <v>0</v>
      </c>
      <c r="AO118" s="451">
        <v>2130388</v>
      </c>
      <c r="AP118" s="451">
        <v>1629653</v>
      </c>
      <c r="AQ118" s="324"/>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10"/>
      <c r="BM118" s="310"/>
      <c r="BN118" s="310"/>
      <c r="BO118" s="310"/>
      <c r="BP118" s="310"/>
      <c r="BQ118" s="310"/>
      <c r="BR118" s="310"/>
      <c r="BS118" s="310"/>
      <c r="BT118" s="310"/>
      <c r="BU118" s="310"/>
      <c r="BV118" s="310"/>
      <c r="BW118" s="310"/>
      <c r="BX118" s="310"/>
      <c r="BY118" s="310"/>
      <c r="BZ118" s="310"/>
      <c r="CA118" s="310"/>
      <c r="CB118" s="310"/>
      <c r="CC118" s="310"/>
      <c r="CD118" s="310"/>
      <c r="CE118" s="310"/>
      <c r="CF118" s="310"/>
      <c r="CG118" s="310"/>
      <c r="CH118" s="310"/>
      <c r="CI118" s="310"/>
      <c r="CJ118" s="310"/>
      <c r="CK118" s="310"/>
      <c r="CL118" s="310"/>
      <c r="CM118" s="310"/>
      <c r="CN118" s="310"/>
      <c r="CO118" s="310"/>
      <c r="CP118" s="310"/>
      <c r="CQ118" s="310"/>
      <c r="CR118" s="310"/>
      <c r="CS118" s="310"/>
      <c r="CT118" s="310"/>
      <c r="CU118" s="310"/>
      <c r="CV118" s="310"/>
      <c r="CW118" s="310"/>
      <c r="CX118" s="310"/>
      <c r="CY118" s="310"/>
      <c r="CZ118" s="310"/>
      <c r="DA118" s="310"/>
      <c r="DB118" s="310"/>
      <c r="DC118" s="310"/>
      <c r="DD118" s="310"/>
      <c r="DE118" s="310"/>
      <c r="DF118" s="310"/>
      <c r="DG118" s="310"/>
      <c r="DH118" s="310"/>
      <c r="DI118" s="310"/>
      <c r="DJ118" s="310"/>
      <c r="DK118" s="310"/>
      <c r="DL118" s="310"/>
      <c r="DM118" s="310"/>
      <c r="DN118" s="310"/>
      <c r="DO118" s="310"/>
      <c r="DP118" s="310"/>
      <c r="DQ118" s="310"/>
      <c r="DR118" s="310"/>
      <c r="DS118" s="310"/>
      <c r="DT118" s="310"/>
      <c r="DU118" s="310"/>
      <c r="DV118" s="310"/>
      <c r="DW118" s="310"/>
      <c r="DX118" s="310"/>
      <c r="DY118" s="310"/>
      <c r="DZ118" s="310"/>
      <c r="EA118" s="310"/>
      <c r="EB118" s="310"/>
      <c r="EC118" s="310"/>
      <c r="ED118" s="310"/>
      <c r="EE118" s="310"/>
      <c r="EF118" s="310"/>
      <c r="EG118" s="310"/>
      <c r="EH118" s="310"/>
      <c r="EI118" s="310"/>
      <c r="EJ118" s="310"/>
      <c r="EK118" s="310"/>
      <c r="EL118" s="310"/>
      <c r="EM118" s="310"/>
      <c r="EN118" s="310"/>
      <c r="EO118" s="310"/>
      <c r="EP118" s="310"/>
      <c r="EQ118" s="310"/>
      <c r="ER118" s="310"/>
      <c r="ES118" s="310"/>
      <c r="ET118" s="310"/>
      <c r="EU118" s="310"/>
      <c r="EV118" s="310"/>
      <c r="EW118" s="310"/>
      <c r="EX118" s="310"/>
      <c r="EY118" s="310"/>
      <c r="EZ118" s="310"/>
      <c r="FA118" s="310"/>
      <c r="FB118" s="310"/>
      <c r="FC118" s="310"/>
      <c r="FD118" s="310"/>
      <c r="FE118" s="311"/>
      <c r="FF118" s="312"/>
    </row>
    <row r="119" spans="1:162" ht="12.75" x14ac:dyDescent="0.2">
      <c r="A119" s="446">
        <v>112</v>
      </c>
      <c r="B119" s="447" t="s">
        <v>107</v>
      </c>
      <c r="C119" s="448" t="s">
        <v>1093</v>
      </c>
      <c r="D119" s="449" t="s">
        <v>1094</v>
      </c>
      <c r="E119" s="450" t="s">
        <v>106</v>
      </c>
      <c r="F119" s="451">
        <v>78648583</v>
      </c>
      <c r="G119" s="451">
        <v>0</v>
      </c>
      <c r="H119" s="451">
        <v>0</v>
      </c>
      <c r="I119" s="451">
        <v>78648583</v>
      </c>
      <c r="J119" s="451">
        <v>328171</v>
      </c>
      <c r="K119" s="451">
        <v>0</v>
      </c>
      <c r="L119" s="451">
        <v>0</v>
      </c>
      <c r="M119" s="451">
        <v>328171</v>
      </c>
      <c r="N119" s="451">
        <v>46829</v>
      </c>
      <c r="O119" s="451">
        <v>0</v>
      </c>
      <c r="P119" s="451">
        <v>0</v>
      </c>
      <c r="Q119" s="451">
        <v>46829</v>
      </c>
      <c r="R119" s="451">
        <v>1100000</v>
      </c>
      <c r="S119" s="451">
        <v>0</v>
      </c>
      <c r="T119" s="451">
        <v>0</v>
      </c>
      <c r="U119" s="451">
        <v>1100000</v>
      </c>
      <c r="V119" s="451">
        <v>2800000</v>
      </c>
      <c r="W119" s="451">
        <v>0</v>
      </c>
      <c r="X119" s="451">
        <v>0</v>
      </c>
      <c r="Y119" s="451">
        <v>2800000</v>
      </c>
      <c r="Z119" s="451">
        <v>74373583</v>
      </c>
      <c r="AA119" s="451">
        <v>0</v>
      </c>
      <c r="AB119" s="451">
        <v>0</v>
      </c>
      <c r="AC119" s="451">
        <v>74373583</v>
      </c>
      <c r="AD119" s="451">
        <v>0</v>
      </c>
      <c r="AE119" s="451">
        <v>0</v>
      </c>
      <c r="AF119" s="451">
        <v>0</v>
      </c>
      <c r="AG119" s="451">
        <v>0</v>
      </c>
      <c r="AH119" s="451">
        <v>0</v>
      </c>
      <c r="AI119" s="451">
        <v>0</v>
      </c>
      <c r="AJ119" s="451">
        <v>0</v>
      </c>
      <c r="AK119" s="451">
        <v>0</v>
      </c>
      <c r="AL119" s="451">
        <v>0</v>
      </c>
      <c r="AM119" s="451">
        <v>0</v>
      </c>
      <c r="AN119" s="451">
        <v>0</v>
      </c>
      <c r="AO119" s="451">
        <v>1113802</v>
      </c>
      <c r="AP119" s="451">
        <v>2236326</v>
      </c>
      <c r="AQ119" s="324"/>
      <c r="AR119" s="310"/>
      <c r="AS119" s="310"/>
      <c r="AT119" s="310"/>
      <c r="AU119" s="310"/>
      <c r="AV119" s="310"/>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c r="BS119" s="310"/>
      <c r="BT119" s="310"/>
      <c r="BU119" s="310"/>
      <c r="BV119" s="310"/>
      <c r="BW119" s="310"/>
      <c r="BX119" s="310"/>
      <c r="BY119" s="310"/>
      <c r="BZ119" s="310"/>
      <c r="CA119" s="310"/>
      <c r="CB119" s="310"/>
      <c r="CC119" s="310"/>
      <c r="CD119" s="310"/>
      <c r="CE119" s="310"/>
      <c r="CF119" s="310"/>
      <c r="CG119" s="310"/>
      <c r="CH119" s="310"/>
      <c r="CI119" s="310"/>
      <c r="CJ119" s="310"/>
      <c r="CK119" s="310"/>
      <c r="CL119" s="310"/>
      <c r="CM119" s="310"/>
      <c r="CN119" s="310"/>
      <c r="CO119" s="310"/>
      <c r="CP119" s="310"/>
      <c r="CQ119" s="310"/>
      <c r="CR119" s="310"/>
      <c r="CS119" s="310"/>
      <c r="CT119" s="310"/>
      <c r="CU119" s="310"/>
      <c r="CV119" s="310"/>
      <c r="CW119" s="310"/>
      <c r="CX119" s="310"/>
      <c r="CY119" s="310"/>
      <c r="CZ119" s="310"/>
      <c r="DA119" s="310"/>
      <c r="DB119" s="310"/>
      <c r="DC119" s="310"/>
      <c r="DD119" s="310"/>
      <c r="DE119" s="310"/>
      <c r="DF119" s="310"/>
      <c r="DG119" s="310"/>
      <c r="DH119" s="310"/>
      <c r="DI119" s="310"/>
      <c r="DJ119" s="310"/>
      <c r="DK119" s="310"/>
      <c r="DL119" s="310"/>
      <c r="DM119" s="310"/>
      <c r="DN119" s="310"/>
      <c r="DO119" s="310"/>
      <c r="DP119" s="310"/>
      <c r="DQ119" s="310"/>
      <c r="DR119" s="310"/>
      <c r="DS119" s="310"/>
      <c r="DT119" s="310"/>
      <c r="DU119" s="310"/>
      <c r="DV119" s="310"/>
      <c r="DW119" s="310"/>
      <c r="DX119" s="310"/>
      <c r="DY119" s="310"/>
      <c r="DZ119" s="310"/>
      <c r="EA119" s="310"/>
      <c r="EB119" s="310"/>
      <c r="EC119" s="310"/>
      <c r="ED119" s="310"/>
      <c r="EE119" s="310"/>
      <c r="EF119" s="310"/>
      <c r="EG119" s="310"/>
      <c r="EH119" s="310"/>
      <c r="EI119" s="310"/>
      <c r="EJ119" s="310"/>
      <c r="EK119" s="310"/>
      <c r="EL119" s="310"/>
      <c r="EM119" s="310"/>
      <c r="EN119" s="310"/>
      <c r="EO119" s="310"/>
      <c r="EP119" s="310"/>
      <c r="EQ119" s="310"/>
      <c r="ER119" s="310"/>
      <c r="ES119" s="310"/>
      <c r="ET119" s="310"/>
      <c r="EU119" s="310"/>
      <c r="EV119" s="310"/>
      <c r="EW119" s="310"/>
      <c r="EX119" s="310"/>
      <c r="EY119" s="310"/>
      <c r="EZ119" s="310"/>
      <c r="FA119" s="310"/>
      <c r="FB119" s="310"/>
      <c r="FC119" s="310"/>
      <c r="FD119" s="310"/>
      <c r="FE119" s="311"/>
      <c r="FF119" s="312"/>
    </row>
    <row r="120" spans="1:162" ht="12.75" x14ac:dyDescent="0.2">
      <c r="A120" s="446">
        <v>113</v>
      </c>
      <c r="B120" s="447" t="s">
        <v>109</v>
      </c>
      <c r="C120" s="448" t="s">
        <v>1104</v>
      </c>
      <c r="D120" s="449" t="s">
        <v>1099</v>
      </c>
      <c r="E120" s="450" t="s">
        <v>108</v>
      </c>
      <c r="F120" s="451">
        <v>87482869</v>
      </c>
      <c r="G120" s="451">
        <v>0</v>
      </c>
      <c r="H120" s="451">
        <v>0</v>
      </c>
      <c r="I120" s="451">
        <v>87482869</v>
      </c>
      <c r="J120" s="451">
        <v>0</v>
      </c>
      <c r="K120" s="451">
        <v>0</v>
      </c>
      <c r="L120" s="451">
        <v>0</v>
      </c>
      <c r="M120" s="451">
        <v>0</v>
      </c>
      <c r="N120" s="451">
        <v>2375402</v>
      </c>
      <c r="O120" s="451">
        <v>0</v>
      </c>
      <c r="P120" s="451">
        <v>0</v>
      </c>
      <c r="Q120" s="451">
        <v>2375402</v>
      </c>
      <c r="R120" s="451">
        <v>557345</v>
      </c>
      <c r="S120" s="451">
        <v>0</v>
      </c>
      <c r="T120" s="451">
        <v>0</v>
      </c>
      <c r="U120" s="451">
        <v>557345</v>
      </c>
      <c r="V120" s="451">
        <v>2037531</v>
      </c>
      <c r="W120" s="451">
        <v>0</v>
      </c>
      <c r="X120" s="451">
        <v>0</v>
      </c>
      <c r="Y120" s="451">
        <v>2037531</v>
      </c>
      <c r="Z120" s="451">
        <v>82512591</v>
      </c>
      <c r="AA120" s="451">
        <v>0</v>
      </c>
      <c r="AB120" s="451">
        <v>0</v>
      </c>
      <c r="AC120" s="451">
        <v>82512591</v>
      </c>
      <c r="AD120" s="451">
        <v>0</v>
      </c>
      <c r="AE120" s="451">
        <v>0</v>
      </c>
      <c r="AF120" s="451">
        <v>0</v>
      </c>
      <c r="AG120" s="451">
        <v>0</v>
      </c>
      <c r="AH120" s="451">
        <v>0</v>
      </c>
      <c r="AI120" s="451">
        <v>0</v>
      </c>
      <c r="AJ120" s="451">
        <v>0</v>
      </c>
      <c r="AK120" s="451">
        <v>0</v>
      </c>
      <c r="AL120" s="451">
        <v>0</v>
      </c>
      <c r="AM120" s="451">
        <v>0</v>
      </c>
      <c r="AN120" s="451">
        <v>0</v>
      </c>
      <c r="AO120" s="451">
        <v>18457659</v>
      </c>
      <c r="AP120" s="451">
        <v>6355044</v>
      </c>
      <c r="AQ120" s="324"/>
      <c r="AR120" s="310"/>
      <c r="AS120" s="310"/>
      <c r="AT120" s="310"/>
      <c r="AU120" s="310"/>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c r="BX120" s="310"/>
      <c r="BY120" s="310"/>
      <c r="BZ120" s="310"/>
      <c r="CA120" s="310"/>
      <c r="CB120" s="310"/>
      <c r="CC120" s="310"/>
      <c r="CD120" s="310"/>
      <c r="CE120" s="310"/>
      <c r="CF120" s="310"/>
      <c r="CG120" s="310"/>
      <c r="CH120" s="310"/>
      <c r="CI120" s="310"/>
      <c r="CJ120" s="310"/>
      <c r="CK120" s="310"/>
      <c r="CL120" s="310"/>
      <c r="CM120" s="310"/>
      <c r="CN120" s="310"/>
      <c r="CO120" s="310"/>
      <c r="CP120" s="310"/>
      <c r="CQ120" s="310"/>
      <c r="CR120" s="310"/>
      <c r="CS120" s="310"/>
      <c r="CT120" s="310"/>
      <c r="CU120" s="310"/>
      <c r="CV120" s="310"/>
      <c r="CW120" s="310"/>
      <c r="CX120" s="310"/>
      <c r="CY120" s="310"/>
      <c r="CZ120" s="310"/>
      <c r="DA120" s="310"/>
      <c r="DB120" s="310"/>
      <c r="DC120" s="310"/>
      <c r="DD120" s="310"/>
      <c r="DE120" s="310"/>
      <c r="DF120" s="310"/>
      <c r="DG120" s="310"/>
      <c r="DH120" s="310"/>
      <c r="DI120" s="310"/>
      <c r="DJ120" s="310"/>
      <c r="DK120" s="310"/>
      <c r="DL120" s="310"/>
      <c r="DM120" s="310"/>
      <c r="DN120" s="310"/>
      <c r="DO120" s="310"/>
      <c r="DP120" s="310"/>
      <c r="DQ120" s="310"/>
      <c r="DR120" s="310"/>
      <c r="DS120" s="310"/>
      <c r="DT120" s="310"/>
      <c r="DU120" s="310"/>
      <c r="DV120" s="310"/>
      <c r="DW120" s="310"/>
      <c r="DX120" s="310"/>
      <c r="DY120" s="310"/>
      <c r="DZ120" s="310"/>
      <c r="EA120" s="310"/>
      <c r="EB120" s="310"/>
      <c r="EC120" s="310"/>
      <c r="ED120" s="310"/>
      <c r="EE120" s="310"/>
      <c r="EF120" s="310"/>
      <c r="EG120" s="310"/>
      <c r="EH120" s="310"/>
      <c r="EI120" s="310"/>
      <c r="EJ120" s="310"/>
      <c r="EK120" s="310"/>
      <c r="EL120" s="310"/>
      <c r="EM120" s="310"/>
      <c r="EN120" s="310"/>
      <c r="EO120" s="310"/>
      <c r="EP120" s="310"/>
      <c r="EQ120" s="310"/>
      <c r="ER120" s="310"/>
      <c r="ES120" s="310"/>
      <c r="ET120" s="310"/>
      <c r="EU120" s="310"/>
      <c r="EV120" s="310"/>
      <c r="EW120" s="310"/>
      <c r="EX120" s="310"/>
      <c r="EY120" s="310"/>
      <c r="EZ120" s="310"/>
      <c r="FA120" s="310"/>
      <c r="FB120" s="310"/>
      <c r="FC120" s="310"/>
      <c r="FD120" s="310"/>
      <c r="FE120" s="311"/>
      <c r="FF120" s="312"/>
    </row>
    <row r="121" spans="1:162" ht="12.75" x14ac:dyDescent="0.2">
      <c r="A121" s="446">
        <v>114</v>
      </c>
      <c r="B121" s="447" t="s">
        <v>111</v>
      </c>
      <c r="C121" s="448" t="s">
        <v>794</v>
      </c>
      <c r="D121" s="449" t="s">
        <v>1095</v>
      </c>
      <c r="E121" s="450" t="s">
        <v>717</v>
      </c>
      <c r="F121" s="451">
        <v>56942372</v>
      </c>
      <c r="G121" s="451">
        <v>0</v>
      </c>
      <c r="H121" s="451">
        <v>5076</v>
      </c>
      <c r="I121" s="451">
        <v>56947448</v>
      </c>
      <c r="J121" s="451">
        <v>685628</v>
      </c>
      <c r="K121" s="451">
        <v>0</v>
      </c>
      <c r="L121" s="451">
        <v>0</v>
      </c>
      <c r="M121" s="451">
        <v>685628</v>
      </c>
      <c r="N121" s="451">
        <v>1467315</v>
      </c>
      <c r="O121" s="451">
        <v>0</v>
      </c>
      <c r="P121" s="451">
        <v>0</v>
      </c>
      <c r="Q121" s="451">
        <v>1467315</v>
      </c>
      <c r="R121" s="451">
        <v>1181065</v>
      </c>
      <c r="S121" s="451">
        <v>0</v>
      </c>
      <c r="T121" s="451">
        <v>0</v>
      </c>
      <c r="U121" s="451">
        <v>1181065</v>
      </c>
      <c r="V121" s="451">
        <v>3619804</v>
      </c>
      <c r="W121" s="451">
        <v>0</v>
      </c>
      <c r="X121" s="451">
        <v>0</v>
      </c>
      <c r="Y121" s="451">
        <v>3619804</v>
      </c>
      <c r="Z121" s="451">
        <v>49988560</v>
      </c>
      <c r="AA121" s="451">
        <v>0</v>
      </c>
      <c r="AB121" s="451">
        <v>5076</v>
      </c>
      <c r="AC121" s="451">
        <v>49993636</v>
      </c>
      <c r="AD121" s="451">
        <v>0</v>
      </c>
      <c r="AE121" s="451">
        <v>0</v>
      </c>
      <c r="AF121" s="451">
        <v>0</v>
      </c>
      <c r="AG121" s="451">
        <v>0</v>
      </c>
      <c r="AH121" s="451">
        <v>0</v>
      </c>
      <c r="AI121" s="451">
        <v>0</v>
      </c>
      <c r="AJ121" s="451">
        <v>0</v>
      </c>
      <c r="AK121" s="451">
        <v>31175</v>
      </c>
      <c r="AL121" s="451">
        <v>0</v>
      </c>
      <c r="AM121" s="451">
        <v>0</v>
      </c>
      <c r="AN121" s="451">
        <v>0</v>
      </c>
      <c r="AO121" s="451">
        <v>3707733</v>
      </c>
      <c r="AP121" s="451">
        <v>1171999</v>
      </c>
      <c r="AQ121" s="324"/>
      <c r="AR121" s="310"/>
      <c r="AS121" s="310"/>
      <c r="AT121" s="310"/>
      <c r="AU121" s="310"/>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c r="BT121" s="310"/>
      <c r="BU121" s="310"/>
      <c r="BV121" s="310"/>
      <c r="BW121" s="310"/>
      <c r="BX121" s="310"/>
      <c r="BY121" s="310"/>
      <c r="BZ121" s="310"/>
      <c r="CA121" s="310"/>
      <c r="CB121" s="310"/>
      <c r="CC121" s="310"/>
      <c r="CD121" s="310"/>
      <c r="CE121" s="310"/>
      <c r="CF121" s="310"/>
      <c r="CG121" s="310"/>
      <c r="CH121" s="310"/>
      <c r="CI121" s="310"/>
      <c r="CJ121" s="310"/>
      <c r="CK121" s="310"/>
      <c r="CL121" s="310"/>
      <c r="CM121" s="310"/>
      <c r="CN121" s="310"/>
      <c r="CO121" s="310"/>
      <c r="CP121" s="310"/>
      <c r="CQ121" s="310"/>
      <c r="CR121" s="310"/>
      <c r="CS121" s="310"/>
      <c r="CT121" s="310"/>
      <c r="CU121" s="310"/>
      <c r="CV121" s="310"/>
      <c r="CW121" s="310"/>
      <c r="CX121" s="310"/>
      <c r="CY121" s="310"/>
      <c r="CZ121" s="310"/>
      <c r="DA121" s="310"/>
      <c r="DB121" s="310"/>
      <c r="DC121" s="310"/>
      <c r="DD121" s="310"/>
      <c r="DE121" s="310"/>
      <c r="DF121" s="310"/>
      <c r="DG121" s="310"/>
      <c r="DH121" s="310"/>
      <c r="DI121" s="310"/>
      <c r="DJ121" s="310"/>
      <c r="DK121" s="310"/>
      <c r="DL121" s="310"/>
      <c r="DM121" s="310"/>
      <c r="DN121" s="310"/>
      <c r="DO121" s="310"/>
      <c r="DP121" s="310"/>
      <c r="DQ121" s="310"/>
      <c r="DR121" s="310"/>
      <c r="DS121" s="310"/>
      <c r="DT121" s="310"/>
      <c r="DU121" s="310"/>
      <c r="DV121" s="310"/>
      <c r="DW121" s="310"/>
      <c r="DX121" s="310"/>
      <c r="DY121" s="310"/>
      <c r="DZ121" s="310"/>
      <c r="EA121" s="310"/>
      <c r="EB121" s="310"/>
      <c r="EC121" s="310"/>
      <c r="ED121" s="310"/>
      <c r="EE121" s="310"/>
      <c r="EF121" s="310"/>
      <c r="EG121" s="310"/>
      <c r="EH121" s="310"/>
      <c r="EI121" s="310"/>
      <c r="EJ121" s="310"/>
      <c r="EK121" s="310"/>
      <c r="EL121" s="310"/>
      <c r="EM121" s="310"/>
      <c r="EN121" s="310"/>
      <c r="EO121" s="310"/>
      <c r="EP121" s="310"/>
      <c r="EQ121" s="310"/>
      <c r="ER121" s="310"/>
      <c r="ES121" s="310"/>
      <c r="ET121" s="310"/>
      <c r="EU121" s="310"/>
      <c r="EV121" s="310"/>
      <c r="EW121" s="310"/>
      <c r="EX121" s="310"/>
      <c r="EY121" s="310"/>
      <c r="EZ121" s="310"/>
      <c r="FA121" s="310"/>
      <c r="FB121" s="310"/>
      <c r="FC121" s="310"/>
      <c r="FD121" s="310"/>
      <c r="FE121" s="311"/>
      <c r="FF121" s="312"/>
    </row>
    <row r="122" spans="1:162" ht="12.75" x14ac:dyDescent="0.2">
      <c r="A122" s="446">
        <v>115</v>
      </c>
      <c r="B122" s="447" t="s">
        <v>113</v>
      </c>
      <c r="C122" s="448" t="s">
        <v>1093</v>
      </c>
      <c r="D122" s="449" t="s">
        <v>1101</v>
      </c>
      <c r="E122" s="450" t="s">
        <v>112</v>
      </c>
      <c r="F122" s="451">
        <v>26605698</v>
      </c>
      <c r="G122" s="451">
        <v>0</v>
      </c>
      <c r="H122" s="451">
        <v>0</v>
      </c>
      <c r="I122" s="451">
        <v>26605698</v>
      </c>
      <c r="J122" s="451">
        <v>278123</v>
      </c>
      <c r="K122" s="451">
        <v>0</v>
      </c>
      <c r="L122" s="451">
        <v>0</v>
      </c>
      <c r="M122" s="451">
        <v>278123</v>
      </c>
      <c r="N122" s="451">
        <v>112650</v>
      </c>
      <c r="O122" s="451">
        <v>0</v>
      </c>
      <c r="P122" s="451">
        <v>0</v>
      </c>
      <c r="Q122" s="451">
        <v>112650</v>
      </c>
      <c r="R122" s="451">
        <v>144948</v>
      </c>
      <c r="S122" s="451">
        <v>0</v>
      </c>
      <c r="T122" s="451">
        <v>0</v>
      </c>
      <c r="U122" s="451">
        <v>144948</v>
      </c>
      <c r="V122" s="451">
        <v>537014</v>
      </c>
      <c r="W122" s="451">
        <v>0</v>
      </c>
      <c r="X122" s="451">
        <v>0</v>
      </c>
      <c r="Y122" s="451">
        <v>537014</v>
      </c>
      <c r="Z122" s="451">
        <v>25532963</v>
      </c>
      <c r="AA122" s="451">
        <v>0</v>
      </c>
      <c r="AB122" s="451">
        <v>0</v>
      </c>
      <c r="AC122" s="451">
        <v>25532963</v>
      </c>
      <c r="AD122" s="451">
        <v>0</v>
      </c>
      <c r="AE122" s="451">
        <v>0</v>
      </c>
      <c r="AF122" s="451">
        <v>0</v>
      </c>
      <c r="AG122" s="451">
        <v>0</v>
      </c>
      <c r="AH122" s="451">
        <v>0</v>
      </c>
      <c r="AI122" s="451">
        <v>0</v>
      </c>
      <c r="AJ122" s="451">
        <v>0</v>
      </c>
      <c r="AK122" s="451">
        <v>0</v>
      </c>
      <c r="AL122" s="451">
        <v>0</v>
      </c>
      <c r="AM122" s="451">
        <v>0</v>
      </c>
      <c r="AN122" s="451">
        <v>0</v>
      </c>
      <c r="AO122" s="451">
        <v>639472</v>
      </c>
      <c r="AP122" s="451">
        <v>376061</v>
      </c>
      <c r="AQ122" s="324"/>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0"/>
      <c r="BS122" s="310"/>
      <c r="BT122" s="310"/>
      <c r="BU122" s="310"/>
      <c r="BV122" s="310"/>
      <c r="BW122" s="310"/>
      <c r="BX122" s="310"/>
      <c r="BY122" s="310"/>
      <c r="BZ122" s="310"/>
      <c r="CA122" s="310"/>
      <c r="CB122" s="310"/>
      <c r="CC122" s="310"/>
      <c r="CD122" s="310"/>
      <c r="CE122" s="310"/>
      <c r="CF122" s="310"/>
      <c r="CG122" s="310"/>
      <c r="CH122" s="310"/>
      <c r="CI122" s="310"/>
      <c r="CJ122" s="310"/>
      <c r="CK122" s="310"/>
      <c r="CL122" s="310"/>
      <c r="CM122" s="310"/>
      <c r="CN122" s="310"/>
      <c r="CO122" s="310"/>
      <c r="CP122" s="310"/>
      <c r="CQ122" s="310"/>
      <c r="CR122" s="310"/>
      <c r="CS122" s="310"/>
      <c r="CT122" s="310"/>
      <c r="CU122" s="310"/>
      <c r="CV122" s="310"/>
      <c r="CW122" s="310"/>
      <c r="CX122" s="310"/>
      <c r="CY122" s="310"/>
      <c r="CZ122" s="310"/>
      <c r="DA122" s="310"/>
      <c r="DB122" s="310"/>
      <c r="DC122" s="310"/>
      <c r="DD122" s="310"/>
      <c r="DE122" s="310"/>
      <c r="DF122" s="310"/>
      <c r="DG122" s="310"/>
      <c r="DH122" s="310"/>
      <c r="DI122" s="310"/>
      <c r="DJ122" s="310"/>
      <c r="DK122" s="310"/>
      <c r="DL122" s="310"/>
      <c r="DM122" s="310"/>
      <c r="DN122" s="310"/>
      <c r="DO122" s="310"/>
      <c r="DP122" s="310"/>
      <c r="DQ122" s="310"/>
      <c r="DR122" s="310"/>
      <c r="DS122" s="310"/>
      <c r="DT122" s="310"/>
      <c r="DU122" s="310"/>
      <c r="DV122" s="310"/>
      <c r="DW122" s="310"/>
      <c r="DX122" s="310"/>
      <c r="DY122" s="310"/>
      <c r="DZ122" s="310"/>
      <c r="EA122" s="310"/>
      <c r="EB122" s="310"/>
      <c r="EC122" s="310"/>
      <c r="ED122" s="310"/>
      <c r="EE122" s="310"/>
      <c r="EF122" s="310"/>
      <c r="EG122" s="310"/>
      <c r="EH122" s="310"/>
      <c r="EI122" s="310"/>
      <c r="EJ122" s="310"/>
      <c r="EK122" s="310"/>
      <c r="EL122" s="310"/>
      <c r="EM122" s="310"/>
      <c r="EN122" s="310"/>
      <c r="EO122" s="310"/>
      <c r="EP122" s="310"/>
      <c r="EQ122" s="310"/>
      <c r="ER122" s="310"/>
      <c r="ES122" s="310"/>
      <c r="ET122" s="310"/>
      <c r="EU122" s="310"/>
      <c r="EV122" s="310"/>
      <c r="EW122" s="310"/>
      <c r="EX122" s="310"/>
      <c r="EY122" s="310"/>
      <c r="EZ122" s="310"/>
      <c r="FA122" s="310"/>
      <c r="FB122" s="310"/>
      <c r="FC122" s="310"/>
      <c r="FD122" s="310"/>
      <c r="FE122" s="311"/>
      <c r="FF122" s="312"/>
    </row>
    <row r="123" spans="1:162" ht="12.75" x14ac:dyDescent="0.2">
      <c r="A123" s="446">
        <v>116</v>
      </c>
      <c r="B123" s="447" t="s">
        <v>115</v>
      </c>
      <c r="C123" s="448" t="s">
        <v>1104</v>
      </c>
      <c r="D123" s="449" t="s">
        <v>1099</v>
      </c>
      <c r="E123" s="450" t="s">
        <v>718</v>
      </c>
      <c r="F123" s="451">
        <v>186249582</v>
      </c>
      <c r="G123" s="451">
        <v>0</v>
      </c>
      <c r="H123" s="451">
        <v>0</v>
      </c>
      <c r="I123" s="451">
        <v>186249582</v>
      </c>
      <c r="J123" s="451">
        <v>2031150</v>
      </c>
      <c r="K123" s="451">
        <v>0</v>
      </c>
      <c r="L123" s="451">
        <v>0</v>
      </c>
      <c r="M123" s="451">
        <v>2031150</v>
      </c>
      <c r="N123" s="451">
        <v>1935109.43</v>
      </c>
      <c r="O123" s="451">
        <v>0</v>
      </c>
      <c r="P123" s="451">
        <v>0</v>
      </c>
      <c r="Q123" s="451">
        <v>1935109.43</v>
      </c>
      <c r="R123" s="451">
        <v>9708203</v>
      </c>
      <c r="S123" s="451">
        <v>0</v>
      </c>
      <c r="T123" s="451">
        <v>0</v>
      </c>
      <c r="U123" s="451">
        <v>9708203</v>
      </c>
      <c r="V123" s="451">
        <v>29375203</v>
      </c>
      <c r="W123" s="451">
        <v>0</v>
      </c>
      <c r="X123" s="451">
        <v>0</v>
      </c>
      <c r="Y123" s="451">
        <v>29375203</v>
      </c>
      <c r="Z123" s="451">
        <v>143199917</v>
      </c>
      <c r="AA123" s="451">
        <v>0</v>
      </c>
      <c r="AB123" s="451">
        <v>0</v>
      </c>
      <c r="AC123" s="451">
        <v>143199917</v>
      </c>
      <c r="AD123" s="451">
        <v>0</v>
      </c>
      <c r="AE123" s="451">
        <v>0</v>
      </c>
      <c r="AF123" s="451">
        <v>0</v>
      </c>
      <c r="AG123" s="451">
        <v>0</v>
      </c>
      <c r="AH123" s="451">
        <v>0</v>
      </c>
      <c r="AI123" s="451">
        <v>0</v>
      </c>
      <c r="AJ123" s="451">
        <v>0</v>
      </c>
      <c r="AK123" s="451">
        <v>0</v>
      </c>
      <c r="AL123" s="451">
        <v>0</v>
      </c>
      <c r="AM123" s="451">
        <v>0</v>
      </c>
      <c r="AN123" s="451">
        <v>0</v>
      </c>
      <c r="AO123" s="451">
        <v>27588640</v>
      </c>
      <c r="AP123" s="451">
        <v>14153379</v>
      </c>
      <c r="AQ123" s="324"/>
      <c r="AR123" s="310"/>
      <c r="AS123" s="310"/>
      <c r="AT123" s="310"/>
      <c r="AU123" s="310"/>
      <c r="AV123" s="310"/>
      <c r="AW123" s="310"/>
      <c r="AX123" s="310"/>
      <c r="AY123" s="310"/>
      <c r="AZ123" s="310"/>
      <c r="BA123" s="310"/>
      <c r="BB123" s="310"/>
      <c r="BC123" s="310"/>
      <c r="BD123" s="310"/>
      <c r="BE123" s="310"/>
      <c r="BF123" s="310"/>
      <c r="BG123" s="310"/>
      <c r="BH123" s="310"/>
      <c r="BI123" s="310"/>
      <c r="BJ123" s="310"/>
      <c r="BK123" s="310"/>
      <c r="BL123" s="310"/>
      <c r="BM123" s="310"/>
      <c r="BN123" s="310"/>
      <c r="BO123" s="310"/>
      <c r="BP123" s="310"/>
      <c r="BQ123" s="310"/>
      <c r="BR123" s="310"/>
      <c r="BS123" s="310"/>
      <c r="BT123" s="310"/>
      <c r="BU123" s="310"/>
      <c r="BV123" s="310"/>
      <c r="BW123" s="310"/>
      <c r="BX123" s="310"/>
      <c r="BY123" s="310"/>
      <c r="BZ123" s="310"/>
      <c r="CA123" s="310"/>
      <c r="CB123" s="310"/>
      <c r="CC123" s="310"/>
      <c r="CD123" s="310"/>
      <c r="CE123" s="310"/>
      <c r="CF123" s="310"/>
      <c r="CG123" s="310"/>
      <c r="CH123" s="310"/>
      <c r="CI123" s="310"/>
      <c r="CJ123" s="310"/>
      <c r="CK123" s="310"/>
      <c r="CL123" s="310"/>
      <c r="CM123" s="310"/>
      <c r="CN123" s="310"/>
      <c r="CO123" s="310"/>
      <c r="CP123" s="310"/>
      <c r="CQ123" s="310"/>
      <c r="CR123" s="310"/>
      <c r="CS123" s="310"/>
      <c r="CT123" s="310"/>
      <c r="CU123" s="310"/>
      <c r="CV123" s="310"/>
      <c r="CW123" s="310"/>
      <c r="CX123" s="310"/>
      <c r="CY123" s="310"/>
      <c r="CZ123" s="310"/>
      <c r="DA123" s="310"/>
      <c r="DB123" s="310"/>
      <c r="DC123" s="310"/>
      <c r="DD123" s="310"/>
      <c r="DE123" s="310"/>
      <c r="DF123" s="310"/>
      <c r="DG123" s="310"/>
      <c r="DH123" s="310"/>
      <c r="DI123" s="310"/>
      <c r="DJ123" s="310"/>
      <c r="DK123" s="310"/>
      <c r="DL123" s="310"/>
      <c r="DM123" s="310"/>
      <c r="DN123" s="310"/>
      <c r="DO123" s="310"/>
      <c r="DP123" s="310"/>
      <c r="DQ123" s="310"/>
      <c r="DR123" s="310"/>
      <c r="DS123" s="310"/>
      <c r="DT123" s="310"/>
      <c r="DU123" s="310"/>
      <c r="DV123" s="310"/>
      <c r="DW123" s="310"/>
      <c r="DX123" s="310"/>
      <c r="DY123" s="310"/>
      <c r="DZ123" s="310"/>
      <c r="EA123" s="310"/>
      <c r="EB123" s="310"/>
      <c r="EC123" s="310"/>
      <c r="ED123" s="310"/>
      <c r="EE123" s="310"/>
      <c r="EF123" s="310"/>
      <c r="EG123" s="310"/>
      <c r="EH123" s="310"/>
      <c r="EI123" s="310"/>
      <c r="EJ123" s="310"/>
      <c r="EK123" s="310"/>
      <c r="EL123" s="310"/>
      <c r="EM123" s="310"/>
      <c r="EN123" s="310"/>
      <c r="EO123" s="310"/>
      <c r="EP123" s="310"/>
      <c r="EQ123" s="310"/>
      <c r="ER123" s="310"/>
      <c r="ES123" s="310"/>
      <c r="ET123" s="310"/>
      <c r="EU123" s="310"/>
      <c r="EV123" s="310"/>
      <c r="EW123" s="310"/>
      <c r="EX123" s="310"/>
      <c r="EY123" s="310"/>
      <c r="EZ123" s="310"/>
      <c r="FA123" s="310"/>
      <c r="FB123" s="310"/>
      <c r="FC123" s="310"/>
      <c r="FD123" s="310"/>
      <c r="FE123" s="311"/>
      <c r="FF123" s="312"/>
    </row>
    <row r="124" spans="1:162" ht="12.75" x14ac:dyDescent="0.2">
      <c r="A124" s="446">
        <v>117</v>
      </c>
      <c r="B124" s="447" t="s">
        <v>117</v>
      </c>
      <c r="C124" s="448" t="s">
        <v>1093</v>
      </c>
      <c r="D124" s="449" t="s">
        <v>1096</v>
      </c>
      <c r="E124" s="450" t="s">
        <v>116</v>
      </c>
      <c r="F124" s="451">
        <v>36553248.200000003</v>
      </c>
      <c r="G124" s="451">
        <v>0</v>
      </c>
      <c r="H124" s="451">
        <v>0</v>
      </c>
      <c r="I124" s="451">
        <v>36553248.200000003</v>
      </c>
      <c r="J124" s="451">
        <v>81497</v>
      </c>
      <c r="K124" s="451">
        <v>0</v>
      </c>
      <c r="L124" s="451">
        <v>0</v>
      </c>
      <c r="M124" s="451">
        <v>81497</v>
      </c>
      <c r="N124" s="451">
        <v>-493364</v>
      </c>
      <c r="O124" s="451">
        <v>0</v>
      </c>
      <c r="P124" s="451">
        <v>0</v>
      </c>
      <c r="Q124" s="451">
        <v>-493364</v>
      </c>
      <c r="R124" s="451">
        <v>167943</v>
      </c>
      <c r="S124" s="451">
        <v>0</v>
      </c>
      <c r="T124" s="451">
        <v>0</v>
      </c>
      <c r="U124" s="451">
        <v>167943</v>
      </c>
      <c r="V124" s="451">
        <v>365764</v>
      </c>
      <c r="W124" s="451">
        <v>0</v>
      </c>
      <c r="X124" s="451">
        <v>0</v>
      </c>
      <c r="Y124" s="451">
        <v>365764</v>
      </c>
      <c r="Z124" s="451">
        <v>36431408</v>
      </c>
      <c r="AA124" s="451">
        <v>0</v>
      </c>
      <c r="AB124" s="451">
        <v>0</v>
      </c>
      <c r="AC124" s="451">
        <v>36431408</v>
      </c>
      <c r="AD124" s="451">
        <v>0</v>
      </c>
      <c r="AE124" s="451">
        <v>0</v>
      </c>
      <c r="AF124" s="451">
        <v>0</v>
      </c>
      <c r="AG124" s="451">
        <v>0</v>
      </c>
      <c r="AH124" s="451">
        <v>0</v>
      </c>
      <c r="AI124" s="451">
        <v>0</v>
      </c>
      <c r="AJ124" s="451">
        <v>0</v>
      </c>
      <c r="AK124" s="451">
        <v>0</v>
      </c>
      <c r="AL124" s="451">
        <v>0</v>
      </c>
      <c r="AM124" s="451">
        <v>0</v>
      </c>
      <c r="AN124" s="451">
        <v>0</v>
      </c>
      <c r="AO124" s="451">
        <v>579711</v>
      </c>
      <c r="AP124" s="451">
        <v>464205.66</v>
      </c>
      <c r="AQ124" s="324"/>
      <c r="AR124" s="310"/>
      <c r="AS124" s="310"/>
      <c r="AT124" s="310"/>
      <c r="AU124" s="310"/>
      <c r="AV124" s="310"/>
      <c r="AW124" s="310"/>
      <c r="AX124" s="310"/>
      <c r="AY124" s="310"/>
      <c r="AZ124" s="310"/>
      <c r="BA124" s="310"/>
      <c r="BB124" s="310"/>
      <c r="BC124" s="310"/>
      <c r="BD124" s="310"/>
      <c r="BE124" s="310"/>
      <c r="BF124" s="310"/>
      <c r="BG124" s="310"/>
      <c r="BH124" s="310"/>
      <c r="BI124" s="310"/>
      <c r="BJ124" s="310"/>
      <c r="BK124" s="310"/>
      <c r="BL124" s="310"/>
      <c r="BM124" s="310"/>
      <c r="BN124" s="310"/>
      <c r="BO124" s="310"/>
      <c r="BP124" s="310"/>
      <c r="BQ124" s="310"/>
      <c r="BR124" s="310"/>
      <c r="BS124" s="310"/>
      <c r="BT124" s="310"/>
      <c r="BU124" s="310"/>
      <c r="BV124" s="310"/>
      <c r="BW124" s="310"/>
      <c r="BX124" s="310"/>
      <c r="BY124" s="310"/>
      <c r="BZ124" s="310"/>
      <c r="CA124" s="310"/>
      <c r="CB124" s="310"/>
      <c r="CC124" s="310"/>
      <c r="CD124" s="310"/>
      <c r="CE124" s="310"/>
      <c r="CF124" s="310"/>
      <c r="CG124" s="310"/>
      <c r="CH124" s="310"/>
      <c r="CI124" s="310"/>
      <c r="CJ124" s="310"/>
      <c r="CK124" s="310"/>
      <c r="CL124" s="310"/>
      <c r="CM124" s="310"/>
      <c r="CN124" s="310"/>
      <c r="CO124" s="310"/>
      <c r="CP124" s="310"/>
      <c r="CQ124" s="310"/>
      <c r="CR124" s="310"/>
      <c r="CS124" s="310"/>
      <c r="CT124" s="310"/>
      <c r="CU124" s="310"/>
      <c r="CV124" s="310"/>
      <c r="CW124" s="310"/>
      <c r="CX124" s="310"/>
      <c r="CY124" s="310"/>
      <c r="CZ124" s="310"/>
      <c r="DA124" s="310"/>
      <c r="DB124" s="310"/>
      <c r="DC124" s="310"/>
      <c r="DD124" s="310"/>
      <c r="DE124" s="310"/>
      <c r="DF124" s="310"/>
      <c r="DG124" s="310"/>
      <c r="DH124" s="310"/>
      <c r="DI124" s="310"/>
      <c r="DJ124" s="310"/>
      <c r="DK124" s="310"/>
      <c r="DL124" s="310"/>
      <c r="DM124" s="310"/>
      <c r="DN124" s="310"/>
      <c r="DO124" s="310"/>
      <c r="DP124" s="310"/>
      <c r="DQ124" s="310"/>
      <c r="DR124" s="310"/>
      <c r="DS124" s="310"/>
      <c r="DT124" s="310"/>
      <c r="DU124" s="310"/>
      <c r="DV124" s="310"/>
      <c r="DW124" s="310"/>
      <c r="DX124" s="310"/>
      <c r="DY124" s="310"/>
      <c r="DZ124" s="310"/>
      <c r="EA124" s="310"/>
      <c r="EB124" s="310"/>
      <c r="EC124" s="310"/>
      <c r="ED124" s="310"/>
      <c r="EE124" s="310"/>
      <c r="EF124" s="310"/>
      <c r="EG124" s="310"/>
      <c r="EH124" s="310"/>
      <c r="EI124" s="310"/>
      <c r="EJ124" s="310"/>
      <c r="EK124" s="310"/>
      <c r="EL124" s="310"/>
      <c r="EM124" s="310"/>
      <c r="EN124" s="310"/>
      <c r="EO124" s="310"/>
      <c r="EP124" s="310"/>
      <c r="EQ124" s="310"/>
      <c r="ER124" s="310"/>
      <c r="ES124" s="310"/>
      <c r="ET124" s="310"/>
      <c r="EU124" s="310"/>
      <c r="EV124" s="310"/>
      <c r="EW124" s="310"/>
      <c r="EX124" s="310"/>
      <c r="EY124" s="310"/>
      <c r="EZ124" s="310"/>
      <c r="FA124" s="310"/>
      <c r="FB124" s="310"/>
      <c r="FC124" s="310"/>
      <c r="FD124" s="310"/>
      <c r="FE124" s="311"/>
      <c r="FF124" s="312"/>
    </row>
    <row r="125" spans="1:162" ht="12.75" x14ac:dyDescent="0.2">
      <c r="A125" s="446">
        <v>118</v>
      </c>
      <c r="B125" s="447" t="s">
        <v>119</v>
      </c>
      <c r="C125" s="448" t="s">
        <v>1098</v>
      </c>
      <c r="D125" s="449" t="s">
        <v>1099</v>
      </c>
      <c r="E125" s="450" t="s">
        <v>118</v>
      </c>
      <c r="F125" s="451">
        <v>64919683</v>
      </c>
      <c r="G125" s="451">
        <v>0</v>
      </c>
      <c r="H125" s="451">
        <v>0</v>
      </c>
      <c r="I125" s="451">
        <v>64919683</v>
      </c>
      <c r="J125" s="451">
        <v>1212721</v>
      </c>
      <c r="K125" s="451">
        <v>0</v>
      </c>
      <c r="L125" s="451">
        <v>0</v>
      </c>
      <c r="M125" s="451">
        <v>1212721</v>
      </c>
      <c r="N125" s="451">
        <v>4685</v>
      </c>
      <c r="O125" s="451">
        <v>0</v>
      </c>
      <c r="P125" s="451">
        <v>0</v>
      </c>
      <c r="Q125" s="451">
        <v>4685</v>
      </c>
      <c r="R125" s="451">
        <v>726254</v>
      </c>
      <c r="S125" s="451">
        <v>0</v>
      </c>
      <c r="T125" s="451">
        <v>0</v>
      </c>
      <c r="U125" s="451">
        <v>726254</v>
      </c>
      <c r="V125" s="451">
        <v>1002921</v>
      </c>
      <c r="W125" s="451">
        <v>0</v>
      </c>
      <c r="X125" s="451">
        <v>0</v>
      </c>
      <c r="Y125" s="451">
        <v>1002921</v>
      </c>
      <c r="Z125" s="451">
        <v>61973102</v>
      </c>
      <c r="AA125" s="451">
        <v>0</v>
      </c>
      <c r="AB125" s="451">
        <v>0</v>
      </c>
      <c r="AC125" s="451">
        <v>61973102</v>
      </c>
      <c r="AD125" s="451">
        <v>0</v>
      </c>
      <c r="AE125" s="451">
        <v>0</v>
      </c>
      <c r="AF125" s="451">
        <v>0</v>
      </c>
      <c r="AG125" s="451">
        <v>0</v>
      </c>
      <c r="AH125" s="451">
        <v>0</v>
      </c>
      <c r="AI125" s="451">
        <v>0</v>
      </c>
      <c r="AJ125" s="451">
        <v>0</v>
      </c>
      <c r="AK125" s="451">
        <v>0</v>
      </c>
      <c r="AL125" s="451">
        <v>0</v>
      </c>
      <c r="AM125" s="451">
        <v>0</v>
      </c>
      <c r="AN125" s="451">
        <v>0</v>
      </c>
      <c r="AO125" s="451">
        <v>10893746</v>
      </c>
      <c r="AP125" s="451">
        <v>6941347</v>
      </c>
      <c r="AQ125" s="324"/>
      <c r="AR125" s="310"/>
      <c r="AS125" s="310"/>
      <c r="AT125" s="310"/>
      <c r="AU125" s="310"/>
      <c r="AV125" s="310"/>
      <c r="AW125" s="310"/>
      <c r="AX125" s="310"/>
      <c r="AY125" s="310"/>
      <c r="AZ125" s="310"/>
      <c r="BA125" s="310"/>
      <c r="BB125" s="310"/>
      <c r="BC125" s="310"/>
      <c r="BD125" s="310"/>
      <c r="BE125" s="310"/>
      <c r="BF125" s="310"/>
      <c r="BG125" s="310"/>
      <c r="BH125" s="310"/>
      <c r="BI125" s="310"/>
      <c r="BJ125" s="310"/>
      <c r="BK125" s="310"/>
      <c r="BL125" s="310"/>
      <c r="BM125" s="310"/>
      <c r="BN125" s="310"/>
      <c r="BO125" s="310"/>
      <c r="BP125" s="310"/>
      <c r="BQ125" s="310"/>
      <c r="BR125" s="310"/>
      <c r="BS125" s="310"/>
      <c r="BT125" s="310"/>
      <c r="BU125" s="310"/>
      <c r="BV125" s="310"/>
      <c r="BW125" s="310"/>
      <c r="BX125" s="310"/>
      <c r="BY125" s="310"/>
      <c r="BZ125" s="310"/>
      <c r="CA125" s="310"/>
      <c r="CB125" s="310"/>
      <c r="CC125" s="310"/>
      <c r="CD125" s="310"/>
      <c r="CE125" s="310"/>
      <c r="CF125" s="310"/>
      <c r="CG125" s="310"/>
      <c r="CH125" s="310"/>
      <c r="CI125" s="310"/>
      <c r="CJ125" s="310"/>
      <c r="CK125" s="310"/>
      <c r="CL125" s="310"/>
      <c r="CM125" s="310"/>
      <c r="CN125" s="310"/>
      <c r="CO125" s="310"/>
      <c r="CP125" s="310"/>
      <c r="CQ125" s="310"/>
      <c r="CR125" s="310"/>
      <c r="CS125" s="310"/>
      <c r="CT125" s="310"/>
      <c r="CU125" s="310"/>
      <c r="CV125" s="310"/>
      <c r="CW125" s="310"/>
      <c r="CX125" s="310"/>
      <c r="CY125" s="310"/>
      <c r="CZ125" s="310"/>
      <c r="DA125" s="310"/>
      <c r="DB125" s="310"/>
      <c r="DC125" s="310"/>
      <c r="DD125" s="310"/>
      <c r="DE125" s="310"/>
      <c r="DF125" s="310"/>
      <c r="DG125" s="310"/>
      <c r="DH125" s="310"/>
      <c r="DI125" s="310"/>
      <c r="DJ125" s="310"/>
      <c r="DK125" s="310"/>
      <c r="DL125" s="310"/>
      <c r="DM125" s="310"/>
      <c r="DN125" s="310"/>
      <c r="DO125" s="310"/>
      <c r="DP125" s="310"/>
      <c r="DQ125" s="310"/>
      <c r="DR125" s="310"/>
      <c r="DS125" s="310"/>
      <c r="DT125" s="310"/>
      <c r="DU125" s="310"/>
      <c r="DV125" s="310"/>
      <c r="DW125" s="310"/>
      <c r="DX125" s="310"/>
      <c r="DY125" s="310"/>
      <c r="DZ125" s="310"/>
      <c r="EA125" s="310"/>
      <c r="EB125" s="310"/>
      <c r="EC125" s="310"/>
      <c r="ED125" s="310"/>
      <c r="EE125" s="310"/>
      <c r="EF125" s="310"/>
      <c r="EG125" s="310"/>
      <c r="EH125" s="310"/>
      <c r="EI125" s="310"/>
      <c r="EJ125" s="310"/>
      <c r="EK125" s="310"/>
      <c r="EL125" s="310"/>
      <c r="EM125" s="310"/>
      <c r="EN125" s="310"/>
      <c r="EO125" s="310"/>
      <c r="EP125" s="310"/>
      <c r="EQ125" s="310"/>
      <c r="ER125" s="310"/>
      <c r="ES125" s="310"/>
      <c r="ET125" s="310"/>
      <c r="EU125" s="310"/>
      <c r="EV125" s="310"/>
      <c r="EW125" s="310"/>
      <c r="EX125" s="310"/>
      <c r="EY125" s="310"/>
      <c r="EZ125" s="310"/>
      <c r="FA125" s="310"/>
      <c r="FB125" s="310"/>
      <c r="FC125" s="310"/>
      <c r="FD125" s="310"/>
      <c r="FE125" s="311"/>
      <c r="FF125" s="312"/>
    </row>
    <row r="126" spans="1:162" ht="12.75" x14ac:dyDescent="0.2">
      <c r="A126" s="446">
        <v>119</v>
      </c>
      <c r="B126" s="447" t="s">
        <v>121</v>
      </c>
      <c r="C126" s="448" t="s">
        <v>1093</v>
      </c>
      <c r="D126" s="449" t="s">
        <v>1097</v>
      </c>
      <c r="E126" s="450" t="s">
        <v>120</v>
      </c>
      <c r="F126" s="451">
        <v>41115273.700000003</v>
      </c>
      <c r="G126" s="451">
        <v>0</v>
      </c>
      <c r="H126" s="451">
        <v>2613041.27</v>
      </c>
      <c r="I126" s="451">
        <v>43728315</v>
      </c>
      <c r="J126" s="451">
        <v>297068</v>
      </c>
      <c r="K126" s="451">
        <v>0</v>
      </c>
      <c r="L126" s="451">
        <v>0</v>
      </c>
      <c r="M126" s="451">
        <v>297068</v>
      </c>
      <c r="N126" s="451">
        <v>790500</v>
      </c>
      <c r="O126" s="451">
        <v>0</v>
      </c>
      <c r="P126" s="451">
        <v>0</v>
      </c>
      <c r="Q126" s="451">
        <v>790500</v>
      </c>
      <c r="R126" s="451">
        <v>1862324</v>
      </c>
      <c r="S126" s="451">
        <v>0</v>
      </c>
      <c r="T126" s="451">
        <v>0</v>
      </c>
      <c r="U126" s="451">
        <v>1862324</v>
      </c>
      <c r="V126" s="451">
        <v>2456130</v>
      </c>
      <c r="W126" s="451">
        <v>0</v>
      </c>
      <c r="X126" s="451">
        <v>0</v>
      </c>
      <c r="Y126" s="451">
        <v>2456130</v>
      </c>
      <c r="Z126" s="451">
        <v>35709252</v>
      </c>
      <c r="AA126" s="451">
        <v>0</v>
      </c>
      <c r="AB126" s="451">
        <v>2613041</v>
      </c>
      <c r="AC126" s="451">
        <v>38322293</v>
      </c>
      <c r="AD126" s="451">
        <v>0</v>
      </c>
      <c r="AE126" s="451">
        <v>0</v>
      </c>
      <c r="AF126" s="451">
        <v>0</v>
      </c>
      <c r="AG126" s="451">
        <v>0</v>
      </c>
      <c r="AH126" s="451">
        <v>0</v>
      </c>
      <c r="AI126" s="451">
        <v>-2.71</v>
      </c>
      <c r="AJ126" s="451">
        <v>0</v>
      </c>
      <c r="AK126" s="451">
        <v>2754899</v>
      </c>
      <c r="AL126" s="451">
        <v>0</v>
      </c>
      <c r="AM126" s="451">
        <v>0</v>
      </c>
      <c r="AN126" s="451">
        <v>0</v>
      </c>
      <c r="AO126" s="451">
        <v>2294717</v>
      </c>
      <c r="AP126" s="451">
        <v>286662</v>
      </c>
      <c r="AQ126" s="324"/>
      <c r="AR126" s="310"/>
      <c r="AS126" s="310"/>
      <c r="AT126" s="310"/>
      <c r="AU126" s="310"/>
      <c r="AV126" s="310"/>
      <c r="AW126" s="310"/>
      <c r="AX126" s="310"/>
      <c r="AY126" s="310"/>
      <c r="AZ126" s="310"/>
      <c r="BA126" s="310"/>
      <c r="BB126" s="310"/>
      <c r="BC126" s="310"/>
      <c r="BD126" s="310"/>
      <c r="BE126" s="310"/>
      <c r="BF126" s="310"/>
      <c r="BG126" s="310"/>
      <c r="BH126" s="310"/>
      <c r="BI126" s="310"/>
      <c r="BJ126" s="310"/>
      <c r="BK126" s="310"/>
      <c r="BL126" s="310"/>
      <c r="BM126" s="310"/>
      <c r="BN126" s="310"/>
      <c r="BO126" s="310"/>
      <c r="BP126" s="310"/>
      <c r="BQ126" s="310"/>
      <c r="BR126" s="310"/>
      <c r="BS126" s="310"/>
      <c r="BT126" s="310"/>
      <c r="BU126" s="310"/>
      <c r="BV126" s="310"/>
      <c r="BW126" s="310"/>
      <c r="BX126" s="310"/>
      <c r="BY126" s="310"/>
      <c r="BZ126" s="310"/>
      <c r="CA126" s="310"/>
      <c r="CB126" s="310"/>
      <c r="CC126" s="310"/>
      <c r="CD126" s="310"/>
      <c r="CE126" s="310"/>
      <c r="CF126" s="310"/>
      <c r="CG126" s="310"/>
      <c r="CH126" s="310"/>
      <c r="CI126" s="310"/>
      <c r="CJ126" s="310"/>
      <c r="CK126" s="310"/>
      <c r="CL126" s="310"/>
      <c r="CM126" s="310"/>
      <c r="CN126" s="310"/>
      <c r="CO126" s="310"/>
      <c r="CP126" s="310"/>
      <c r="CQ126" s="310"/>
      <c r="CR126" s="310"/>
      <c r="CS126" s="310"/>
      <c r="CT126" s="310"/>
      <c r="CU126" s="310"/>
      <c r="CV126" s="310"/>
      <c r="CW126" s="310"/>
      <c r="CX126" s="310"/>
      <c r="CY126" s="310"/>
      <c r="CZ126" s="310"/>
      <c r="DA126" s="310"/>
      <c r="DB126" s="310"/>
      <c r="DC126" s="310"/>
      <c r="DD126" s="310"/>
      <c r="DE126" s="310"/>
      <c r="DF126" s="310"/>
      <c r="DG126" s="310"/>
      <c r="DH126" s="310"/>
      <c r="DI126" s="310"/>
      <c r="DJ126" s="310"/>
      <c r="DK126" s="310"/>
      <c r="DL126" s="310"/>
      <c r="DM126" s="310"/>
      <c r="DN126" s="310"/>
      <c r="DO126" s="310"/>
      <c r="DP126" s="310"/>
      <c r="DQ126" s="310"/>
      <c r="DR126" s="310"/>
      <c r="DS126" s="310"/>
      <c r="DT126" s="310"/>
      <c r="DU126" s="310"/>
      <c r="DV126" s="310"/>
      <c r="DW126" s="310"/>
      <c r="DX126" s="310"/>
      <c r="DY126" s="310"/>
      <c r="DZ126" s="310"/>
      <c r="EA126" s="310"/>
      <c r="EB126" s="310"/>
      <c r="EC126" s="310"/>
      <c r="ED126" s="310"/>
      <c r="EE126" s="310"/>
      <c r="EF126" s="310"/>
      <c r="EG126" s="310"/>
      <c r="EH126" s="310"/>
      <c r="EI126" s="310"/>
      <c r="EJ126" s="310"/>
      <c r="EK126" s="310"/>
      <c r="EL126" s="310"/>
      <c r="EM126" s="310"/>
      <c r="EN126" s="310"/>
      <c r="EO126" s="310"/>
      <c r="EP126" s="310"/>
      <c r="EQ126" s="310"/>
      <c r="ER126" s="310"/>
      <c r="ES126" s="310"/>
      <c r="ET126" s="310"/>
      <c r="EU126" s="310"/>
      <c r="EV126" s="310"/>
      <c r="EW126" s="310"/>
      <c r="EX126" s="310"/>
      <c r="EY126" s="310"/>
      <c r="EZ126" s="310"/>
      <c r="FA126" s="310"/>
      <c r="FB126" s="310"/>
      <c r="FC126" s="310"/>
      <c r="FD126" s="310"/>
      <c r="FE126" s="311"/>
      <c r="FF126" s="312"/>
    </row>
    <row r="127" spans="1:162" ht="12.75" x14ac:dyDescent="0.2">
      <c r="A127" s="446">
        <v>120</v>
      </c>
      <c r="B127" s="447" t="s">
        <v>123</v>
      </c>
      <c r="C127" s="448" t="s">
        <v>1093</v>
      </c>
      <c r="D127" s="449" t="s">
        <v>1101</v>
      </c>
      <c r="E127" s="450" t="s">
        <v>122</v>
      </c>
      <c r="F127" s="451">
        <v>60557573</v>
      </c>
      <c r="G127" s="451">
        <v>0</v>
      </c>
      <c r="H127" s="451">
        <v>0</v>
      </c>
      <c r="I127" s="451">
        <v>60557573</v>
      </c>
      <c r="J127" s="451">
        <v>285594</v>
      </c>
      <c r="K127" s="451">
        <v>0</v>
      </c>
      <c r="L127" s="451">
        <v>0</v>
      </c>
      <c r="M127" s="451">
        <v>285594</v>
      </c>
      <c r="N127" s="451">
        <v>349494</v>
      </c>
      <c r="O127" s="451">
        <v>0</v>
      </c>
      <c r="P127" s="451">
        <v>0</v>
      </c>
      <c r="Q127" s="451">
        <v>349494</v>
      </c>
      <c r="R127" s="451">
        <v>742124</v>
      </c>
      <c r="S127" s="451">
        <v>0</v>
      </c>
      <c r="T127" s="451">
        <v>0</v>
      </c>
      <c r="U127" s="451">
        <v>742124</v>
      </c>
      <c r="V127" s="451">
        <v>995326</v>
      </c>
      <c r="W127" s="451">
        <v>0</v>
      </c>
      <c r="X127" s="451">
        <v>0</v>
      </c>
      <c r="Y127" s="451">
        <v>995326</v>
      </c>
      <c r="Z127" s="451">
        <v>58185035</v>
      </c>
      <c r="AA127" s="451">
        <v>0</v>
      </c>
      <c r="AB127" s="451">
        <v>0</v>
      </c>
      <c r="AC127" s="451">
        <v>58185035</v>
      </c>
      <c r="AD127" s="451">
        <v>0</v>
      </c>
      <c r="AE127" s="451">
        <v>0</v>
      </c>
      <c r="AF127" s="451">
        <v>0</v>
      </c>
      <c r="AG127" s="451">
        <v>0</v>
      </c>
      <c r="AH127" s="451">
        <v>0</v>
      </c>
      <c r="AI127" s="451">
        <v>0</v>
      </c>
      <c r="AJ127" s="451">
        <v>0</v>
      </c>
      <c r="AK127" s="451">
        <v>0</v>
      </c>
      <c r="AL127" s="451">
        <v>0</v>
      </c>
      <c r="AM127" s="451">
        <v>0</v>
      </c>
      <c r="AN127" s="451">
        <v>0</v>
      </c>
      <c r="AO127" s="451">
        <v>1897469</v>
      </c>
      <c r="AP127" s="451">
        <v>742939</v>
      </c>
      <c r="AQ127" s="324"/>
      <c r="AR127" s="310"/>
      <c r="AS127" s="310"/>
      <c r="AT127" s="310"/>
      <c r="AU127" s="310"/>
      <c r="AV127" s="310"/>
      <c r="AW127" s="310"/>
      <c r="AX127" s="310"/>
      <c r="AY127" s="310"/>
      <c r="AZ127" s="310"/>
      <c r="BA127" s="310"/>
      <c r="BB127" s="310"/>
      <c r="BC127" s="310"/>
      <c r="BD127" s="310"/>
      <c r="BE127" s="310"/>
      <c r="BF127" s="310"/>
      <c r="BG127" s="310"/>
      <c r="BH127" s="310"/>
      <c r="BI127" s="310"/>
      <c r="BJ127" s="310"/>
      <c r="BK127" s="310"/>
      <c r="BL127" s="310"/>
      <c r="BM127" s="310"/>
      <c r="BN127" s="310"/>
      <c r="BO127" s="310"/>
      <c r="BP127" s="310"/>
      <c r="BQ127" s="310"/>
      <c r="BR127" s="310"/>
      <c r="BS127" s="310"/>
      <c r="BT127" s="310"/>
      <c r="BU127" s="310"/>
      <c r="BV127" s="310"/>
      <c r="BW127" s="310"/>
      <c r="BX127" s="310"/>
      <c r="BY127" s="310"/>
      <c r="BZ127" s="310"/>
      <c r="CA127" s="310"/>
      <c r="CB127" s="310"/>
      <c r="CC127" s="310"/>
      <c r="CD127" s="310"/>
      <c r="CE127" s="310"/>
      <c r="CF127" s="310"/>
      <c r="CG127" s="310"/>
      <c r="CH127" s="310"/>
      <c r="CI127" s="310"/>
      <c r="CJ127" s="310"/>
      <c r="CK127" s="310"/>
      <c r="CL127" s="310"/>
      <c r="CM127" s="310"/>
      <c r="CN127" s="310"/>
      <c r="CO127" s="310"/>
      <c r="CP127" s="310"/>
      <c r="CQ127" s="310"/>
      <c r="CR127" s="310"/>
      <c r="CS127" s="310"/>
      <c r="CT127" s="310"/>
      <c r="CU127" s="310"/>
      <c r="CV127" s="310"/>
      <c r="CW127" s="310"/>
      <c r="CX127" s="310"/>
      <c r="CY127" s="310"/>
      <c r="CZ127" s="310"/>
      <c r="DA127" s="310"/>
      <c r="DB127" s="310"/>
      <c r="DC127" s="310"/>
      <c r="DD127" s="310"/>
      <c r="DE127" s="310"/>
      <c r="DF127" s="310"/>
      <c r="DG127" s="310"/>
      <c r="DH127" s="310"/>
      <c r="DI127" s="310"/>
      <c r="DJ127" s="310"/>
      <c r="DK127" s="310"/>
      <c r="DL127" s="310"/>
      <c r="DM127" s="310"/>
      <c r="DN127" s="310"/>
      <c r="DO127" s="310"/>
      <c r="DP127" s="310"/>
      <c r="DQ127" s="310"/>
      <c r="DR127" s="310"/>
      <c r="DS127" s="310"/>
      <c r="DT127" s="310"/>
      <c r="DU127" s="310"/>
      <c r="DV127" s="310"/>
      <c r="DW127" s="310"/>
      <c r="DX127" s="310"/>
      <c r="DY127" s="310"/>
      <c r="DZ127" s="310"/>
      <c r="EA127" s="310"/>
      <c r="EB127" s="310"/>
      <c r="EC127" s="310"/>
      <c r="ED127" s="310"/>
      <c r="EE127" s="310"/>
      <c r="EF127" s="310"/>
      <c r="EG127" s="310"/>
      <c r="EH127" s="310"/>
      <c r="EI127" s="310"/>
      <c r="EJ127" s="310"/>
      <c r="EK127" s="310"/>
      <c r="EL127" s="310"/>
      <c r="EM127" s="310"/>
      <c r="EN127" s="310"/>
      <c r="EO127" s="310"/>
      <c r="EP127" s="310"/>
      <c r="EQ127" s="310"/>
      <c r="ER127" s="310"/>
      <c r="ES127" s="310"/>
      <c r="ET127" s="310"/>
      <c r="EU127" s="310"/>
      <c r="EV127" s="310"/>
      <c r="EW127" s="310"/>
      <c r="EX127" s="310"/>
      <c r="EY127" s="310"/>
      <c r="EZ127" s="310"/>
      <c r="FA127" s="310"/>
      <c r="FB127" s="310"/>
      <c r="FC127" s="310"/>
      <c r="FD127" s="310"/>
      <c r="FE127" s="311"/>
      <c r="FF127" s="312"/>
    </row>
    <row r="128" spans="1:162" ht="12.75" x14ac:dyDescent="0.2">
      <c r="A128" s="446">
        <v>121</v>
      </c>
      <c r="B128" s="447" t="s">
        <v>125</v>
      </c>
      <c r="C128" s="448" t="s">
        <v>1098</v>
      </c>
      <c r="D128" s="449" t="s">
        <v>1099</v>
      </c>
      <c r="E128" s="450" t="s">
        <v>124</v>
      </c>
      <c r="F128" s="451">
        <v>51298363</v>
      </c>
      <c r="G128" s="451">
        <v>0</v>
      </c>
      <c r="H128" s="451">
        <v>0</v>
      </c>
      <c r="I128" s="451">
        <v>51298363</v>
      </c>
      <c r="J128" s="451">
        <v>1087244</v>
      </c>
      <c r="K128" s="451">
        <v>0</v>
      </c>
      <c r="L128" s="451">
        <v>0</v>
      </c>
      <c r="M128" s="451">
        <v>1087244</v>
      </c>
      <c r="N128" s="451">
        <v>285191</v>
      </c>
      <c r="O128" s="451">
        <v>0</v>
      </c>
      <c r="P128" s="451">
        <v>0</v>
      </c>
      <c r="Q128" s="451">
        <v>285191</v>
      </c>
      <c r="R128" s="451">
        <v>1400000</v>
      </c>
      <c r="S128" s="451">
        <v>0</v>
      </c>
      <c r="T128" s="451">
        <v>0</v>
      </c>
      <c r="U128" s="451">
        <v>1400000</v>
      </c>
      <c r="V128" s="451">
        <v>0</v>
      </c>
      <c r="W128" s="451">
        <v>0</v>
      </c>
      <c r="X128" s="451">
        <v>0</v>
      </c>
      <c r="Y128" s="451">
        <v>0</v>
      </c>
      <c r="Z128" s="451">
        <v>48525928</v>
      </c>
      <c r="AA128" s="451">
        <v>0</v>
      </c>
      <c r="AB128" s="451">
        <v>0</v>
      </c>
      <c r="AC128" s="451">
        <v>48525928</v>
      </c>
      <c r="AD128" s="451">
        <v>0</v>
      </c>
      <c r="AE128" s="451">
        <v>0</v>
      </c>
      <c r="AF128" s="451">
        <v>0</v>
      </c>
      <c r="AG128" s="451">
        <v>0</v>
      </c>
      <c r="AH128" s="451">
        <v>0</v>
      </c>
      <c r="AI128" s="451">
        <v>0</v>
      </c>
      <c r="AJ128" s="451">
        <v>0</v>
      </c>
      <c r="AK128" s="451">
        <v>0</v>
      </c>
      <c r="AL128" s="451">
        <v>0</v>
      </c>
      <c r="AM128" s="451">
        <v>0</v>
      </c>
      <c r="AN128" s="451">
        <v>0</v>
      </c>
      <c r="AO128" s="451">
        <v>3845514</v>
      </c>
      <c r="AP128" s="451">
        <v>183926</v>
      </c>
      <c r="AQ128" s="324"/>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310"/>
      <c r="BS128" s="310"/>
      <c r="BT128" s="310"/>
      <c r="BU128" s="310"/>
      <c r="BV128" s="310"/>
      <c r="BW128" s="310"/>
      <c r="BX128" s="310"/>
      <c r="BY128" s="310"/>
      <c r="BZ128" s="310"/>
      <c r="CA128" s="310"/>
      <c r="CB128" s="310"/>
      <c r="CC128" s="310"/>
      <c r="CD128" s="310"/>
      <c r="CE128" s="310"/>
      <c r="CF128" s="310"/>
      <c r="CG128" s="310"/>
      <c r="CH128" s="310"/>
      <c r="CI128" s="310"/>
      <c r="CJ128" s="310"/>
      <c r="CK128" s="310"/>
      <c r="CL128" s="310"/>
      <c r="CM128" s="310"/>
      <c r="CN128" s="310"/>
      <c r="CO128" s="310"/>
      <c r="CP128" s="310"/>
      <c r="CQ128" s="310"/>
      <c r="CR128" s="310"/>
      <c r="CS128" s="310"/>
      <c r="CT128" s="310"/>
      <c r="CU128" s="310"/>
      <c r="CV128" s="310"/>
      <c r="CW128" s="310"/>
      <c r="CX128" s="310"/>
      <c r="CY128" s="310"/>
      <c r="CZ128" s="310"/>
      <c r="DA128" s="310"/>
      <c r="DB128" s="310"/>
      <c r="DC128" s="310"/>
      <c r="DD128" s="310"/>
      <c r="DE128" s="310"/>
      <c r="DF128" s="310"/>
      <c r="DG128" s="310"/>
      <c r="DH128" s="310"/>
      <c r="DI128" s="310"/>
      <c r="DJ128" s="310"/>
      <c r="DK128" s="310"/>
      <c r="DL128" s="310"/>
      <c r="DM128" s="310"/>
      <c r="DN128" s="310"/>
      <c r="DO128" s="310"/>
      <c r="DP128" s="310"/>
      <c r="DQ128" s="310"/>
      <c r="DR128" s="310"/>
      <c r="DS128" s="310"/>
      <c r="DT128" s="310"/>
      <c r="DU128" s="310"/>
      <c r="DV128" s="310"/>
      <c r="DW128" s="310"/>
      <c r="DX128" s="310"/>
      <c r="DY128" s="310"/>
      <c r="DZ128" s="310"/>
      <c r="EA128" s="310"/>
      <c r="EB128" s="310"/>
      <c r="EC128" s="310"/>
      <c r="ED128" s="310"/>
      <c r="EE128" s="310"/>
      <c r="EF128" s="310"/>
      <c r="EG128" s="310"/>
      <c r="EH128" s="310"/>
      <c r="EI128" s="310"/>
      <c r="EJ128" s="310"/>
      <c r="EK128" s="310"/>
      <c r="EL128" s="310"/>
      <c r="EM128" s="310"/>
      <c r="EN128" s="310"/>
      <c r="EO128" s="310"/>
      <c r="EP128" s="310"/>
      <c r="EQ128" s="310"/>
      <c r="ER128" s="310"/>
      <c r="ES128" s="310"/>
      <c r="ET128" s="310"/>
      <c r="EU128" s="310"/>
      <c r="EV128" s="310"/>
      <c r="EW128" s="310"/>
      <c r="EX128" s="310"/>
      <c r="EY128" s="310"/>
      <c r="EZ128" s="310"/>
      <c r="FA128" s="310"/>
      <c r="FB128" s="310"/>
      <c r="FC128" s="310"/>
      <c r="FD128" s="310"/>
      <c r="FE128" s="311"/>
      <c r="FF128" s="312"/>
    </row>
    <row r="129" spans="1:162" ht="12.75" x14ac:dyDescent="0.2">
      <c r="A129" s="446">
        <v>122</v>
      </c>
      <c r="B129" s="447" t="s">
        <v>127</v>
      </c>
      <c r="C129" s="448" t="s">
        <v>1093</v>
      </c>
      <c r="D129" s="449" t="s">
        <v>1094</v>
      </c>
      <c r="E129" s="450" t="s">
        <v>126</v>
      </c>
      <c r="F129" s="451">
        <v>29141523</v>
      </c>
      <c r="G129" s="451">
        <v>0</v>
      </c>
      <c r="H129" s="451">
        <v>0</v>
      </c>
      <c r="I129" s="451">
        <v>29141523</v>
      </c>
      <c r="J129" s="451">
        <v>446773.97</v>
      </c>
      <c r="K129" s="451">
        <v>0</v>
      </c>
      <c r="L129" s="451">
        <v>0</v>
      </c>
      <c r="M129" s="451">
        <v>446773.97</v>
      </c>
      <c r="N129" s="451">
        <v>8352.41</v>
      </c>
      <c r="O129" s="451">
        <v>0</v>
      </c>
      <c r="P129" s="451">
        <v>0</v>
      </c>
      <c r="Q129" s="451">
        <v>8352.41</v>
      </c>
      <c r="R129" s="451">
        <v>458054.77</v>
      </c>
      <c r="S129" s="451">
        <v>0</v>
      </c>
      <c r="T129" s="451">
        <v>0</v>
      </c>
      <c r="U129" s="451">
        <v>458054.77</v>
      </c>
      <c r="V129" s="451">
        <v>1438654.58</v>
      </c>
      <c r="W129" s="451">
        <v>0</v>
      </c>
      <c r="X129" s="451">
        <v>0</v>
      </c>
      <c r="Y129" s="451">
        <v>1438654.58</v>
      </c>
      <c r="Z129" s="451">
        <v>26789687</v>
      </c>
      <c r="AA129" s="451">
        <v>0</v>
      </c>
      <c r="AB129" s="451">
        <v>0</v>
      </c>
      <c r="AC129" s="451">
        <v>26789687</v>
      </c>
      <c r="AD129" s="451">
        <v>0</v>
      </c>
      <c r="AE129" s="451">
        <v>0</v>
      </c>
      <c r="AF129" s="451">
        <v>0</v>
      </c>
      <c r="AG129" s="451">
        <v>0</v>
      </c>
      <c r="AH129" s="451">
        <v>0</v>
      </c>
      <c r="AI129" s="451">
        <v>0</v>
      </c>
      <c r="AJ129" s="451">
        <v>0</v>
      </c>
      <c r="AK129" s="451">
        <v>0</v>
      </c>
      <c r="AL129" s="451">
        <v>0</v>
      </c>
      <c r="AM129" s="451">
        <v>0</v>
      </c>
      <c r="AN129" s="451">
        <v>0</v>
      </c>
      <c r="AO129" s="451">
        <v>1790175.08</v>
      </c>
      <c r="AP129" s="451">
        <v>508949.35</v>
      </c>
      <c r="AQ129" s="324"/>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c r="BT129" s="310"/>
      <c r="BU129" s="310"/>
      <c r="BV129" s="310"/>
      <c r="BW129" s="310"/>
      <c r="BX129" s="310"/>
      <c r="BY129" s="310"/>
      <c r="BZ129" s="310"/>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0"/>
      <c r="CW129" s="310"/>
      <c r="CX129" s="310"/>
      <c r="CY129" s="310"/>
      <c r="CZ129" s="310"/>
      <c r="DA129" s="310"/>
      <c r="DB129" s="310"/>
      <c r="DC129" s="310"/>
      <c r="DD129" s="310"/>
      <c r="DE129" s="310"/>
      <c r="DF129" s="310"/>
      <c r="DG129" s="310"/>
      <c r="DH129" s="310"/>
      <c r="DI129" s="310"/>
      <c r="DJ129" s="310"/>
      <c r="DK129" s="310"/>
      <c r="DL129" s="310"/>
      <c r="DM129" s="310"/>
      <c r="DN129" s="310"/>
      <c r="DO129" s="310"/>
      <c r="DP129" s="310"/>
      <c r="DQ129" s="310"/>
      <c r="DR129" s="310"/>
      <c r="DS129" s="310"/>
      <c r="DT129" s="310"/>
      <c r="DU129" s="310"/>
      <c r="DV129" s="310"/>
      <c r="DW129" s="310"/>
      <c r="DX129" s="310"/>
      <c r="DY129" s="310"/>
      <c r="DZ129" s="310"/>
      <c r="EA129" s="310"/>
      <c r="EB129" s="310"/>
      <c r="EC129" s="310"/>
      <c r="ED129" s="310"/>
      <c r="EE129" s="310"/>
      <c r="EF129" s="310"/>
      <c r="EG129" s="310"/>
      <c r="EH129" s="310"/>
      <c r="EI129" s="310"/>
      <c r="EJ129" s="310"/>
      <c r="EK129" s="310"/>
      <c r="EL129" s="310"/>
      <c r="EM129" s="310"/>
      <c r="EN129" s="310"/>
      <c r="EO129" s="310"/>
      <c r="EP129" s="310"/>
      <c r="EQ129" s="310"/>
      <c r="ER129" s="310"/>
      <c r="ES129" s="310"/>
      <c r="ET129" s="310"/>
      <c r="EU129" s="310"/>
      <c r="EV129" s="310"/>
      <c r="EW129" s="310"/>
      <c r="EX129" s="310"/>
      <c r="EY129" s="310"/>
      <c r="EZ129" s="310"/>
      <c r="FA129" s="310"/>
      <c r="FB129" s="310"/>
      <c r="FC129" s="310"/>
      <c r="FD129" s="310"/>
      <c r="FE129" s="311"/>
      <c r="FF129" s="312"/>
    </row>
    <row r="130" spans="1:162" ht="12.75" x14ac:dyDescent="0.2">
      <c r="A130" s="446">
        <v>123</v>
      </c>
      <c r="B130" s="447" t="s">
        <v>129</v>
      </c>
      <c r="C130" s="448" t="s">
        <v>794</v>
      </c>
      <c r="D130" s="449" t="s">
        <v>1105</v>
      </c>
      <c r="E130" s="450" t="s">
        <v>719</v>
      </c>
      <c r="F130" s="451">
        <v>30021500</v>
      </c>
      <c r="G130" s="451">
        <v>0</v>
      </c>
      <c r="H130" s="451">
        <v>0</v>
      </c>
      <c r="I130" s="451">
        <v>30021500</v>
      </c>
      <c r="J130" s="451">
        <v>255892</v>
      </c>
      <c r="K130" s="451">
        <v>0</v>
      </c>
      <c r="L130" s="451">
        <v>0</v>
      </c>
      <c r="M130" s="451">
        <v>255892</v>
      </c>
      <c r="N130" s="451">
        <v>96859</v>
      </c>
      <c r="O130" s="451">
        <v>0</v>
      </c>
      <c r="P130" s="451">
        <v>0</v>
      </c>
      <c r="Q130" s="451">
        <v>96859</v>
      </c>
      <c r="R130" s="451">
        <v>1040738</v>
      </c>
      <c r="S130" s="451">
        <v>0</v>
      </c>
      <c r="T130" s="451">
        <v>0</v>
      </c>
      <c r="U130" s="451">
        <v>1040738</v>
      </c>
      <c r="V130" s="451">
        <v>2923061</v>
      </c>
      <c r="W130" s="451">
        <v>0</v>
      </c>
      <c r="X130" s="451">
        <v>0</v>
      </c>
      <c r="Y130" s="451">
        <v>2923061</v>
      </c>
      <c r="Z130" s="451">
        <v>25704950</v>
      </c>
      <c r="AA130" s="451">
        <v>0</v>
      </c>
      <c r="AB130" s="451">
        <v>0</v>
      </c>
      <c r="AC130" s="451">
        <v>25704950</v>
      </c>
      <c r="AD130" s="451">
        <v>0</v>
      </c>
      <c r="AE130" s="451">
        <v>0</v>
      </c>
      <c r="AF130" s="451">
        <v>0</v>
      </c>
      <c r="AG130" s="451">
        <v>0</v>
      </c>
      <c r="AH130" s="451">
        <v>0</v>
      </c>
      <c r="AI130" s="451">
        <v>0</v>
      </c>
      <c r="AJ130" s="451">
        <v>0</v>
      </c>
      <c r="AK130" s="451">
        <v>0</v>
      </c>
      <c r="AL130" s="451">
        <v>0</v>
      </c>
      <c r="AM130" s="451">
        <v>0</v>
      </c>
      <c r="AN130" s="451">
        <v>0</v>
      </c>
      <c r="AO130" s="451">
        <v>1414689</v>
      </c>
      <c r="AP130" s="451">
        <v>538863</v>
      </c>
      <c r="AQ130" s="324"/>
      <c r="AR130" s="310"/>
      <c r="AS130" s="310"/>
      <c r="AT130" s="310"/>
      <c r="AU130" s="310"/>
      <c r="AV130" s="310"/>
      <c r="AW130" s="310"/>
      <c r="AX130" s="310"/>
      <c r="AY130" s="310"/>
      <c r="AZ130" s="310"/>
      <c r="BA130" s="310"/>
      <c r="BB130" s="310"/>
      <c r="BC130" s="310"/>
      <c r="BD130" s="310"/>
      <c r="BE130" s="310"/>
      <c r="BF130" s="310"/>
      <c r="BG130" s="310"/>
      <c r="BH130" s="310"/>
      <c r="BI130" s="310"/>
      <c r="BJ130" s="310"/>
      <c r="BK130" s="310"/>
      <c r="BL130" s="310"/>
      <c r="BM130" s="310"/>
      <c r="BN130" s="310"/>
      <c r="BO130" s="310"/>
      <c r="BP130" s="310"/>
      <c r="BQ130" s="310"/>
      <c r="BR130" s="310"/>
      <c r="BS130" s="310"/>
      <c r="BT130" s="310"/>
      <c r="BU130" s="310"/>
      <c r="BV130" s="310"/>
      <c r="BW130" s="310"/>
      <c r="BX130" s="310"/>
      <c r="BY130" s="310"/>
      <c r="BZ130" s="310"/>
      <c r="CA130" s="310"/>
      <c r="CB130" s="310"/>
      <c r="CC130" s="310"/>
      <c r="CD130" s="310"/>
      <c r="CE130" s="310"/>
      <c r="CF130" s="310"/>
      <c r="CG130" s="310"/>
      <c r="CH130" s="310"/>
      <c r="CI130" s="310"/>
      <c r="CJ130" s="310"/>
      <c r="CK130" s="310"/>
      <c r="CL130" s="310"/>
      <c r="CM130" s="310"/>
      <c r="CN130" s="310"/>
      <c r="CO130" s="310"/>
      <c r="CP130" s="310"/>
      <c r="CQ130" s="310"/>
      <c r="CR130" s="310"/>
      <c r="CS130" s="310"/>
      <c r="CT130" s="310"/>
      <c r="CU130" s="310"/>
      <c r="CV130" s="310"/>
      <c r="CW130" s="310"/>
      <c r="CX130" s="310"/>
      <c r="CY130" s="310"/>
      <c r="CZ130" s="310"/>
      <c r="DA130" s="310"/>
      <c r="DB130" s="310"/>
      <c r="DC130" s="310"/>
      <c r="DD130" s="310"/>
      <c r="DE130" s="310"/>
      <c r="DF130" s="310"/>
      <c r="DG130" s="310"/>
      <c r="DH130" s="310"/>
      <c r="DI130" s="310"/>
      <c r="DJ130" s="310"/>
      <c r="DK130" s="310"/>
      <c r="DL130" s="310"/>
      <c r="DM130" s="310"/>
      <c r="DN130" s="310"/>
      <c r="DO130" s="310"/>
      <c r="DP130" s="310"/>
      <c r="DQ130" s="310"/>
      <c r="DR130" s="310"/>
      <c r="DS130" s="310"/>
      <c r="DT130" s="310"/>
      <c r="DU130" s="310"/>
      <c r="DV130" s="310"/>
      <c r="DW130" s="310"/>
      <c r="DX130" s="310"/>
      <c r="DY130" s="310"/>
      <c r="DZ130" s="310"/>
      <c r="EA130" s="310"/>
      <c r="EB130" s="310"/>
      <c r="EC130" s="310"/>
      <c r="ED130" s="310"/>
      <c r="EE130" s="310"/>
      <c r="EF130" s="310"/>
      <c r="EG130" s="310"/>
      <c r="EH130" s="310"/>
      <c r="EI130" s="310"/>
      <c r="EJ130" s="310"/>
      <c r="EK130" s="310"/>
      <c r="EL130" s="310"/>
      <c r="EM130" s="310"/>
      <c r="EN130" s="310"/>
      <c r="EO130" s="310"/>
      <c r="EP130" s="310"/>
      <c r="EQ130" s="310"/>
      <c r="ER130" s="310"/>
      <c r="ES130" s="310"/>
      <c r="ET130" s="310"/>
      <c r="EU130" s="310"/>
      <c r="EV130" s="310"/>
      <c r="EW130" s="310"/>
      <c r="EX130" s="310"/>
      <c r="EY130" s="310"/>
      <c r="EZ130" s="310"/>
      <c r="FA130" s="310"/>
      <c r="FB130" s="310"/>
      <c r="FC130" s="310"/>
      <c r="FD130" s="310"/>
      <c r="FE130" s="311"/>
      <c r="FF130" s="312"/>
    </row>
    <row r="131" spans="1:162" ht="12.75" x14ac:dyDescent="0.2">
      <c r="A131" s="446">
        <v>124</v>
      </c>
      <c r="B131" s="447" t="s">
        <v>131</v>
      </c>
      <c r="C131" s="448" t="s">
        <v>1093</v>
      </c>
      <c r="D131" s="449" t="s">
        <v>1094</v>
      </c>
      <c r="E131" s="450" t="s">
        <v>130</v>
      </c>
      <c r="F131" s="451">
        <v>21715458</v>
      </c>
      <c r="G131" s="451">
        <v>0</v>
      </c>
      <c r="H131" s="451">
        <v>0</v>
      </c>
      <c r="I131" s="451">
        <v>21715458</v>
      </c>
      <c r="J131" s="451">
        <v>-5664</v>
      </c>
      <c r="K131" s="451">
        <v>0</v>
      </c>
      <c r="L131" s="451">
        <v>0</v>
      </c>
      <c r="M131" s="451">
        <v>-5664</v>
      </c>
      <c r="N131" s="451">
        <v>-6756</v>
      </c>
      <c r="O131" s="451">
        <v>0</v>
      </c>
      <c r="P131" s="451">
        <v>0</v>
      </c>
      <c r="Q131" s="451">
        <v>-6756</v>
      </c>
      <c r="R131" s="451">
        <v>514476</v>
      </c>
      <c r="S131" s="451">
        <v>0</v>
      </c>
      <c r="T131" s="451">
        <v>0</v>
      </c>
      <c r="U131" s="451">
        <v>514476</v>
      </c>
      <c r="V131" s="451">
        <v>1285188</v>
      </c>
      <c r="W131" s="451">
        <v>0</v>
      </c>
      <c r="X131" s="451">
        <v>0</v>
      </c>
      <c r="Y131" s="451">
        <v>1285188</v>
      </c>
      <c r="Z131" s="451">
        <v>19928214</v>
      </c>
      <c r="AA131" s="451">
        <v>0</v>
      </c>
      <c r="AB131" s="451">
        <v>0</v>
      </c>
      <c r="AC131" s="451">
        <v>19928214</v>
      </c>
      <c r="AD131" s="451">
        <v>0</v>
      </c>
      <c r="AE131" s="451">
        <v>0</v>
      </c>
      <c r="AF131" s="451">
        <v>0</v>
      </c>
      <c r="AG131" s="451">
        <v>0</v>
      </c>
      <c r="AH131" s="451">
        <v>0</v>
      </c>
      <c r="AI131" s="451">
        <v>0</v>
      </c>
      <c r="AJ131" s="451">
        <v>0</v>
      </c>
      <c r="AK131" s="451">
        <v>0</v>
      </c>
      <c r="AL131" s="451">
        <v>0</v>
      </c>
      <c r="AM131" s="451">
        <v>0</v>
      </c>
      <c r="AN131" s="451">
        <v>0</v>
      </c>
      <c r="AO131" s="451">
        <v>1222816</v>
      </c>
      <c r="AP131" s="451">
        <v>265085</v>
      </c>
      <c r="AQ131" s="324" t="s">
        <v>1120</v>
      </c>
      <c r="AR131" s="310"/>
      <c r="AS131" s="310"/>
      <c r="AT131" s="310"/>
      <c r="AU131" s="310"/>
      <c r="AV131" s="310"/>
      <c r="AW131" s="310"/>
      <c r="AX131" s="310"/>
      <c r="AY131" s="310"/>
      <c r="AZ131" s="310"/>
      <c r="BA131" s="310"/>
      <c r="BB131" s="310"/>
      <c r="BC131" s="310"/>
      <c r="BD131" s="310"/>
      <c r="BE131" s="310"/>
      <c r="BF131" s="310"/>
      <c r="BG131" s="310"/>
      <c r="BH131" s="310"/>
      <c r="BI131" s="310"/>
      <c r="BJ131" s="310"/>
      <c r="BK131" s="310"/>
      <c r="BL131" s="310"/>
      <c r="BM131" s="310"/>
      <c r="BN131" s="310"/>
      <c r="BO131" s="310"/>
      <c r="BP131" s="310"/>
      <c r="BQ131" s="310"/>
      <c r="BR131" s="310"/>
      <c r="BS131" s="310"/>
      <c r="BT131" s="310"/>
      <c r="BU131" s="310"/>
      <c r="BV131" s="310"/>
      <c r="BW131" s="310"/>
      <c r="BX131" s="310"/>
      <c r="BY131" s="310"/>
      <c r="BZ131" s="310"/>
      <c r="CA131" s="310"/>
      <c r="CB131" s="310"/>
      <c r="CC131" s="310"/>
      <c r="CD131" s="310"/>
      <c r="CE131" s="310"/>
      <c r="CF131" s="310"/>
      <c r="CG131" s="310"/>
      <c r="CH131" s="310"/>
      <c r="CI131" s="310"/>
      <c r="CJ131" s="310"/>
      <c r="CK131" s="310"/>
      <c r="CL131" s="310"/>
      <c r="CM131" s="310"/>
      <c r="CN131" s="310"/>
      <c r="CO131" s="310"/>
      <c r="CP131" s="310"/>
      <c r="CQ131" s="310"/>
      <c r="CR131" s="310"/>
      <c r="CS131" s="310"/>
      <c r="CT131" s="310"/>
      <c r="CU131" s="310"/>
      <c r="CV131" s="310"/>
      <c r="CW131" s="310"/>
      <c r="CX131" s="310"/>
      <c r="CY131" s="310"/>
      <c r="CZ131" s="310"/>
      <c r="DA131" s="310"/>
      <c r="DB131" s="310"/>
      <c r="DC131" s="310"/>
      <c r="DD131" s="310"/>
      <c r="DE131" s="310"/>
      <c r="DF131" s="310"/>
      <c r="DG131" s="310"/>
      <c r="DH131" s="310"/>
      <c r="DI131" s="310"/>
      <c r="DJ131" s="310"/>
      <c r="DK131" s="310"/>
      <c r="DL131" s="310"/>
      <c r="DM131" s="310"/>
      <c r="DN131" s="310"/>
      <c r="DO131" s="310"/>
      <c r="DP131" s="310"/>
      <c r="DQ131" s="310"/>
      <c r="DR131" s="310"/>
      <c r="DS131" s="310"/>
      <c r="DT131" s="310"/>
      <c r="DU131" s="310"/>
      <c r="DV131" s="310"/>
      <c r="DW131" s="310"/>
      <c r="DX131" s="310"/>
      <c r="DY131" s="310"/>
      <c r="DZ131" s="310"/>
      <c r="EA131" s="310"/>
      <c r="EB131" s="310"/>
      <c r="EC131" s="310"/>
      <c r="ED131" s="310"/>
      <c r="EE131" s="310"/>
      <c r="EF131" s="310"/>
      <c r="EG131" s="310"/>
      <c r="EH131" s="310"/>
      <c r="EI131" s="310"/>
      <c r="EJ131" s="310"/>
      <c r="EK131" s="310"/>
      <c r="EL131" s="310"/>
      <c r="EM131" s="310"/>
      <c r="EN131" s="310"/>
      <c r="EO131" s="310"/>
      <c r="EP131" s="310"/>
      <c r="EQ131" s="310"/>
      <c r="ER131" s="310"/>
      <c r="ES131" s="310"/>
      <c r="ET131" s="310"/>
      <c r="EU131" s="310"/>
      <c r="EV131" s="310"/>
      <c r="EW131" s="310"/>
      <c r="EX131" s="310"/>
      <c r="EY131" s="310"/>
      <c r="EZ131" s="310"/>
      <c r="FA131" s="310"/>
      <c r="FB131" s="310"/>
      <c r="FC131" s="310"/>
      <c r="FD131" s="310"/>
      <c r="FE131" s="311"/>
      <c r="FF131" s="312"/>
    </row>
    <row r="132" spans="1:162" ht="12.75" x14ac:dyDescent="0.2">
      <c r="A132" s="446">
        <v>125</v>
      </c>
      <c r="B132" s="447" t="s">
        <v>133</v>
      </c>
      <c r="C132" s="448" t="s">
        <v>1093</v>
      </c>
      <c r="D132" s="449" t="s">
        <v>1094</v>
      </c>
      <c r="E132" s="450" t="s">
        <v>132</v>
      </c>
      <c r="F132" s="451">
        <v>31850405</v>
      </c>
      <c r="G132" s="451">
        <v>0</v>
      </c>
      <c r="H132" s="451">
        <v>0</v>
      </c>
      <c r="I132" s="451">
        <v>31850405</v>
      </c>
      <c r="J132" s="451">
        <v>0</v>
      </c>
      <c r="K132" s="451">
        <v>0</v>
      </c>
      <c r="L132" s="451">
        <v>0</v>
      </c>
      <c r="M132" s="451">
        <v>0</v>
      </c>
      <c r="N132" s="451">
        <v>-76196</v>
      </c>
      <c r="O132" s="451">
        <v>0</v>
      </c>
      <c r="P132" s="451">
        <v>0</v>
      </c>
      <c r="Q132" s="451">
        <v>-76196</v>
      </c>
      <c r="R132" s="451">
        <v>459648</v>
      </c>
      <c r="S132" s="451">
        <v>0</v>
      </c>
      <c r="T132" s="451">
        <v>0</v>
      </c>
      <c r="U132" s="451">
        <v>459648</v>
      </c>
      <c r="V132" s="451">
        <v>661461</v>
      </c>
      <c r="W132" s="451">
        <v>0</v>
      </c>
      <c r="X132" s="451">
        <v>0</v>
      </c>
      <c r="Y132" s="451">
        <v>661461</v>
      </c>
      <c r="Z132" s="451">
        <v>30805492</v>
      </c>
      <c r="AA132" s="451">
        <v>0</v>
      </c>
      <c r="AB132" s="451">
        <v>0</v>
      </c>
      <c r="AC132" s="451">
        <v>30805492</v>
      </c>
      <c r="AD132" s="451">
        <v>0</v>
      </c>
      <c r="AE132" s="451">
        <v>0</v>
      </c>
      <c r="AF132" s="451">
        <v>0</v>
      </c>
      <c r="AG132" s="451">
        <v>0</v>
      </c>
      <c r="AH132" s="451">
        <v>0</v>
      </c>
      <c r="AI132" s="451">
        <v>0</v>
      </c>
      <c r="AJ132" s="451">
        <v>0</v>
      </c>
      <c r="AK132" s="451">
        <v>0</v>
      </c>
      <c r="AL132" s="451">
        <v>0</v>
      </c>
      <c r="AM132" s="451">
        <v>0</v>
      </c>
      <c r="AN132" s="451">
        <v>0</v>
      </c>
      <c r="AO132" s="451">
        <v>559640</v>
      </c>
      <c r="AP132" s="451">
        <v>563603</v>
      </c>
      <c r="AQ132" s="324"/>
      <c r="AR132" s="310"/>
      <c r="AS132" s="310"/>
      <c r="AT132" s="310"/>
      <c r="AU132" s="310"/>
      <c r="AV132" s="310"/>
      <c r="AW132" s="310"/>
      <c r="AX132" s="310"/>
      <c r="AY132" s="310"/>
      <c r="AZ132" s="310"/>
      <c r="BA132" s="310"/>
      <c r="BB132" s="310"/>
      <c r="BC132" s="310"/>
      <c r="BD132" s="310"/>
      <c r="BE132" s="310"/>
      <c r="BF132" s="310"/>
      <c r="BG132" s="310"/>
      <c r="BH132" s="310"/>
      <c r="BI132" s="310"/>
      <c r="BJ132" s="310"/>
      <c r="BK132" s="310"/>
      <c r="BL132" s="310"/>
      <c r="BM132" s="310"/>
      <c r="BN132" s="310"/>
      <c r="BO132" s="310"/>
      <c r="BP132" s="310"/>
      <c r="BQ132" s="310"/>
      <c r="BR132" s="310"/>
      <c r="BS132" s="310"/>
      <c r="BT132" s="310"/>
      <c r="BU132" s="310"/>
      <c r="BV132" s="310"/>
      <c r="BW132" s="310"/>
      <c r="BX132" s="310"/>
      <c r="BY132" s="310"/>
      <c r="BZ132" s="310"/>
      <c r="CA132" s="310"/>
      <c r="CB132" s="310"/>
      <c r="CC132" s="310"/>
      <c r="CD132" s="310"/>
      <c r="CE132" s="310"/>
      <c r="CF132" s="310"/>
      <c r="CG132" s="310"/>
      <c r="CH132" s="310"/>
      <c r="CI132" s="310"/>
      <c r="CJ132" s="310"/>
      <c r="CK132" s="310"/>
      <c r="CL132" s="310"/>
      <c r="CM132" s="310"/>
      <c r="CN132" s="310"/>
      <c r="CO132" s="310"/>
      <c r="CP132" s="310"/>
      <c r="CQ132" s="310"/>
      <c r="CR132" s="310"/>
      <c r="CS132" s="310"/>
      <c r="CT132" s="310"/>
      <c r="CU132" s="310"/>
      <c r="CV132" s="310"/>
      <c r="CW132" s="310"/>
      <c r="CX132" s="310"/>
      <c r="CY132" s="310"/>
      <c r="CZ132" s="310"/>
      <c r="DA132" s="310"/>
      <c r="DB132" s="310"/>
      <c r="DC132" s="310"/>
      <c r="DD132" s="310"/>
      <c r="DE132" s="310"/>
      <c r="DF132" s="310"/>
      <c r="DG132" s="310"/>
      <c r="DH132" s="310"/>
      <c r="DI132" s="310"/>
      <c r="DJ132" s="310"/>
      <c r="DK132" s="310"/>
      <c r="DL132" s="310"/>
      <c r="DM132" s="310"/>
      <c r="DN132" s="310"/>
      <c r="DO132" s="310"/>
      <c r="DP132" s="310"/>
      <c r="DQ132" s="310"/>
      <c r="DR132" s="310"/>
      <c r="DS132" s="310"/>
      <c r="DT132" s="310"/>
      <c r="DU132" s="310"/>
      <c r="DV132" s="310"/>
      <c r="DW132" s="310"/>
      <c r="DX132" s="310"/>
      <c r="DY132" s="310"/>
      <c r="DZ132" s="310"/>
      <c r="EA132" s="310"/>
      <c r="EB132" s="310"/>
      <c r="EC132" s="310"/>
      <c r="ED132" s="310"/>
      <c r="EE132" s="310"/>
      <c r="EF132" s="310"/>
      <c r="EG132" s="310"/>
      <c r="EH132" s="310"/>
      <c r="EI132" s="310"/>
      <c r="EJ132" s="310"/>
      <c r="EK132" s="310"/>
      <c r="EL132" s="310"/>
      <c r="EM132" s="310"/>
      <c r="EN132" s="310"/>
      <c r="EO132" s="310"/>
      <c r="EP132" s="310"/>
      <c r="EQ132" s="310"/>
      <c r="ER132" s="310"/>
      <c r="ES132" s="310"/>
      <c r="ET132" s="310"/>
      <c r="EU132" s="310"/>
      <c r="EV132" s="310"/>
      <c r="EW132" s="310"/>
      <c r="EX132" s="310"/>
      <c r="EY132" s="310"/>
      <c r="EZ132" s="310"/>
      <c r="FA132" s="310"/>
      <c r="FB132" s="310"/>
      <c r="FC132" s="310"/>
      <c r="FD132" s="310"/>
      <c r="FE132" s="311"/>
      <c r="FF132" s="312"/>
    </row>
    <row r="133" spans="1:162" ht="12.75" x14ac:dyDescent="0.2">
      <c r="A133" s="446">
        <v>126</v>
      </c>
      <c r="B133" s="447" t="s">
        <v>135</v>
      </c>
      <c r="C133" s="448" t="s">
        <v>1098</v>
      </c>
      <c r="D133" s="449" t="s">
        <v>1099</v>
      </c>
      <c r="E133" s="450" t="s">
        <v>134</v>
      </c>
      <c r="F133" s="451">
        <v>72753269.200000003</v>
      </c>
      <c r="G133" s="451">
        <v>0</v>
      </c>
      <c r="H133" s="451">
        <v>0</v>
      </c>
      <c r="I133" s="451">
        <v>72753269.200000003</v>
      </c>
      <c r="J133" s="451">
        <v>1279132.75</v>
      </c>
      <c r="K133" s="451">
        <v>0</v>
      </c>
      <c r="L133" s="451">
        <v>0</v>
      </c>
      <c r="M133" s="451">
        <v>1279132.75</v>
      </c>
      <c r="N133" s="451">
        <v>-91918.66</v>
      </c>
      <c r="O133" s="451">
        <v>0</v>
      </c>
      <c r="P133" s="451">
        <v>0</v>
      </c>
      <c r="Q133" s="451">
        <v>-91918.66</v>
      </c>
      <c r="R133" s="451">
        <v>1257705.4099999999</v>
      </c>
      <c r="S133" s="451">
        <v>0</v>
      </c>
      <c r="T133" s="451">
        <v>0</v>
      </c>
      <c r="U133" s="451">
        <v>1257705.4099999999</v>
      </c>
      <c r="V133" s="451">
        <v>4627184.07</v>
      </c>
      <c r="W133" s="451">
        <v>0</v>
      </c>
      <c r="X133" s="451">
        <v>0</v>
      </c>
      <c r="Y133" s="451">
        <v>4627184.07</v>
      </c>
      <c r="Z133" s="451">
        <v>65681166</v>
      </c>
      <c r="AA133" s="451">
        <v>0</v>
      </c>
      <c r="AB133" s="451">
        <v>0</v>
      </c>
      <c r="AC133" s="451">
        <v>65681166</v>
      </c>
      <c r="AD133" s="451">
        <v>0</v>
      </c>
      <c r="AE133" s="451">
        <v>0</v>
      </c>
      <c r="AF133" s="451">
        <v>0</v>
      </c>
      <c r="AG133" s="451">
        <v>0</v>
      </c>
      <c r="AH133" s="451">
        <v>0</v>
      </c>
      <c r="AI133" s="451">
        <v>0</v>
      </c>
      <c r="AJ133" s="451">
        <v>0</v>
      </c>
      <c r="AK133" s="451">
        <v>0</v>
      </c>
      <c r="AL133" s="451">
        <v>0</v>
      </c>
      <c r="AM133" s="451">
        <v>0</v>
      </c>
      <c r="AN133" s="451">
        <v>0</v>
      </c>
      <c r="AO133" s="451">
        <v>6174694.8499999996</v>
      </c>
      <c r="AP133" s="451">
        <v>5907277.1200000001</v>
      </c>
      <c r="AQ133" s="324"/>
      <c r="AR133" s="310"/>
      <c r="AS133" s="310"/>
      <c r="AT133" s="310"/>
      <c r="AU133" s="310"/>
      <c r="AV133" s="310"/>
      <c r="AW133" s="310"/>
      <c r="AX133" s="310"/>
      <c r="AY133" s="310"/>
      <c r="AZ133" s="310"/>
      <c r="BA133" s="310"/>
      <c r="BB133" s="310"/>
      <c r="BC133" s="310"/>
      <c r="BD133" s="310"/>
      <c r="BE133" s="310"/>
      <c r="BF133" s="310"/>
      <c r="BG133" s="310"/>
      <c r="BH133" s="310"/>
      <c r="BI133" s="310"/>
      <c r="BJ133" s="310"/>
      <c r="BK133" s="310"/>
      <c r="BL133" s="310"/>
      <c r="BM133" s="310"/>
      <c r="BN133" s="310"/>
      <c r="BO133" s="310"/>
      <c r="BP133" s="310"/>
      <c r="BQ133" s="310"/>
      <c r="BR133" s="310"/>
      <c r="BS133" s="310"/>
      <c r="BT133" s="310"/>
      <c r="BU133" s="310"/>
      <c r="BV133" s="310"/>
      <c r="BW133" s="310"/>
      <c r="BX133" s="310"/>
      <c r="BY133" s="310"/>
      <c r="BZ133" s="310"/>
      <c r="CA133" s="310"/>
      <c r="CB133" s="310"/>
      <c r="CC133" s="310"/>
      <c r="CD133" s="310"/>
      <c r="CE133" s="310"/>
      <c r="CF133" s="310"/>
      <c r="CG133" s="310"/>
      <c r="CH133" s="310"/>
      <c r="CI133" s="310"/>
      <c r="CJ133" s="310"/>
      <c r="CK133" s="310"/>
      <c r="CL133" s="310"/>
      <c r="CM133" s="310"/>
      <c r="CN133" s="310"/>
      <c r="CO133" s="310"/>
      <c r="CP133" s="310"/>
      <c r="CQ133" s="310"/>
      <c r="CR133" s="310"/>
      <c r="CS133" s="310"/>
      <c r="CT133" s="310"/>
      <c r="CU133" s="310"/>
      <c r="CV133" s="310"/>
      <c r="CW133" s="310"/>
      <c r="CX133" s="310"/>
      <c r="CY133" s="310"/>
      <c r="CZ133" s="310"/>
      <c r="DA133" s="310"/>
      <c r="DB133" s="310"/>
      <c r="DC133" s="310"/>
      <c r="DD133" s="310"/>
      <c r="DE133" s="310"/>
      <c r="DF133" s="310"/>
      <c r="DG133" s="310"/>
      <c r="DH133" s="310"/>
      <c r="DI133" s="310"/>
      <c r="DJ133" s="310"/>
      <c r="DK133" s="310"/>
      <c r="DL133" s="310"/>
      <c r="DM133" s="310"/>
      <c r="DN133" s="310"/>
      <c r="DO133" s="310"/>
      <c r="DP133" s="310"/>
      <c r="DQ133" s="310"/>
      <c r="DR133" s="310"/>
      <c r="DS133" s="310"/>
      <c r="DT133" s="310"/>
      <c r="DU133" s="310"/>
      <c r="DV133" s="310"/>
      <c r="DW133" s="310"/>
      <c r="DX133" s="310"/>
      <c r="DY133" s="310"/>
      <c r="DZ133" s="310"/>
      <c r="EA133" s="310"/>
      <c r="EB133" s="310"/>
      <c r="EC133" s="310"/>
      <c r="ED133" s="310"/>
      <c r="EE133" s="310"/>
      <c r="EF133" s="310"/>
      <c r="EG133" s="310"/>
      <c r="EH133" s="310"/>
      <c r="EI133" s="310"/>
      <c r="EJ133" s="310"/>
      <c r="EK133" s="310"/>
      <c r="EL133" s="310"/>
      <c r="EM133" s="310"/>
      <c r="EN133" s="310"/>
      <c r="EO133" s="310"/>
      <c r="EP133" s="310"/>
      <c r="EQ133" s="310"/>
      <c r="ER133" s="310"/>
      <c r="ES133" s="310"/>
      <c r="ET133" s="310"/>
      <c r="EU133" s="310"/>
      <c r="EV133" s="310"/>
      <c r="EW133" s="310"/>
      <c r="EX133" s="310"/>
      <c r="EY133" s="310"/>
      <c r="EZ133" s="310"/>
      <c r="FA133" s="310"/>
      <c r="FB133" s="310"/>
      <c r="FC133" s="310"/>
      <c r="FD133" s="310"/>
      <c r="FE133" s="311"/>
      <c r="FF133" s="312"/>
    </row>
    <row r="134" spans="1:162" ht="12.75" x14ac:dyDescent="0.2">
      <c r="A134" s="446">
        <v>127</v>
      </c>
      <c r="B134" s="447" t="s">
        <v>137</v>
      </c>
      <c r="C134" s="448" t="s">
        <v>794</v>
      </c>
      <c r="D134" s="449" t="s">
        <v>1103</v>
      </c>
      <c r="E134" s="450" t="s">
        <v>720</v>
      </c>
      <c r="F134" s="451">
        <v>44742351.700000003</v>
      </c>
      <c r="G134" s="451">
        <v>0</v>
      </c>
      <c r="H134" s="451">
        <v>-2616.2800000000002</v>
      </c>
      <c r="I134" s="451">
        <v>44739735.399999999</v>
      </c>
      <c r="J134" s="451">
        <v>135699</v>
      </c>
      <c r="K134" s="451">
        <v>0</v>
      </c>
      <c r="L134" s="451">
        <v>-180</v>
      </c>
      <c r="M134" s="451">
        <v>135519</v>
      </c>
      <c r="N134" s="451">
        <v>80053.42</v>
      </c>
      <c r="O134" s="451">
        <v>0</v>
      </c>
      <c r="P134" s="451">
        <v>0</v>
      </c>
      <c r="Q134" s="451">
        <v>80053.42</v>
      </c>
      <c r="R134" s="451">
        <v>523594</v>
      </c>
      <c r="S134" s="451">
        <v>0</v>
      </c>
      <c r="T134" s="451">
        <v>0</v>
      </c>
      <c r="U134" s="451">
        <v>523594</v>
      </c>
      <c r="V134" s="451">
        <v>1603195</v>
      </c>
      <c r="W134" s="451">
        <v>0</v>
      </c>
      <c r="X134" s="451">
        <v>0</v>
      </c>
      <c r="Y134" s="451">
        <v>1603195</v>
      </c>
      <c r="Z134" s="451">
        <v>42399810</v>
      </c>
      <c r="AA134" s="451">
        <v>0</v>
      </c>
      <c r="AB134" s="451">
        <v>-2436</v>
      </c>
      <c r="AC134" s="451">
        <v>42397374</v>
      </c>
      <c r="AD134" s="451">
        <v>42597</v>
      </c>
      <c r="AE134" s="451">
        <v>0</v>
      </c>
      <c r="AF134" s="451">
        <v>0</v>
      </c>
      <c r="AG134" s="451">
        <v>42597</v>
      </c>
      <c r="AH134" s="451">
        <v>0</v>
      </c>
      <c r="AI134" s="451">
        <v>-7424.16</v>
      </c>
      <c r="AJ134" s="451">
        <v>0</v>
      </c>
      <c r="AK134" s="451">
        <v>225742</v>
      </c>
      <c r="AL134" s="451">
        <v>0</v>
      </c>
      <c r="AM134" s="451">
        <v>0</v>
      </c>
      <c r="AN134" s="451">
        <v>42597</v>
      </c>
      <c r="AO134" s="451">
        <v>1099986</v>
      </c>
      <c r="AP134" s="451">
        <v>706627</v>
      </c>
      <c r="AQ134" s="324"/>
      <c r="AR134" s="310"/>
      <c r="AS134" s="310"/>
      <c r="AT134" s="310"/>
      <c r="AU134" s="310"/>
      <c r="AV134" s="310"/>
      <c r="AW134" s="310"/>
      <c r="AX134" s="310"/>
      <c r="AY134" s="310"/>
      <c r="AZ134" s="310"/>
      <c r="BA134" s="310"/>
      <c r="BB134" s="310"/>
      <c r="BC134" s="310"/>
      <c r="BD134" s="310"/>
      <c r="BE134" s="310"/>
      <c r="BF134" s="310"/>
      <c r="BG134" s="310"/>
      <c r="BH134" s="310"/>
      <c r="BI134" s="310"/>
      <c r="BJ134" s="310"/>
      <c r="BK134" s="310"/>
      <c r="BL134" s="310"/>
      <c r="BM134" s="310"/>
      <c r="BN134" s="310"/>
      <c r="BO134" s="310"/>
      <c r="BP134" s="310"/>
      <c r="BQ134" s="310"/>
      <c r="BR134" s="310"/>
      <c r="BS134" s="310"/>
      <c r="BT134" s="310"/>
      <c r="BU134" s="310"/>
      <c r="BV134" s="310"/>
      <c r="BW134" s="310"/>
      <c r="BX134" s="310"/>
      <c r="BY134" s="310"/>
      <c r="BZ134" s="310"/>
      <c r="CA134" s="310"/>
      <c r="CB134" s="310"/>
      <c r="CC134" s="310"/>
      <c r="CD134" s="310"/>
      <c r="CE134" s="310"/>
      <c r="CF134" s="310"/>
      <c r="CG134" s="310"/>
      <c r="CH134" s="310"/>
      <c r="CI134" s="310"/>
      <c r="CJ134" s="310"/>
      <c r="CK134" s="310"/>
      <c r="CL134" s="310"/>
      <c r="CM134" s="310"/>
      <c r="CN134" s="310"/>
      <c r="CO134" s="310"/>
      <c r="CP134" s="310"/>
      <c r="CQ134" s="310"/>
      <c r="CR134" s="310"/>
      <c r="CS134" s="310"/>
      <c r="CT134" s="310"/>
      <c r="CU134" s="310"/>
      <c r="CV134" s="310"/>
      <c r="CW134" s="310"/>
      <c r="CX134" s="310"/>
      <c r="CY134" s="310"/>
      <c r="CZ134" s="310"/>
      <c r="DA134" s="310"/>
      <c r="DB134" s="310"/>
      <c r="DC134" s="310"/>
      <c r="DD134" s="310"/>
      <c r="DE134" s="310"/>
      <c r="DF134" s="310"/>
      <c r="DG134" s="310"/>
      <c r="DH134" s="310"/>
      <c r="DI134" s="310"/>
      <c r="DJ134" s="310"/>
      <c r="DK134" s="310"/>
      <c r="DL134" s="310"/>
      <c r="DM134" s="310"/>
      <c r="DN134" s="310"/>
      <c r="DO134" s="310"/>
      <c r="DP134" s="310"/>
      <c r="DQ134" s="310"/>
      <c r="DR134" s="310"/>
      <c r="DS134" s="310"/>
      <c r="DT134" s="310"/>
      <c r="DU134" s="310"/>
      <c r="DV134" s="310"/>
      <c r="DW134" s="310"/>
      <c r="DX134" s="310"/>
      <c r="DY134" s="310"/>
      <c r="DZ134" s="310"/>
      <c r="EA134" s="310"/>
      <c r="EB134" s="310"/>
      <c r="EC134" s="310"/>
      <c r="ED134" s="310"/>
      <c r="EE134" s="310"/>
      <c r="EF134" s="310"/>
      <c r="EG134" s="310"/>
      <c r="EH134" s="310"/>
      <c r="EI134" s="310"/>
      <c r="EJ134" s="310"/>
      <c r="EK134" s="310"/>
      <c r="EL134" s="310"/>
      <c r="EM134" s="310"/>
      <c r="EN134" s="310"/>
      <c r="EO134" s="310"/>
      <c r="EP134" s="310"/>
      <c r="EQ134" s="310"/>
      <c r="ER134" s="310"/>
      <c r="ES134" s="310"/>
      <c r="ET134" s="310"/>
      <c r="EU134" s="310"/>
      <c r="EV134" s="310"/>
      <c r="EW134" s="310"/>
      <c r="EX134" s="310"/>
      <c r="EY134" s="310"/>
      <c r="EZ134" s="310"/>
      <c r="FA134" s="310"/>
      <c r="FB134" s="310"/>
      <c r="FC134" s="310"/>
      <c r="FD134" s="310"/>
      <c r="FE134" s="311"/>
      <c r="FF134" s="312"/>
    </row>
    <row r="135" spans="1:162" ht="12.75" x14ac:dyDescent="0.2">
      <c r="A135" s="446">
        <v>128</v>
      </c>
      <c r="B135" s="447" t="s">
        <v>139</v>
      </c>
      <c r="C135" s="448" t="s">
        <v>1093</v>
      </c>
      <c r="D135" s="449" t="s">
        <v>1097</v>
      </c>
      <c r="E135" s="450" t="s">
        <v>138</v>
      </c>
      <c r="F135" s="451">
        <v>45003341.5</v>
      </c>
      <c r="G135" s="451">
        <v>0</v>
      </c>
      <c r="H135" s="451">
        <v>0</v>
      </c>
      <c r="I135" s="451">
        <v>45003341.5</v>
      </c>
      <c r="J135" s="451">
        <v>686019.42</v>
      </c>
      <c r="K135" s="451">
        <v>0</v>
      </c>
      <c r="L135" s="451">
        <v>0</v>
      </c>
      <c r="M135" s="451">
        <v>686019.42</v>
      </c>
      <c r="N135" s="451">
        <v>208543.38</v>
      </c>
      <c r="O135" s="451">
        <v>0</v>
      </c>
      <c r="P135" s="451">
        <v>0</v>
      </c>
      <c r="Q135" s="451">
        <v>208543.38</v>
      </c>
      <c r="R135" s="451">
        <v>1557003.6</v>
      </c>
      <c r="S135" s="451">
        <v>0</v>
      </c>
      <c r="T135" s="451">
        <v>0</v>
      </c>
      <c r="U135" s="451">
        <v>1557003.6</v>
      </c>
      <c r="V135" s="451">
        <v>4210624.4000000004</v>
      </c>
      <c r="W135" s="451">
        <v>0</v>
      </c>
      <c r="X135" s="451">
        <v>0</v>
      </c>
      <c r="Y135" s="451">
        <v>4210624.4000000004</v>
      </c>
      <c r="Z135" s="451">
        <v>38341151</v>
      </c>
      <c r="AA135" s="451">
        <v>0</v>
      </c>
      <c r="AB135" s="451">
        <v>0</v>
      </c>
      <c r="AC135" s="451">
        <v>38341151</v>
      </c>
      <c r="AD135" s="451">
        <v>0</v>
      </c>
      <c r="AE135" s="451">
        <v>0</v>
      </c>
      <c r="AF135" s="451">
        <v>0</v>
      </c>
      <c r="AG135" s="451">
        <v>0</v>
      </c>
      <c r="AH135" s="451">
        <v>0</v>
      </c>
      <c r="AI135" s="451">
        <v>0</v>
      </c>
      <c r="AJ135" s="451">
        <v>0</v>
      </c>
      <c r="AK135" s="451">
        <v>0</v>
      </c>
      <c r="AL135" s="451">
        <v>0</v>
      </c>
      <c r="AM135" s="451">
        <v>0</v>
      </c>
      <c r="AN135" s="451">
        <v>0</v>
      </c>
      <c r="AO135" s="451">
        <v>1630989.17</v>
      </c>
      <c r="AP135" s="451">
        <v>1324066.1000000001</v>
      </c>
      <c r="AQ135" s="324"/>
      <c r="AR135" s="310"/>
      <c r="AS135" s="310"/>
      <c r="AT135" s="310"/>
      <c r="AU135" s="310"/>
      <c r="AV135" s="310"/>
      <c r="AW135" s="310"/>
      <c r="AX135" s="310"/>
      <c r="AY135" s="310"/>
      <c r="AZ135" s="310"/>
      <c r="BA135" s="310"/>
      <c r="BB135" s="310"/>
      <c r="BC135" s="310"/>
      <c r="BD135" s="310"/>
      <c r="BE135" s="310"/>
      <c r="BF135" s="310"/>
      <c r="BG135" s="310"/>
      <c r="BH135" s="310"/>
      <c r="BI135" s="310"/>
      <c r="BJ135" s="310"/>
      <c r="BK135" s="310"/>
      <c r="BL135" s="310"/>
      <c r="BM135" s="310"/>
      <c r="BN135" s="310"/>
      <c r="BO135" s="310"/>
      <c r="BP135" s="310"/>
      <c r="BQ135" s="310"/>
      <c r="BR135" s="310"/>
      <c r="BS135" s="310"/>
      <c r="BT135" s="310"/>
      <c r="BU135" s="310"/>
      <c r="BV135" s="310"/>
      <c r="BW135" s="310"/>
      <c r="BX135" s="310"/>
      <c r="BY135" s="310"/>
      <c r="BZ135" s="310"/>
      <c r="CA135" s="310"/>
      <c r="CB135" s="310"/>
      <c r="CC135" s="310"/>
      <c r="CD135" s="310"/>
      <c r="CE135" s="310"/>
      <c r="CF135" s="310"/>
      <c r="CG135" s="310"/>
      <c r="CH135" s="310"/>
      <c r="CI135" s="310"/>
      <c r="CJ135" s="310"/>
      <c r="CK135" s="310"/>
      <c r="CL135" s="310"/>
      <c r="CM135" s="310"/>
      <c r="CN135" s="310"/>
      <c r="CO135" s="310"/>
      <c r="CP135" s="310"/>
      <c r="CQ135" s="310"/>
      <c r="CR135" s="310"/>
      <c r="CS135" s="310"/>
      <c r="CT135" s="310"/>
      <c r="CU135" s="310"/>
      <c r="CV135" s="310"/>
      <c r="CW135" s="310"/>
      <c r="CX135" s="310"/>
      <c r="CY135" s="310"/>
      <c r="CZ135" s="310"/>
      <c r="DA135" s="310"/>
      <c r="DB135" s="310"/>
      <c r="DC135" s="310"/>
      <c r="DD135" s="310"/>
      <c r="DE135" s="310"/>
      <c r="DF135" s="310"/>
      <c r="DG135" s="310"/>
      <c r="DH135" s="310"/>
      <c r="DI135" s="310"/>
      <c r="DJ135" s="310"/>
      <c r="DK135" s="310"/>
      <c r="DL135" s="310"/>
      <c r="DM135" s="310"/>
      <c r="DN135" s="310"/>
      <c r="DO135" s="310"/>
      <c r="DP135" s="310"/>
      <c r="DQ135" s="310"/>
      <c r="DR135" s="310"/>
      <c r="DS135" s="310"/>
      <c r="DT135" s="310"/>
      <c r="DU135" s="310"/>
      <c r="DV135" s="310"/>
      <c r="DW135" s="310"/>
      <c r="DX135" s="310"/>
      <c r="DY135" s="310"/>
      <c r="DZ135" s="310"/>
      <c r="EA135" s="310"/>
      <c r="EB135" s="310"/>
      <c r="EC135" s="310"/>
      <c r="ED135" s="310"/>
      <c r="EE135" s="310"/>
      <c r="EF135" s="310"/>
      <c r="EG135" s="310"/>
      <c r="EH135" s="310"/>
      <c r="EI135" s="310"/>
      <c r="EJ135" s="310"/>
      <c r="EK135" s="310"/>
      <c r="EL135" s="310"/>
      <c r="EM135" s="310"/>
      <c r="EN135" s="310"/>
      <c r="EO135" s="310"/>
      <c r="EP135" s="310"/>
      <c r="EQ135" s="310"/>
      <c r="ER135" s="310"/>
      <c r="ES135" s="310"/>
      <c r="ET135" s="310"/>
      <c r="EU135" s="310"/>
      <c r="EV135" s="310"/>
      <c r="EW135" s="310"/>
      <c r="EX135" s="310"/>
      <c r="EY135" s="310"/>
      <c r="EZ135" s="310"/>
      <c r="FA135" s="310"/>
      <c r="FB135" s="310"/>
      <c r="FC135" s="310"/>
      <c r="FD135" s="310"/>
      <c r="FE135" s="311"/>
      <c r="FF135" s="312"/>
    </row>
    <row r="136" spans="1:162" ht="12.75" x14ac:dyDescent="0.2">
      <c r="A136" s="446">
        <v>129</v>
      </c>
      <c r="B136" s="447" t="s">
        <v>141</v>
      </c>
      <c r="C136" s="448" t="s">
        <v>1093</v>
      </c>
      <c r="D136" s="449" t="s">
        <v>1096</v>
      </c>
      <c r="E136" s="450" t="s">
        <v>140</v>
      </c>
      <c r="F136" s="451">
        <v>23226284</v>
      </c>
      <c r="G136" s="451">
        <v>0</v>
      </c>
      <c r="H136" s="451">
        <v>0</v>
      </c>
      <c r="I136" s="451">
        <v>23226284</v>
      </c>
      <c r="J136" s="451">
        <v>83407</v>
      </c>
      <c r="K136" s="451">
        <v>0</v>
      </c>
      <c r="L136" s="451">
        <v>0</v>
      </c>
      <c r="M136" s="451">
        <v>83407</v>
      </c>
      <c r="N136" s="451">
        <v>58553</v>
      </c>
      <c r="O136" s="451">
        <v>0</v>
      </c>
      <c r="P136" s="451">
        <v>0</v>
      </c>
      <c r="Q136" s="451">
        <v>58553</v>
      </c>
      <c r="R136" s="451">
        <v>83780</v>
      </c>
      <c r="S136" s="451">
        <v>0</v>
      </c>
      <c r="T136" s="451">
        <v>0</v>
      </c>
      <c r="U136" s="451">
        <v>83780</v>
      </c>
      <c r="V136" s="451">
        <v>207056</v>
      </c>
      <c r="W136" s="451">
        <v>0</v>
      </c>
      <c r="X136" s="451">
        <v>0</v>
      </c>
      <c r="Y136" s="451">
        <v>207056</v>
      </c>
      <c r="Z136" s="451">
        <v>22793488</v>
      </c>
      <c r="AA136" s="451">
        <v>0</v>
      </c>
      <c r="AB136" s="451">
        <v>0</v>
      </c>
      <c r="AC136" s="451">
        <v>22793488</v>
      </c>
      <c r="AD136" s="451">
        <v>0</v>
      </c>
      <c r="AE136" s="451">
        <v>0</v>
      </c>
      <c r="AF136" s="451">
        <v>0</v>
      </c>
      <c r="AG136" s="451">
        <v>0</v>
      </c>
      <c r="AH136" s="451">
        <v>0</v>
      </c>
      <c r="AI136" s="451">
        <v>0</v>
      </c>
      <c r="AJ136" s="451">
        <v>0</v>
      </c>
      <c r="AK136" s="451">
        <v>0</v>
      </c>
      <c r="AL136" s="451">
        <v>0</v>
      </c>
      <c r="AM136" s="451">
        <v>0</v>
      </c>
      <c r="AN136" s="451">
        <v>0</v>
      </c>
      <c r="AO136" s="451">
        <v>992368</v>
      </c>
      <c r="AP136" s="451">
        <v>226934</v>
      </c>
      <c r="AQ136" s="324"/>
      <c r="AR136" s="310"/>
      <c r="AS136" s="310"/>
      <c r="AT136" s="310"/>
      <c r="AU136" s="310"/>
      <c r="AV136" s="310"/>
      <c r="AW136" s="310"/>
      <c r="AX136" s="310"/>
      <c r="AY136" s="310"/>
      <c r="AZ136" s="310"/>
      <c r="BA136" s="310"/>
      <c r="BB136" s="310"/>
      <c r="BC136" s="310"/>
      <c r="BD136" s="310"/>
      <c r="BE136" s="310"/>
      <c r="BF136" s="310"/>
      <c r="BG136" s="310"/>
      <c r="BH136" s="310"/>
      <c r="BI136" s="310"/>
      <c r="BJ136" s="310"/>
      <c r="BK136" s="310"/>
      <c r="BL136" s="310"/>
      <c r="BM136" s="310"/>
      <c r="BN136" s="310"/>
      <c r="BO136" s="310"/>
      <c r="BP136" s="310"/>
      <c r="BQ136" s="310"/>
      <c r="BR136" s="310"/>
      <c r="BS136" s="310"/>
      <c r="BT136" s="310"/>
      <c r="BU136" s="310"/>
      <c r="BV136" s="310"/>
      <c r="BW136" s="310"/>
      <c r="BX136" s="310"/>
      <c r="BY136" s="310"/>
      <c r="BZ136" s="310"/>
      <c r="CA136" s="310"/>
      <c r="CB136" s="310"/>
      <c r="CC136" s="310"/>
      <c r="CD136" s="310"/>
      <c r="CE136" s="310"/>
      <c r="CF136" s="310"/>
      <c r="CG136" s="310"/>
      <c r="CH136" s="310"/>
      <c r="CI136" s="310"/>
      <c r="CJ136" s="310"/>
      <c r="CK136" s="310"/>
      <c r="CL136" s="310"/>
      <c r="CM136" s="310"/>
      <c r="CN136" s="310"/>
      <c r="CO136" s="310"/>
      <c r="CP136" s="310"/>
      <c r="CQ136" s="310"/>
      <c r="CR136" s="310"/>
      <c r="CS136" s="310"/>
      <c r="CT136" s="310"/>
      <c r="CU136" s="310"/>
      <c r="CV136" s="310"/>
      <c r="CW136" s="310"/>
      <c r="CX136" s="310"/>
      <c r="CY136" s="310"/>
      <c r="CZ136" s="310"/>
      <c r="DA136" s="310"/>
      <c r="DB136" s="310"/>
      <c r="DC136" s="310"/>
      <c r="DD136" s="310"/>
      <c r="DE136" s="310"/>
      <c r="DF136" s="310"/>
      <c r="DG136" s="310"/>
      <c r="DH136" s="310"/>
      <c r="DI136" s="310"/>
      <c r="DJ136" s="310"/>
      <c r="DK136" s="310"/>
      <c r="DL136" s="310"/>
      <c r="DM136" s="310"/>
      <c r="DN136" s="310"/>
      <c r="DO136" s="310"/>
      <c r="DP136" s="310"/>
      <c r="DQ136" s="310"/>
      <c r="DR136" s="310"/>
      <c r="DS136" s="310"/>
      <c r="DT136" s="310"/>
      <c r="DU136" s="310"/>
      <c r="DV136" s="310"/>
      <c r="DW136" s="310"/>
      <c r="DX136" s="310"/>
      <c r="DY136" s="310"/>
      <c r="DZ136" s="310"/>
      <c r="EA136" s="310"/>
      <c r="EB136" s="310"/>
      <c r="EC136" s="310"/>
      <c r="ED136" s="310"/>
      <c r="EE136" s="310"/>
      <c r="EF136" s="310"/>
      <c r="EG136" s="310"/>
      <c r="EH136" s="310"/>
      <c r="EI136" s="310"/>
      <c r="EJ136" s="310"/>
      <c r="EK136" s="310"/>
      <c r="EL136" s="310"/>
      <c r="EM136" s="310"/>
      <c r="EN136" s="310"/>
      <c r="EO136" s="310"/>
      <c r="EP136" s="310"/>
      <c r="EQ136" s="310"/>
      <c r="ER136" s="310"/>
      <c r="ES136" s="310"/>
      <c r="ET136" s="310"/>
      <c r="EU136" s="310"/>
      <c r="EV136" s="310"/>
      <c r="EW136" s="310"/>
      <c r="EX136" s="310"/>
      <c r="EY136" s="310"/>
      <c r="EZ136" s="310"/>
      <c r="FA136" s="310"/>
      <c r="FB136" s="310"/>
      <c r="FC136" s="310"/>
      <c r="FD136" s="310"/>
      <c r="FE136" s="311"/>
      <c r="FF136" s="312"/>
    </row>
    <row r="137" spans="1:162" ht="12.75" x14ac:dyDescent="0.2">
      <c r="A137" s="446">
        <v>130</v>
      </c>
      <c r="B137" s="447" t="s">
        <v>143</v>
      </c>
      <c r="C137" s="448" t="s">
        <v>1098</v>
      </c>
      <c r="D137" s="449" t="s">
        <v>1099</v>
      </c>
      <c r="E137" s="450" t="s">
        <v>142</v>
      </c>
      <c r="F137" s="451">
        <v>336268418</v>
      </c>
      <c r="G137" s="451">
        <v>0</v>
      </c>
      <c r="H137" s="451">
        <v>0</v>
      </c>
      <c r="I137" s="451">
        <v>336268418</v>
      </c>
      <c r="J137" s="451">
        <v>2110016</v>
      </c>
      <c r="K137" s="451">
        <v>0</v>
      </c>
      <c r="L137" s="451">
        <v>0</v>
      </c>
      <c r="M137" s="451">
        <v>2110016</v>
      </c>
      <c r="N137" s="451">
        <v>-392770</v>
      </c>
      <c r="O137" s="451">
        <v>0</v>
      </c>
      <c r="P137" s="451">
        <v>0</v>
      </c>
      <c r="Q137" s="451">
        <v>-392770</v>
      </c>
      <c r="R137" s="451">
        <v>2914227</v>
      </c>
      <c r="S137" s="451">
        <v>0</v>
      </c>
      <c r="T137" s="451">
        <v>0</v>
      </c>
      <c r="U137" s="451">
        <v>2914227</v>
      </c>
      <c r="V137" s="451">
        <v>1380825</v>
      </c>
      <c r="W137" s="451">
        <v>0</v>
      </c>
      <c r="X137" s="451">
        <v>0</v>
      </c>
      <c r="Y137" s="451">
        <v>1380825</v>
      </c>
      <c r="Z137" s="451">
        <v>330256120</v>
      </c>
      <c r="AA137" s="451">
        <v>0</v>
      </c>
      <c r="AB137" s="451">
        <v>0</v>
      </c>
      <c r="AC137" s="451">
        <v>330256120</v>
      </c>
      <c r="AD137" s="451">
        <v>0</v>
      </c>
      <c r="AE137" s="451">
        <v>0</v>
      </c>
      <c r="AF137" s="451">
        <v>0</v>
      </c>
      <c r="AG137" s="451">
        <v>0</v>
      </c>
      <c r="AH137" s="451">
        <v>0</v>
      </c>
      <c r="AI137" s="451">
        <v>0</v>
      </c>
      <c r="AJ137" s="451">
        <v>0</v>
      </c>
      <c r="AK137" s="451">
        <v>0</v>
      </c>
      <c r="AL137" s="451">
        <v>0</v>
      </c>
      <c r="AM137" s="451">
        <v>0</v>
      </c>
      <c r="AN137" s="451">
        <v>0</v>
      </c>
      <c r="AO137" s="451">
        <v>5939066</v>
      </c>
      <c r="AP137" s="451">
        <v>14923562</v>
      </c>
      <c r="AQ137" s="324"/>
      <c r="AR137" s="310"/>
      <c r="AS137" s="310"/>
      <c r="AT137" s="310"/>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c r="BO137" s="310"/>
      <c r="BP137" s="310"/>
      <c r="BQ137" s="310"/>
      <c r="BR137" s="310"/>
      <c r="BS137" s="310"/>
      <c r="BT137" s="310"/>
      <c r="BU137" s="310"/>
      <c r="BV137" s="310"/>
      <c r="BW137" s="310"/>
      <c r="BX137" s="310"/>
      <c r="BY137" s="310"/>
      <c r="BZ137" s="310"/>
      <c r="CA137" s="310"/>
      <c r="CB137" s="310"/>
      <c r="CC137" s="310"/>
      <c r="CD137" s="310"/>
      <c r="CE137" s="310"/>
      <c r="CF137" s="310"/>
      <c r="CG137" s="310"/>
      <c r="CH137" s="310"/>
      <c r="CI137" s="310"/>
      <c r="CJ137" s="310"/>
      <c r="CK137" s="310"/>
      <c r="CL137" s="310"/>
      <c r="CM137" s="310"/>
      <c r="CN137" s="310"/>
      <c r="CO137" s="310"/>
      <c r="CP137" s="310"/>
      <c r="CQ137" s="310"/>
      <c r="CR137" s="310"/>
      <c r="CS137" s="310"/>
      <c r="CT137" s="310"/>
      <c r="CU137" s="310"/>
      <c r="CV137" s="310"/>
      <c r="CW137" s="310"/>
      <c r="CX137" s="310"/>
      <c r="CY137" s="310"/>
      <c r="CZ137" s="310"/>
      <c r="DA137" s="310"/>
      <c r="DB137" s="310"/>
      <c r="DC137" s="310"/>
      <c r="DD137" s="310"/>
      <c r="DE137" s="310"/>
      <c r="DF137" s="310"/>
      <c r="DG137" s="310"/>
      <c r="DH137" s="310"/>
      <c r="DI137" s="310"/>
      <c r="DJ137" s="310"/>
      <c r="DK137" s="310"/>
      <c r="DL137" s="310"/>
      <c r="DM137" s="310"/>
      <c r="DN137" s="310"/>
      <c r="DO137" s="310"/>
      <c r="DP137" s="310"/>
      <c r="DQ137" s="310"/>
      <c r="DR137" s="310"/>
      <c r="DS137" s="310"/>
      <c r="DT137" s="310"/>
      <c r="DU137" s="310"/>
      <c r="DV137" s="310"/>
      <c r="DW137" s="310"/>
      <c r="DX137" s="310"/>
      <c r="DY137" s="310"/>
      <c r="DZ137" s="310"/>
      <c r="EA137" s="310"/>
      <c r="EB137" s="310"/>
      <c r="EC137" s="310"/>
      <c r="ED137" s="310"/>
      <c r="EE137" s="310"/>
      <c r="EF137" s="310"/>
      <c r="EG137" s="310"/>
      <c r="EH137" s="310"/>
      <c r="EI137" s="310"/>
      <c r="EJ137" s="310"/>
      <c r="EK137" s="310"/>
      <c r="EL137" s="310"/>
      <c r="EM137" s="310"/>
      <c r="EN137" s="310"/>
      <c r="EO137" s="310"/>
      <c r="EP137" s="310"/>
      <c r="EQ137" s="310"/>
      <c r="ER137" s="310"/>
      <c r="ES137" s="310"/>
      <c r="ET137" s="310"/>
      <c r="EU137" s="310"/>
      <c r="EV137" s="310"/>
      <c r="EW137" s="310"/>
      <c r="EX137" s="310"/>
      <c r="EY137" s="310"/>
      <c r="EZ137" s="310"/>
      <c r="FA137" s="310"/>
      <c r="FB137" s="310"/>
      <c r="FC137" s="310"/>
      <c r="FD137" s="310"/>
      <c r="FE137" s="311"/>
      <c r="FF137" s="312"/>
    </row>
    <row r="138" spans="1:162" ht="12.75" x14ac:dyDescent="0.2">
      <c r="A138" s="446">
        <v>131</v>
      </c>
      <c r="B138" s="447" t="s">
        <v>145</v>
      </c>
      <c r="C138" s="448" t="s">
        <v>1093</v>
      </c>
      <c r="D138" s="449" t="s">
        <v>1096</v>
      </c>
      <c r="E138" s="450" t="s">
        <v>721</v>
      </c>
      <c r="F138" s="451">
        <v>27070601</v>
      </c>
      <c r="G138" s="451">
        <v>0</v>
      </c>
      <c r="H138" s="451">
        <v>950243</v>
      </c>
      <c r="I138" s="451">
        <v>28020844</v>
      </c>
      <c r="J138" s="451">
        <v>111668</v>
      </c>
      <c r="K138" s="451">
        <v>0</v>
      </c>
      <c r="L138" s="451">
        <v>0</v>
      </c>
      <c r="M138" s="451">
        <v>111668</v>
      </c>
      <c r="N138" s="451">
        <v>-3948</v>
      </c>
      <c r="O138" s="451">
        <v>0</v>
      </c>
      <c r="P138" s="451">
        <v>0</v>
      </c>
      <c r="Q138" s="451">
        <v>-3948</v>
      </c>
      <c r="R138" s="451">
        <v>111787</v>
      </c>
      <c r="S138" s="451">
        <v>0</v>
      </c>
      <c r="T138" s="451">
        <v>0</v>
      </c>
      <c r="U138" s="451">
        <v>111787</v>
      </c>
      <c r="V138" s="451">
        <v>426307</v>
      </c>
      <c r="W138" s="451">
        <v>0</v>
      </c>
      <c r="X138" s="451">
        <v>0</v>
      </c>
      <c r="Y138" s="451">
        <v>426307</v>
      </c>
      <c r="Z138" s="451">
        <v>26424787</v>
      </c>
      <c r="AA138" s="451">
        <v>0</v>
      </c>
      <c r="AB138" s="451">
        <v>950243</v>
      </c>
      <c r="AC138" s="451">
        <v>27375030</v>
      </c>
      <c r="AD138" s="451">
        <v>0</v>
      </c>
      <c r="AE138" s="451">
        <v>0</v>
      </c>
      <c r="AF138" s="451">
        <v>0</v>
      </c>
      <c r="AG138" s="451">
        <v>0</v>
      </c>
      <c r="AH138" s="451">
        <v>0</v>
      </c>
      <c r="AI138" s="451">
        <v>0</v>
      </c>
      <c r="AJ138" s="451">
        <v>0</v>
      </c>
      <c r="AK138" s="451">
        <v>873420</v>
      </c>
      <c r="AL138" s="451">
        <v>0</v>
      </c>
      <c r="AM138" s="451">
        <v>76823</v>
      </c>
      <c r="AN138" s="451">
        <v>0</v>
      </c>
      <c r="AO138" s="451">
        <v>750261</v>
      </c>
      <c r="AP138" s="451">
        <v>528783</v>
      </c>
      <c r="AQ138" s="324"/>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310"/>
      <c r="CB138" s="310"/>
      <c r="CC138" s="310"/>
      <c r="CD138" s="310"/>
      <c r="CE138" s="310"/>
      <c r="CF138" s="310"/>
      <c r="CG138" s="310"/>
      <c r="CH138" s="310"/>
      <c r="CI138" s="310"/>
      <c r="CJ138" s="310"/>
      <c r="CK138" s="310"/>
      <c r="CL138" s="310"/>
      <c r="CM138" s="310"/>
      <c r="CN138" s="310"/>
      <c r="CO138" s="310"/>
      <c r="CP138" s="310"/>
      <c r="CQ138" s="310"/>
      <c r="CR138" s="310"/>
      <c r="CS138" s="310"/>
      <c r="CT138" s="310"/>
      <c r="CU138" s="310"/>
      <c r="CV138" s="310"/>
      <c r="CW138" s="310"/>
      <c r="CX138" s="310"/>
      <c r="CY138" s="310"/>
      <c r="CZ138" s="310"/>
      <c r="DA138" s="310"/>
      <c r="DB138" s="310"/>
      <c r="DC138" s="310"/>
      <c r="DD138" s="310"/>
      <c r="DE138" s="310"/>
      <c r="DF138" s="310"/>
      <c r="DG138" s="310"/>
      <c r="DH138" s="310"/>
      <c r="DI138" s="310"/>
      <c r="DJ138" s="310"/>
      <c r="DK138" s="310"/>
      <c r="DL138" s="310"/>
      <c r="DM138" s="310"/>
      <c r="DN138" s="310"/>
      <c r="DO138" s="310"/>
      <c r="DP138" s="310"/>
      <c r="DQ138" s="310"/>
      <c r="DR138" s="310"/>
      <c r="DS138" s="310"/>
      <c r="DT138" s="310"/>
      <c r="DU138" s="310"/>
      <c r="DV138" s="310"/>
      <c r="DW138" s="310"/>
      <c r="DX138" s="310"/>
      <c r="DY138" s="310"/>
      <c r="DZ138" s="310"/>
      <c r="EA138" s="310"/>
      <c r="EB138" s="310"/>
      <c r="EC138" s="310"/>
      <c r="ED138" s="310"/>
      <c r="EE138" s="310"/>
      <c r="EF138" s="310"/>
      <c r="EG138" s="310"/>
      <c r="EH138" s="310"/>
      <c r="EI138" s="310"/>
      <c r="EJ138" s="310"/>
      <c r="EK138" s="310"/>
      <c r="EL138" s="310"/>
      <c r="EM138" s="310"/>
      <c r="EN138" s="310"/>
      <c r="EO138" s="310"/>
      <c r="EP138" s="310"/>
      <c r="EQ138" s="310"/>
      <c r="ER138" s="310"/>
      <c r="ES138" s="310"/>
      <c r="ET138" s="310"/>
      <c r="EU138" s="310"/>
      <c r="EV138" s="310"/>
      <c r="EW138" s="310"/>
      <c r="EX138" s="310"/>
      <c r="EY138" s="310"/>
      <c r="EZ138" s="310"/>
      <c r="FA138" s="310"/>
      <c r="FB138" s="310"/>
      <c r="FC138" s="310"/>
      <c r="FD138" s="310"/>
      <c r="FE138" s="311"/>
      <c r="FF138" s="312"/>
    </row>
    <row r="139" spans="1:162" ht="12.75" x14ac:dyDescent="0.2">
      <c r="A139" s="446">
        <v>132</v>
      </c>
      <c r="B139" s="447" t="s">
        <v>147</v>
      </c>
      <c r="C139" s="448" t="s">
        <v>1093</v>
      </c>
      <c r="D139" s="449" t="s">
        <v>1094</v>
      </c>
      <c r="E139" s="450" t="s">
        <v>146</v>
      </c>
      <c r="F139" s="451">
        <v>40641497</v>
      </c>
      <c r="G139" s="451">
        <v>0</v>
      </c>
      <c r="H139" s="451">
        <v>0</v>
      </c>
      <c r="I139" s="451">
        <v>40641497</v>
      </c>
      <c r="J139" s="451">
        <v>343947</v>
      </c>
      <c r="K139" s="451">
        <v>0</v>
      </c>
      <c r="L139" s="451">
        <v>0</v>
      </c>
      <c r="M139" s="451">
        <v>343947</v>
      </c>
      <c r="N139" s="451">
        <v>280194</v>
      </c>
      <c r="O139" s="451">
        <v>0</v>
      </c>
      <c r="P139" s="451">
        <v>0</v>
      </c>
      <c r="Q139" s="451">
        <v>280194</v>
      </c>
      <c r="R139" s="451">
        <v>651304</v>
      </c>
      <c r="S139" s="451">
        <v>0</v>
      </c>
      <c r="T139" s="451">
        <v>0</v>
      </c>
      <c r="U139" s="451">
        <v>651304</v>
      </c>
      <c r="V139" s="451">
        <v>2022911</v>
      </c>
      <c r="W139" s="451">
        <v>0</v>
      </c>
      <c r="X139" s="451">
        <v>0</v>
      </c>
      <c r="Y139" s="451">
        <v>2022911</v>
      </c>
      <c r="Z139" s="451">
        <v>37343141</v>
      </c>
      <c r="AA139" s="451">
        <v>0</v>
      </c>
      <c r="AB139" s="451">
        <v>0</v>
      </c>
      <c r="AC139" s="451">
        <v>37343141</v>
      </c>
      <c r="AD139" s="451">
        <v>0</v>
      </c>
      <c r="AE139" s="451">
        <v>0</v>
      </c>
      <c r="AF139" s="451">
        <v>0</v>
      </c>
      <c r="AG139" s="451">
        <v>0</v>
      </c>
      <c r="AH139" s="451">
        <v>0</v>
      </c>
      <c r="AI139" s="451">
        <v>0</v>
      </c>
      <c r="AJ139" s="451">
        <v>0</v>
      </c>
      <c r="AK139" s="451">
        <v>0</v>
      </c>
      <c r="AL139" s="451">
        <v>0</v>
      </c>
      <c r="AM139" s="451">
        <v>0</v>
      </c>
      <c r="AN139" s="451">
        <v>0</v>
      </c>
      <c r="AO139" s="451">
        <v>2449773</v>
      </c>
      <c r="AP139" s="451">
        <v>916864</v>
      </c>
      <c r="AQ139" s="324"/>
      <c r="AR139" s="310"/>
      <c r="AS139" s="310"/>
      <c r="AT139" s="310"/>
      <c r="AU139" s="310"/>
      <c r="AV139" s="310"/>
      <c r="AW139" s="310"/>
      <c r="AX139" s="310"/>
      <c r="AY139" s="310"/>
      <c r="AZ139" s="310"/>
      <c r="BA139" s="310"/>
      <c r="BB139" s="310"/>
      <c r="BC139" s="310"/>
      <c r="BD139" s="310"/>
      <c r="BE139" s="310"/>
      <c r="BF139" s="310"/>
      <c r="BG139" s="310"/>
      <c r="BH139" s="310"/>
      <c r="BI139" s="310"/>
      <c r="BJ139" s="310"/>
      <c r="BK139" s="310"/>
      <c r="BL139" s="310"/>
      <c r="BM139" s="310"/>
      <c r="BN139" s="310"/>
      <c r="BO139" s="310"/>
      <c r="BP139" s="310"/>
      <c r="BQ139" s="310"/>
      <c r="BR139" s="310"/>
      <c r="BS139" s="310"/>
      <c r="BT139" s="310"/>
      <c r="BU139" s="310"/>
      <c r="BV139" s="310"/>
      <c r="BW139" s="310"/>
      <c r="BX139" s="310"/>
      <c r="BY139" s="310"/>
      <c r="BZ139" s="310"/>
      <c r="CA139" s="310"/>
      <c r="CB139" s="310"/>
      <c r="CC139" s="310"/>
      <c r="CD139" s="310"/>
      <c r="CE139" s="310"/>
      <c r="CF139" s="310"/>
      <c r="CG139" s="310"/>
      <c r="CH139" s="310"/>
      <c r="CI139" s="310"/>
      <c r="CJ139" s="310"/>
      <c r="CK139" s="310"/>
      <c r="CL139" s="310"/>
      <c r="CM139" s="310"/>
      <c r="CN139" s="310"/>
      <c r="CO139" s="310"/>
      <c r="CP139" s="310"/>
      <c r="CQ139" s="310"/>
      <c r="CR139" s="310"/>
      <c r="CS139" s="310"/>
      <c r="CT139" s="310"/>
      <c r="CU139" s="310"/>
      <c r="CV139" s="310"/>
      <c r="CW139" s="310"/>
      <c r="CX139" s="310"/>
      <c r="CY139" s="310"/>
      <c r="CZ139" s="310"/>
      <c r="DA139" s="310"/>
      <c r="DB139" s="310"/>
      <c r="DC139" s="310"/>
      <c r="DD139" s="310"/>
      <c r="DE139" s="310"/>
      <c r="DF139" s="310"/>
      <c r="DG139" s="310"/>
      <c r="DH139" s="310"/>
      <c r="DI139" s="310"/>
      <c r="DJ139" s="310"/>
      <c r="DK139" s="310"/>
      <c r="DL139" s="310"/>
      <c r="DM139" s="310"/>
      <c r="DN139" s="310"/>
      <c r="DO139" s="310"/>
      <c r="DP139" s="310"/>
      <c r="DQ139" s="310"/>
      <c r="DR139" s="310"/>
      <c r="DS139" s="310"/>
      <c r="DT139" s="310"/>
      <c r="DU139" s="310"/>
      <c r="DV139" s="310"/>
      <c r="DW139" s="310"/>
      <c r="DX139" s="310"/>
      <c r="DY139" s="310"/>
      <c r="DZ139" s="310"/>
      <c r="EA139" s="310"/>
      <c r="EB139" s="310"/>
      <c r="EC139" s="310"/>
      <c r="ED139" s="310"/>
      <c r="EE139" s="310"/>
      <c r="EF139" s="310"/>
      <c r="EG139" s="310"/>
      <c r="EH139" s="310"/>
      <c r="EI139" s="310"/>
      <c r="EJ139" s="310"/>
      <c r="EK139" s="310"/>
      <c r="EL139" s="310"/>
      <c r="EM139" s="310"/>
      <c r="EN139" s="310"/>
      <c r="EO139" s="310"/>
      <c r="EP139" s="310"/>
      <c r="EQ139" s="310"/>
      <c r="ER139" s="310"/>
      <c r="ES139" s="310"/>
      <c r="ET139" s="310"/>
      <c r="EU139" s="310"/>
      <c r="EV139" s="310"/>
      <c r="EW139" s="310"/>
      <c r="EX139" s="310"/>
      <c r="EY139" s="310"/>
      <c r="EZ139" s="310"/>
      <c r="FA139" s="310"/>
      <c r="FB139" s="310"/>
      <c r="FC139" s="310"/>
      <c r="FD139" s="310"/>
      <c r="FE139" s="311"/>
      <c r="FF139" s="312"/>
    </row>
    <row r="140" spans="1:162" ht="12.75" x14ac:dyDescent="0.2">
      <c r="A140" s="446">
        <v>133</v>
      </c>
      <c r="B140" s="447" t="s">
        <v>149</v>
      </c>
      <c r="C140" s="448" t="s">
        <v>1098</v>
      </c>
      <c r="D140" s="449" t="s">
        <v>1099</v>
      </c>
      <c r="E140" s="450" t="s">
        <v>148</v>
      </c>
      <c r="F140" s="451">
        <v>148124774</v>
      </c>
      <c r="G140" s="451">
        <v>0</v>
      </c>
      <c r="H140" s="451">
        <v>0</v>
      </c>
      <c r="I140" s="451">
        <v>148124774</v>
      </c>
      <c r="J140" s="451">
        <v>304466.07</v>
      </c>
      <c r="K140" s="451">
        <v>0</v>
      </c>
      <c r="L140" s="451">
        <v>0</v>
      </c>
      <c r="M140" s="451">
        <v>304466.07</v>
      </c>
      <c r="N140" s="451">
        <v>100000</v>
      </c>
      <c r="O140" s="451">
        <v>0</v>
      </c>
      <c r="P140" s="451">
        <v>0</v>
      </c>
      <c r="Q140" s="451">
        <v>100000</v>
      </c>
      <c r="R140" s="451">
        <v>3500000</v>
      </c>
      <c r="S140" s="451">
        <v>0</v>
      </c>
      <c r="T140" s="451">
        <v>0</v>
      </c>
      <c r="U140" s="451">
        <v>3500000</v>
      </c>
      <c r="V140" s="451">
        <v>9500000</v>
      </c>
      <c r="W140" s="451">
        <v>0</v>
      </c>
      <c r="X140" s="451">
        <v>0</v>
      </c>
      <c r="Y140" s="451">
        <v>9500000</v>
      </c>
      <c r="Z140" s="451">
        <v>134720309</v>
      </c>
      <c r="AA140" s="451">
        <v>0</v>
      </c>
      <c r="AB140" s="451">
        <v>0</v>
      </c>
      <c r="AC140" s="451">
        <v>134720309</v>
      </c>
      <c r="AD140" s="451">
        <v>0</v>
      </c>
      <c r="AE140" s="451">
        <v>0</v>
      </c>
      <c r="AF140" s="451">
        <v>0</v>
      </c>
      <c r="AG140" s="451">
        <v>0</v>
      </c>
      <c r="AH140" s="451">
        <v>0</v>
      </c>
      <c r="AI140" s="451">
        <v>0</v>
      </c>
      <c r="AJ140" s="451">
        <v>0</v>
      </c>
      <c r="AK140" s="451">
        <v>0</v>
      </c>
      <c r="AL140" s="451">
        <v>0</v>
      </c>
      <c r="AM140" s="451">
        <v>0</v>
      </c>
      <c r="AN140" s="451">
        <v>0</v>
      </c>
      <c r="AO140" s="451">
        <v>9311964.2699999996</v>
      </c>
      <c r="AP140" s="451">
        <v>11044993.300000001</v>
      </c>
      <c r="AQ140" s="324"/>
      <c r="AR140" s="310"/>
      <c r="AS140" s="310"/>
      <c r="AT140" s="310"/>
      <c r="AU140" s="310"/>
      <c r="AV140" s="310"/>
      <c r="AW140" s="310"/>
      <c r="AX140" s="310"/>
      <c r="AY140" s="310"/>
      <c r="AZ140" s="310"/>
      <c r="BA140" s="310"/>
      <c r="BB140" s="310"/>
      <c r="BC140" s="310"/>
      <c r="BD140" s="310"/>
      <c r="BE140" s="310"/>
      <c r="BF140" s="310"/>
      <c r="BG140" s="310"/>
      <c r="BH140" s="310"/>
      <c r="BI140" s="310"/>
      <c r="BJ140" s="310"/>
      <c r="BK140" s="310"/>
      <c r="BL140" s="310"/>
      <c r="BM140" s="310"/>
      <c r="BN140" s="310"/>
      <c r="BO140" s="310"/>
      <c r="BP140" s="310"/>
      <c r="BQ140" s="310"/>
      <c r="BR140" s="310"/>
      <c r="BS140" s="310"/>
      <c r="BT140" s="310"/>
      <c r="BU140" s="310"/>
      <c r="BV140" s="310"/>
      <c r="BW140" s="310"/>
      <c r="BX140" s="310"/>
      <c r="BY140" s="310"/>
      <c r="BZ140" s="310"/>
      <c r="CA140" s="310"/>
      <c r="CB140" s="310"/>
      <c r="CC140" s="310"/>
      <c r="CD140" s="310"/>
      <c r="CE140" s="310"/>
      <c r="CF140" s="310"/>
      <c r="CG140" s="310"/>
      <c r="CH140" s="310"/>
      <c r="CI140" s="310"/>
      <c r="CJ140" s="310"/>
      <c r="CK140" s="310"/>
      <c r="CL140" s="310"/>
      <c r="CM140" s="310"/>
      <c r="CN140" s="310"/>
      <c r="CO140" s="310"/>
      <c r="CP140" s="310"/>
      <c r="CQ140" s="310"/>
      <c r="CR140" s="310"/>
      <c r="CS140" s="310"/>
      <c r="CT140" s="310"/>
      <c r="CU140" s="310"/>
      <c r="CV140" s="310"/>
      <c r="CW140" s="310"/>
      <c r="CX140" s="310"/>
      <c r="CY140" s="310"/>
      <c r="CZ140" s="310"/>
      <c r="DA140" s="310"/>
      <c r="DB140" s="310"/>
      <c r="DC140" s="310"/>
      <c r="DD140" s="310"/>
      <c r="DE140" s="310"/>
      <c r="DF140" s="310"/>
      <c r="DG140" s="310"/>
      <c r="DH140" s="310"/>
      <c r="DI140" s="310"/>
      <c r="DJ140" s="310"/>
      <c r="DK140" s="310"/>
      <c r="DL140" s="310"/>
      <c r="DM140" s="310"/>
      <c r="DN140" s="310"/>
      <c r="DO140" s="310"/>
      <c r="DP140" s="310"/>
      <c r="DQ140" s="310"/>
      <c r="DR140" s="310"/>
      <c r="DS140" s="310"/>
      <c r="DT140" s="310"/>
      <c r="DU140" s="310"/>
      <c r="DV140" s="310"/>
      <c r="DW140" s="310"/>
      <c r="DX140" s="310"/>
      <c r="DY140" s="310"/>
      <c r="DZ140" s="310"/>
      <c r="EA140" s="310"/>
      <c r="EB140" s="310"/>
      <c r="EC140" s="310"/>
      <c r="ED140" s="310"/>
      <c r="EE140" s="310"/>
      <c r="EF140" s="310"/>
      <c r="EG140" s="310"/>
      <c r="EH140" s="310"/>
      <c r="EI140" s="310"/>
      <c r="EJ140" s="310"/>
      <c r="EK140" s="310"/>
      <c r="EL140" s="310"/>
      <c r="EM140" s="310"/>
      <c r="EN140" s="310"/>
      <c r="EO140" s="310"/>
      <c r="EP140" s="310"/>
      <c r="EQ140" s="310"/>
      <c r="ER140" s="310"/>
      <c r="ES140" s="310"/>
      <c r="ET140" s="310"/>
      <c r="EU140" s="310"/>
      <c r="EV140" s="310"/>
      <c r="EW140" s="310"/>
      <c r="EX140" s="310"/>
      <c r="EY140" s="310"/>
      <c r="EZ140" s="310"/>
      <c r="FA140" s="310"/>
      <c r="FB140" s="310"/>
      <c r="FC140" s="310"/>
      <c r="FD140" s="310"/>
      <c r="FE140" s="311"/>
      <c r="FF140" s="312"/>
    </row>
    <row r="141" spans="1:162" ht="12.75" x14ac:dyDescent="0.2">
      <c r="A141" s="446">
        <v>134</v>
      </c>
      <c r="B141" s="447" t="s">
        <v>151</v>
      </c>
      <c r="C141" s="448" t="s">
        <v>1093</v>
      </c>
      <c r="D141" s="449" t="s">
        <v>1097</v>
      </c>
      <c r="E141" s="450" t="s">
        <v>1113</v>
      </c>
      <c r="F141" s="451">
        <v>55085069</v>
      </c>
      <c r="G141" s="451">
        <v>0</v>
      </c>
      <c r="H141" s="451">
        <v>688512</v>
      </c>
      <c r="I141" s="451">
        <v>55773581</v>
      </c>
      <c r="J141" s="451">
        <v>266294</v>
      </c>
      <c r="K141" s="451">
        <v>0</v>
      </c>
      <c r="L141" s="451">
        <v>-3751</v>
      </c>
      <c r="M141" s="451">
        <v>262543</v>
      </c>
      <c r="N141" s="451">
        <v>-69000</v>
      </c>
      <c r="O141" s="451">
        <v>0</v>
      </c>
      <c r="P141" s="451">
        <v>0</v>
      </c>
      <c r="Q141" s="451">
        <v>-69000</v>
      </c>
      <c r="R141" s="451">
        <v>1583000</v>
      </c>
      <c r="S141" s="451">
        <v>0</v>
      </c>
      <c r="T141" s="451">
        <v>0</v>
      </c>
      <c r="U141" s="451">
        <v>1583000</v>
      </c>
      <c r="V141" s="451">
        <v>3552000</v>
      </c>
      <c r="W141" s="451">
        <v>0</v>
      </c>
      <c r="X141" s="451">
        <v>0</v>
      </c>
      <c r="Y141" s="451">
        <v>3552000</v>
      </c>
      <c r="Z141" s="451">
        <v>49752775</v>
      </c>
      <c r="AA141" s="451">
        <v>0</v>
      </c>
      <c r="AB141" s="451">
        <v>692263</v>
      </c>
      <c r="AC141" s="451">
        <v>50445038</v>
      </c>
      <c r="AD141" s="451">
        <v>190755</v>
      </c>
      <c r="AE141" s="451">
        <v>0</v>
      </c>
      <c r="AF141" s="451">
        <v>0</v>
      </c>
      <c r="AG141" s="451">
        <v>190755</v>
      </c>
      <c r="AH141" s="451">
        <v>0</v>
      </c>
      <c r="AI141" s="451">
        <v>0</v>
      </c>
      <c r="AJ141" s="451">
        <v>0</v>
      </c>
      <c r="AK141" s="451">
        <v>612921</v>
      </c>
      <c r="AL141" s="451">
        <v>0</v>
      </c>
      <c r="AM141" s="451">
        <v>79342</v>
      </c>
      <c r="AN141" s="451">
        <v>190755</v>
      </c>
      <c r="AO141" s="451">
        <v>965989</v>
      </c>
      <c r="AP141" s="451">
        <v>164545</v>
      </c>
      <c r="AQ141" s="324"/>
      <c r="AR141" s="310"/>
      <c r="AS141" s="310"/>
      <c r="AT141" s="310"/>
      <c r="AU141" s="310"/>
      <c r="AV141" s="310"/>
      <c r="AW141" s="310"/>
      <c r="AX141" s="310"/>
      <c r="AY141" s="310"/>
      <c r="AZ141" s="310"/>
      <c r="BA141" s="310"/>
      <c r="BB141" s="310"/>
      <c r="BC141" s="310"/>
      <c r="BD141" s="310"/>
      <c r="BE141" s="310"/>
      <c r="BF141" s="310"/>
      <c r="BG141" s="310"/>
      <c r="BH141" s="310"/>
      <c r="BI141" s="310"/>
      <c r="BJ141" s="310"/>
      <c r="BK141" s="310"/>
      <c r="BL141" s="310"/>
      <c r="BM141" s="310"/>
      <c r="BN141" s="310"/>
      <c r="BO141" s="310"/>
      <c r="BP141" s="310"/>
      <c r="BQ141" s="310"/>
      <c r="BR141" s="310"/>
      <c r="BS141" s="310"/>
      <c r="BT141" s="310"/>
      <c r="BU141" s="310"/>
      <c r="BV141" s="310"/>
      <c r="BW141" s="310"/>
      <c r="BX141" s="310"/>
      <c r="BY141" s="310"/>
      <c r="BZ141" s="310"/>
      <c r="CA141" s="310"/>
      <c r="CB141" s="310"/>
      <c r="CC141" s="310"/>
      <c r="CD141" s="310"/>
      <c r="CE141" s="310"/>
      <c r="CF141" s="310"/>
      <c r="CG141" s="310"/>
      <c r="CH141" s="310"/>
      <c r="CI141" s="310"/>
      <c r="CJ141" s="310"/>
      <c r="CK141" s="310"/>
      <c r="CL141" s="310"/>
      <c r="CM141" s="310"/>
      <c r="CN141" s="310"/>
      <c r="CO141" s="310"/>
      <c r="CP141" s="310"/>
      <c r="CQ141" s="310"/>
      <c r="CR141" s="310"/>
      <c r="CS141" s="310"/>
      <c r="CT141" s="310"/>
      <c r="CU141" s="310"/>
      <c r="CV141" s="310"/>
      <c r="CW141" s="310"/>
      <c r="CX141" s="310"/>
      <c r="CY141" s="310"/>
      <c r="CZ141" s="310"/>
      <c r="DA141" s="310"/>
      <c r="DB141" s="310"/>
      <c r="DC141" s="310"/>
      <c r="DD141" s="310"/>
      <c r="DE141" s="310"/>
      <c r="DF141" s="310"/>
      <c r="DG141" s="310"/>
      <c r="DH141" s="310"/>
      <c r="DI141" s="310"/>
      <c r="DJ141" s="310"/>
      <c r="DK141" s="310"/>
      <c r="DL141" s="310"/>
      <c r="DM141" s="310"/>
      <c r="DN141" s="310"/>
      <c r="DO141" s="310"/>
      <c r="DP141" s="310"/>
      <c r="DQ141" s="310"/>
      <c r="DR141" s="310"/>
      <c r="DS141" s="310"/>
      <c r="DT141" s="310"/>
      <c r="DU141" s="310"/>
      <c r="DV141" s="310"/>
      <c r="DW141" s="310"/>
      <c r="DX141" s="310"/>
      <c r="DY141" s="310"/>
      <c r="DZ141" s="310"/>
      <c r="EA141" s="310"/>
      <c r="EB141" s="310"/>
      <c r="EC141" s="310"/>
      <c r="ED141" s="310"/>
      <c r="EE141" s="310"/>
      <c r="EF141" s="310"/>
      <c r="EG141" s="310"/>
      <c r="EH141" s="310"/>
      <c r="EI141" s="310"/>
      <c r="EJ141" s="310"/>
      <c r="EK141" s="310"/>
      <c r="EL141" s="310"/>
      <c r="EM141" s="310"/>
      <c r="EN141" s="310"/>
      <c r="EO141" s="310"/>
      <c r="EP141" s="310"/>
      <c r="EQ141" s="310"/>
      <c r="ER141" s="310"/>
      <c r="ES141" s="310"/>
      <c r="ET141" s="310"/>
      <c r="EU141" s="310"/>
      <c r="EV141" s="310"/>
      <c r="EW141" s="310"/>
      <c r="EX141" s="310"/>
      <c r="EY141" s="310"/>
      <c r="EZ141" s="310"/>
      <c r="FA141" s="310"/>
      <c r="FB141" s="310"/>
      <c r="FC141" s="310"/>
      <c r="FD141" s="310"/>
      <c r="FE141" s="311"/>
      <c r="FF141" s="312"/>
    </row>
    <row r="142" spans="1:162" ht="12.75" x14ac:dyDescent="0.2">
      <c r="A142" s="446">
        <v>135</v>
      </c>
      <c r="B142" s="447" t="s">
        <v>153</v>
      </c>
      <c r="C142" s="448" t="s">
        <v>1093</v>
      </c>
      <c r="D142" s="449" t="s">
        <v>1095</v>
      </c>
      <c r="E142" s="450" t="s">
        <v>152</v>
      </c>
      <c r="F142" s="451">
        <v>20899070.600000001</v>
      </c>
      <c r="G142" s="451">
        <v>0</v>
      </c>
      <c r="H142" s="451">
        <v>0</v>
      </c>
      <c r="I142" s="451">
        <v>20899070.600000001</v>
      </c>
      <c r="J142" s="451">
        <v>228093</v>
      </c>
      <c r="K142" s="451">
        <v>0</v>
      </c>
      <c r="L142" s="451">
        <v>0</v>
      </c>
      <c r="M142" s="451">
        <v>228093</v>
      </c>
      <c r="N142" s="451">
        <v>171865</v>
      </c>
      <c r="O142" s="451">
        <v>0</v>
      </c>
      <c r="P142" s="451">
        <v>0</v>
      </c>
      <c r="Q142" s="451">
        <v>171865</v>
      </c>
      <c r="R142" s="451">
        <v>246531</v>
      </c>
      <c r="S142" s="451">
        <v>0</v>
      </c>
      <c r="T142" s="451">
        <v>0</v>
      </c>
      <c r="U142" s="451">
        <v>246531</v>
      </c>
      <c r="V142" s="451">
        <v>741262.26</v>
      </c>
      <c r="W142" s="451">
        <v>0</v>
      </c>
      <c r="X142" s="451">
        <v>0</v>
      </c>
      <c r="Y142" s="451">
        <v>741262.26</v>
      </c>
      <c r="Z142" s="451">
        <v>19511319</v>
      </c>
      <c r="AA142" s="451">
        <v>0</v>
      </c>
      <c r="AB142" s="451">
        <v>0</v>
      </c>
      <c r="AC142" s="451">
        <v>19511319</v>
      </c>
      <c r="AD142" s="451">
        <v>0</v>
      </c>
      <c r="AE142" s="451">
        <v>0</v>
      </c>
      <c r="AF142" s="451">
        <v>0</v>
      </c>
      <c r="AG142" s="451">
        <v>0</v>
      </c>
      <c r="AH142" s="451">
        <v>0</v>
      </c>
      <c r="AI142" s="451">
        <v>0</v>
      </c>
      <c r="AJ142" s="451">
        <v>0</v>
      </c>
      <c r="AK142" s="451">
        <v>0</v>
      </c>
      <c r="AL142" s="451">
        <v>0</v>
      </c>
      <c r="AM142" s="451">
        <v>0</v>
      </c>
      <c r="AN142" s="451">
        <v>0</v>
      </c>
      <c r="AO142" s="451">
        <v>3831488</v>
      </c>
      <c r="AP142" s="451">
        <v>959377.25</v>
      </c>
      <c r="AQ142" s="324"/>
      <c r="AR142" s="310"/>
      <c r="AS142" s="310"/>
      <c r="AT142" s="310"/>
      <c r="AU142" s="310"/>
      <c r="AV142" s="310"/>
      <c r="AW142" s="310"/>
      <c r="AX142" s="310"/>
      <c r="AY142" s="310"/>
      <c r="AZ142" s="310"/>
      <c r="BA142" s="310"/>
      <c r="BB142" s="310"/>
      <c r="BC142" s="310"/>
      <c r="BD142" s="310"/>
      <c r="BE142" s="310"/>
      <c r="BF142" s="310"/>
      <c r="BG142" s="310"/>
      <c r="BH142" s="310"/>
      <c r="BI142" s="310"/>
      <c r="BJ142" s="310"/>
      <c r="BK142" s="310"/>
      <c r="BL142" s="310"/>
      <c r="BM142" s="310"/>
      <c r="BN142" s="310"/>
      <c r="BO142" s="310"/>
      <c r="BP142" s="310"/>
      <c r="BQ142" s="310"/>
      <c r="BR142" s="310"/>
      <c r="BS142" s="310"/>
      <c r="BT142" s="310"/>
      <c r="BU142" s="310"/>
      <c r="BV142" s="310"/>
      <c r="BW142" s="310"/>
      <c r="BX142" s="310"/>
      <c r="BY142" s="310"/>
      <c r="BZ142" s="310"/>
      <c r="CA142" s="310"/>
      <c r="CB142" s="310"/>
      <c r="CC142" s="310"/>
      <c r="CD142" s="310"/>
      <c r="CE142" s="310"/>
      <c r="CF142" s="310"/>
      <c r="CG142" s="310"/>
      <c r="CH142" s="310"/>
      <c r="CI142" s="310"/>
      <c r="CJ142" s="310"/>
      <c r="CK142" s="310"/>
      <c r="CL142" s="310"/>
      <c r="CM142" s="310"/>
      <c r="CN142" s="310"/>
      <c r="CO142" s="310"/>
      <c r="CP142" s="310"/>
      <c r="CQ142" s="310"/>
      <c r="CR142" s="310"/>
      <c r="CS142" s="310"/>
      <c r="CT142" s="310"/>
      <c r="CU142" s="310"/>
      <c r="CV142" s="310"/>
      <c r="CW142" s="310"/>
      <c r="CX142" s="310"/>
      <c r="CY142" s="310"/>
      <c r="CZ142" s="310"/>
      <c r="DA142" s="310"/>
      <c r="DB142" s="310"/>
      <c r="DC142" s="310"/>
      <c r="DD142" s="310"/>
      <c r="DE142" s="310"/>
      <c r="DF142" s="310"/>
      <c r="DG142" s="310"/>
      <c r="DH142" s="310"/>
      <c r="DI142" s="310"/>
      <c r="DJ142" s="310"/>
      <c r="DK142" s="310"/>
      <c r="DL142" s="310"/>
      <c r="DM142" s="310"/>
      <c r="DN142" s="310"/>
      <c r="DO142" s="310"/>
      <c r="DP142" s="310"/>
      <c r="DQ142" s="310"/>
      <c r="DR142" s="310"/>
      <c r="DS142" s="310"/>
      <c r="DT142" s="310"/>
      <c r="DU142" s="310"/>
      <c r="DV142" s="310"/>
      <c r="DW142" s="310"/>
      <c r="DX142" s="310"/>
      <c r="DY142" s="310"/>
      <c r="DZ142" s="310"/>
      <c r="EA142" s="310"/>
      <c r="EB142" s="310"/>
      <c r="EC142" s="310"/>
      <c r="ED142" s="310"/>
      <c r="EE142" s="310"/>
      <c r="EF142" s="310"/>
      <c r="EG142" s="310"/>
      <c r="EH142" s="310"/>
      <c r="EI142" s="310"/>
      <c r="EJ142" s="310"/>
      <c r="EK142" s="310"/>
      <c r="EL142" s="310"/>
      <c r="EM142" s="310"/>
      <c r="EN142" s="310"/>
      <c r="EO142" s="310"/>
      <c r="EP142" s="310"/>
      <c r="EQ142" s="310"/>
      <c r="ER142" s="310"/>
      <c r="ES142" s="310"/>
      <c r="ET142" s="310"/>
      <c r="EU142" s="310"/>
      <c r="EV142" s="310"/>
      <c r="EW142" s="310"/>
      <c r="EX142" s="310"/>
      <c r="EY142" s="310"/>
      <c r="EZ142" s="310"/>
      <c r="FA142" s="310"/>
      <c r="FB142" s="310"/>
      <c r="FC142" s="310"/>
      <c r="FD142" s="310"/>
      <c r="FE142" s="311"/>
      <c r="FF142" s="312"/>
    </row>
    <row r="143" spans="1:162" ht="12.75" x14ac:dyDescent="0.2">
      <c r="A143" s="446">
        <v>136</v>
      </c>
      <c r="B143" s="447" t="s">
        <v>155</v>
      </c>
      <c r="C143" s="448" t="s">
        <v>1093</v>
      </c>
      <c r="D143" s="449" t="s">
        <v>1097</v>
      </c>
      <c r="E143" s="450" t="s">
        <v>154</v>
      </c>
      <c r="F143" s="451">
        <v>55243786.399999999</v>
      </c>
      <c r="G143" s="451">
        <v>0</v>
      </c>
      <c r="H143" s="451">
        <v>0</v>
      </c>
      <c r="I143" s="451">
        <v>55243786.399999999</v>
      </c>
      <c r="J143" s="451">
        <v>630551.49</v>
      </c>
      <c r="K143" s="451">
        <v>0</v>
      </c>
      <c r="L143" s="451">
        <v>0</v>
      </c>
      <c r="M143" s="451">
        <v>630551.49</v>
      </c>
      <c r="N143" s="451">
        <v>35886</v>
      </c>
      <c r="O143" s="451">
        <v>0</v>
      </c>
      <c r="P143" s="451">
        <v>0</v>
      </c>
      <c r="Q143" s="451">
        <v>35886</v>
      </c>
      <c r="R143" s="451">
        <v>547098</v>
      </c>
      <c r="S143" s="451">
        <v>0</v>
      </c>
      <c r="T143" s="451">
        <v>0</v>
      </c>
      <c r="U143" s="451">
        <v>547098</v>
      </c>
      <c r="V143" s="451">
        <v>1414448</v>
      </c>
      <c r="W143" s="451">
        <v>0</v>
      </c>
      <c r="X143" s="451">
        <v>0</v>
      </c>
      <c r="Y143" s="451">
        <v>1414448</v>
      </c>
      <c r="Z143" s="451">
        <v>52615803</v>
      </c>
      <c r="AA143" s="451">
        <v>0</v>
      </c>
      <c r="AB143" s="451">
        <v>0</v>
      </c>
      <c r="AC143" s="451">
        <v>52615803</v>
      </c>
      <c r="AD143" s="451">
        <v>0</v>
      </c>
      <c r="AE143" s="451">
        <v>0</v>
      </c>
      <c r="AF143" s="451">
        <v>0</v>
      </c>
      <c r="AG143" s="451">
        <v>0</v>
      </c>
      <c r="AH143" s="451">
        <v>0</v>
      </c>
      <c r="AI143" s="451">
        <v>0</v>
      </c>
      <c r="AJ143" s="451">
        <v>0</v>
      </c>
      <c r="AK143" s="451">
        <v>0</v>
      </c>
      <c r="AL143" s="451">
        <v>0</v>
      </c>
      <c r="AM143" s="451">
        <v>0</v>
      </c>
      <c r="AN143" s="451">
        <v>0</v>
      </c>
      <c r="AO143" s="451">
        <v>2117158.13</v>
      </c>
      <c r="AP143" s="451">
        <v>43795.88</v>
      </c>
      <c r="AQ143" s="324"/>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c r="BQ143" s="310"/>
      <c r="BR143" s="310"/>
      <c r="BS143" s="310"/>
      <c r="BT143" s="310"/>
      <c r="BU143" s="310"/>
      <c r="BV143" s="310"/>
      <c r="BW143" s="310"/>
      <c r="BX143" s="310"/>
      <c r="BY143" s="310"/>
      <c r="BZ143" s="310"/>
      <c r="CA143" s="310"/>
      <c r="CB143" s="310"/>
      <c r="CC143" s="310"/>
      <c r="CD143" s="310"/>
      <c r="CE143" s="310"/>
      <c r="CF143" s="310"/>
      <c r="CG143" s="310"/>
      <c r="CH143" s="310"/>
      <c r="CI143" s="310"/>
      <c r="CJ143" s="310"/>
      <c r="CK143" s="310"/>
      <c r="CL143" s="310"/>
      <c r="CM143" s="310"/>
      <c r="CN143" s="310"/>
      <c r="CO143" s="310"/>
      <c r="CP143" s="310"/>
      <c r="CQ143" s="310"/>
      <c r="CR143" s="310"/>
      <c r="CS143" s="310"/>
      <c r="CT143" s="310"/>
      <c r="CU143" s="310"/>
      <c r="CV143" s="310"/>
      <c r="CW143" s="310"/>
      <c r="CX143" s="310"/>
      <c r="CY143" s="310"/>
      <c r="CZ143" s="310"/>
      <c r="DA143" s="310"/>
      <c r="DB143" s="310"/>
      <c r="DC143" s="310"/>
      <c r="DD143" s="310"/>
      <c r="DE143" s="310"/>
      <c r="DF143" s="310"/>
      <c r="DG143" s="310"/>
      <c r="DH143" s="310"/>
      <c r="DI143" s="310"/>
      <c r="DJ143" s="310"/>
      <c r="DK143" s="310"/>
      <c r="DL143" s="310"/>
      <c r="DM143" s="310"/>
      <c r="DN143" s="310"/>
      <c r="DO143" s="310"/>
      <c r="DP143" s="310"/>
      <c r="DQ143" s="310"/>
      <c r="DR143" s="310"/>
      <c r="DS143" s="310"/>
      <c r="DT143" s="310"/>
      <c r="DU143" s="310"/>
      <c r="DV143" s="310"/>
      <c r="DW143" s="310"/>
      <c r="DX143" s="310"/>
      <c r="DY143" s="310"/>
      <c r="DZ143" s="310"/>
      <c r="EA143" s="310"/>
      <c r="EB143" s="310"/>
      <c r="EC143" s="310"/>
      <c r="ED143" s="310"/>
      <c r="EE143" s="310"/>
      <c r="EF143" s="310"/>
      <c r="EG143" s="310"/>
      <c r="EH143" s="310"/>
      <c r="EI143" s="310"/>
      <c r="EJ143" s="310"/>
      <c r="EK143" s="310"/>
      <c r="EL143" s="310"/>
      <c r="EM143" s="310"/>
      <c r="EN143" s="310"/>
      <c r="EO143" s="310"/>
      <c r="EP143" s="310"/>
      <c r="EQ143" s="310"/>
      <c r="ER143" s="310"/>
      <c r="ES143" s="310"/>
      <c r="ET143" s="310"/>
      <c r="EU143" s="310"/>
      <c r="EV143" s="310"/>
      <c r="EW143" s="310"/>
      <c r="EX143" s="310"/>
      <c r="EY143" s="310"/>
      <c r="EZ143" s="310"/>
      <c r="FA143" s="310"/>
      <c r="FB143" s="310"/>
      <c r="FC143" s="310"/>
      <c r="FD143" s="310"/>
      <c r="FE143" s="311"/>
      <c r="FF143" s="312"/>
    </row>
    <row r="144" spans="1:162" ht="12.75" x14ac:dyDescent="0.2">
      <c r="A144" s="446">
        <v>137</v>
      </c>
      <c r="B144" s="447" t="s">
        <v>157</v>
      </c>
      <c r="C144" s="448" t="s">
        <v>794</v>
      </c>
      <c r="D144" s="449" t="s">
        <v>1094</v>
      </c>
      <c r="E144" s="450" t="s">
        <v>1114</v>
      </c>
      <c r="F144" s="451">
        <v>34210049.700000003</v>
      </c>
      <c r="G144" s="451">
        <v>0</v>
      </c>
      <c r="H144" s="451">
        <v>0</v>
      </c>
      <c r="I144" s="451">
        <v>34210049.700000003</v>
      </c>
      <c r="J144" s="451">
        <v>152927</v>
      </c>
      <c r="K144" s="451">
        <v>0</v>
      </c>
      <c r="L144" s="451">
        <v>0</v>
      </c>
      <c r="M144" s="451">
        <v>152927</v>
      </c>
      <c r="N144" s="451">
        <v>14235</v>
      </c>
      <c r="O144" s="451">
        <v>0</v>
      </c>
      <c r="P144" s="451">
        <v>0</v>
      </c>
      <c r="Q144" s="451">
        <v>14235</v>
      </c>
      <c r="R144" s="451">
        <v>24699</v>
      </c>
      <c r="S144" s="451">
        <v>0</v>
      </c>
      <c r="T144" s="451">
        <v>0</v>
      </c>
      <c r="U144" s="451">
        <v>24699</v>
      </c>
      <c r="V144" s="451">
        <v>3131745</v>
      </c>
      <c r="W144" s="451">
        <v>0</v>
      </c>
      <c r="X144" s="451">
        <v>0</v>
      </c>
      <c r="Y144" s="451">
        <v>3131745</v>
      </c>
      <c r="Z144" s="451">
        <v>30886444</v>
      </c>
      <c r="AA144" s="451">
        <v>0</v>
      </c>
      <c r="AB144" s="451">
        <v>0</v>
      </c>
      <c r="AC144" s="451">
        <v>30886444</v>
      </c>
      <c r="AD144" s="451">
        <v>79257</v>
      </c>
      <c r="AE144" s="451">
        <v>0</v>
      </c>
      <c r="AF144" s="451">
        <v>0</v>
      </c>
      <c r="AG144" s="451">
        <v>79257</v>
      </c>
      <c r="AH144" s="451">
        <v>0</v>
      </c>
      <c r="AI144" s="451">
        <v>0</v>
      </c>
      <c r="AJ144" s="451">
        <v>0</v>
      </c>
      <c r="AK144" s="451">
        <v>0</v>
      </c>
      <c r="AL144" s="451">
        <v>0</v>
      </c>
      <c r="AM144" s="451">
        <v>0</v>
      </c>
      <c r="AN144" s="451">
        <v>79257</v>
      </c>
      <c r="AO144" s="451">
        <v>1510017</v>
      </c>
      <c r="AP144" s="451">
        <v>513693</v>
      </c>
      <c r="AQ144" s="324"/>
      <c r="AR144" s="310"/>
      <c r="AS144" s="310"/>
      <c r="AT144" s="310"/>
      <c r="AU144" s="310"/>
      <c r="AV144" s="310"/>
      <c r="AW144" s="310"/>
      <c r="AX144" s="310"/>
      <c r="AY144" s="310"/>
      <c r="AZ144" s="310"/>
      <c r="BA144" s="310"/>
      <c r="BB144" s="310"/>
      <c r="BC144" s="310"/>
      <c r="BD144" s="310"/>
      <c r="BE144" s="310"/>
      <c r="BF144" s="310"/>
      <c r="BG144" s="310"/>
      <c r="BH144" s="310"/>
      <c r="BI144" s="310"/>
      <c r="BJ144" s="310"/>
      <c r="BK144" s="310"/>
      <c r="BL144" s="310"/>
      <c r="BM144" s="310"/>
      <c r="BN144" s="310"/>
      <c r="BO144" s="310"/>
      <c r="BP144" s="310"/>
      <c r="BQ144" s="310"/>
      <c r="BR144" s="310"/>
      <c r="BS144" s="310"/>
      <c r="BT144" s="310"/>
      <c r="BU144" s="310"/>
      <c r="BV144" s="310"/>
      <c r="BW144" s="310"/>
      <c r="BX144" s="310"/>
      <c r="BY144" s="310"/>
      <c r="BZ144" s="310"/>
      <c r="CA144" s="310"/>
      <c r="CB144" s="310"/>
      <c r="CC144" s="310"/>
      <c r="CD144" s="310"/>
      <c r="CE144" s="310"/>
      <c r="CF144" s="310"/>
      <c r="CG144" s="310"/>
      <c r="CH144" s="310"/>
      <c r="CI144" s="310"/>
      <c r="CJ144" s="310"/>
      <c r="CK144" s="310"/>
      <c r="CL144" s="310"/>
      <c r="CM144" s="310"/>
      <c r="CN144" s="310"/>
      <c r="CO144" s="310"/>
      <c r="CP144" s="310"/>
      <c r="CQ144" s="310"/>
      <c r="CR144" s="310"/>
      <c r="CS144" s="310"/>
      <c r="CT144" s="310"/>
      <c r="CU144" s="310"/>
      <c r="CV144" s="310"/>
      <c r="CW144" s="310"/>
      <c r="CX144" s="310"/>
      <c r="CY144" s="310"/>
      <c r="CZ144" s="310"/>
      <c r="DA144" s="310"/>
      <c r="DB144" s="310"/>
      <c r="DC144" s="310"/>
      <c r="DD144" s="310"/>
      <c r="DE144" s="310"/>
      <c r="DF144" s="310"/>
      <c r="DG144" s="310"/>
      <c r="DH144" s="310"/>
      <c r="DI144" s="310"/>
      <c r="DJ144" s="310"/>
      <c r="DK144" s="310"/>
      <c r="DL144" s="310"/>
      <c r="DM144" s="310"/>
      <c r="DN144" s="310"/>
      <c r="DO144" s="310"/>
      <c r="DP144" s="310"/>
      <c r="DQ144" s="310"/>
      <c r="DR144" s="310"/>
      <c r="DS144" s="310"/>
      <c r="DT144" s="310"/>
      <c r="DU144" s="310"/>
      <c r="DV144" s="310"/>
      <c r="DW144" s="310"/>
      <c r="DX144" s="310"/>
      <c r="DY144" s="310"/>
      <c r="DZ144" s="310"/>
      <c r="EA144" s="310"/>
      <c r="EB144" s="310"/>
      <c r="EC144" s="310"/>
      <c r="ED144" s="310"/>
      <c r="EE144" s="310"/>
      <c r="EF144" s="310"/>
      <c r="EG144" s="310"/>
      <c r="EH144" s="310"/>
      <c r="EI144" s="310"/>
      <c r="EJ144" s="310"/>
      <c r="EK144" s="310"/>
      <c r="EL144" s="310"/>
      <c r="EM144" s="310"/>
      <c r="EN144" s="310"/>
      <c r="EO144" s="310"/>
      <c r="EP144" s="310"/>
      <c r="EQ144" s="310"/>
      <c r="ER144" s="310"/>
      <c r="ES144" s="310"/>
      <c r="ET144" s="310"/>
      <c r="EU144" s="310"/>
      <c r="EV144" s="310"/>
      <c r="EW144" s="310"/>
      <c r="EX144" s="310"/>
      <c r="EY144" s="310"/>
      <c r="EZ144" s="310"/>
      <c r="FA144" s="310"/>
      <c r="FB144" s="310"/>
      <c r="FC144" s="310"/>
      <c r="FD144" s="310"/>
      <c r="FE144" s="311"/>
      <c r="FF144" s="312"/>
    </row>
    <row r="145" spans="1:162" ht="12.75" x14ac:dyDescent="0.2">
      <c r="A145" s="446">
        <v>138</v>
      </c>
      <c r="B145" s="447" t="s">
        <v>159</v>
      </c>
      <c r="C145" s="448" t="s">
        <v>794</v>
      </c>
      <c r="D145" s="449" t="s">
        <v>1102</v>
      </c>
      <c r="E145" s="450" t="s">
        <v>158</v>
      </c>
      <c r="F145" s="451">
        <v>1499641</v>
      </c>
      <c r="G145" s="451">
        <v>0</v>
      </c>
      <c r="H145" s="451">
        <v>0</v>
      </c>
      <c r="I145" s="451">
        <v>1499641</v>
      </c>
      <c r="J145" s="451">
        <v>0</v>
      </c>
      <c r="K145" s="451">
        <v>0</v>
      </c>
      <c r="L145" s="451">
        <v>0</v>
      </c>
      <c r="M145" s="451">
        <v>0</v>
      </c>
      <c r="N145" s="451">
        <v>40804</v>
      </c>
      <c r="O145" s="451">
        <v>0</v>
      </c>
      <c r="P145" s="451">
        <v>0</v>
      </c>
      <c r="Q145" s="451">
        <v>40804</v>
      </c>
      <c r="R145" s="451">
        <v>55000</v>
      </c>
      <c r="S145" s="451">
        <v>0</v>
      </c>
      <c r="T145" s="451">
        <v>0</v>
      </c>
      <c r="U145" s="451">
        <v>55000</v>
      </c>
      <c r="V145" s="451">
        <v>0</v>
      </c>
      <c r="W145" s="451">
        <v>0</v>
      </c>
      <c r="X145" s="451">
        <v>0</v>
      </c>
      <c r="Y145" s="451">
        <v>0</v>
      </c>
      <c r="Z145" s="451">
        <v>1403837</v>
      </c>
      <c r="AA145" s="451">
        <v>0</v>
      </c>
      <c r="AB145" s="451">
        <v>0</v>
      </c>
      <c r="AC145" s="451">
        <v>1403837</v>
      </c>
      <c r="AD145" s="451">
        <v>0</v>
      </c>
      <c r="AE145" s="451">
        <v>0</v>
      </c>
      <c r="AF145" s="451">
        <v>0</v>
      </c>
      <c r="AG145" s="451">
        <v>0</v>
      </c>
      <c r="AH145" s="451">
        <v>0</v>
      </c>
      <c r="AI145" s="451">
        <v>0</v>
      </c>
      <c r="AJ145" s="451">
        <v>0</v>
      </c>
      <c r="AK145" s="451">
        <v>0</v>
      </c>
      <c r="AL145" s="451">
        <v>0</v>
      </c>
      <c r="AM145" s="451">
        <v>0</v>
      </c>
      <c r="AN145" s="451">
        <v>0</v>
      </c>
      <c r="AO145" s="451">
        <v>232437</v>
      </c>
      <c r="AP145" s="451">
        <v>31096</v>
      </c>
      <c r="AQ145" s="324"/>
      <c r="AR145" s="310"/>
      <c r="AS145" s="310"/>
      <c r="AT145" s="310"/>
      <c r="AU145" s="310"/>
      <c r="AV145" s="310"/>
      <c r="AW145" s="310"/>
      <c r="AX145" s="310"/>
      <c r="AY145" s="310"/>
      <c r="AZ145" s="310"/>
      <c r="BA145" s="310"/>
      <c r="BB145" s="310"/>
      <c r="BC145" s="310"/>
      <c r="BD145" s="310"/>
      <c r="BE145" s="310"/>
      <c r="BF145" s="310"/>
      <c r="BG145" s="310"/>
      <c r="BH145" s="310"/>
      <c r="BI145" s="310"/>
      <c r="BJ145" s="310"/>
      <c r="BK145" s="310"/>
      <c r="BL145" s="310"/>
      <c r="BM145" s="310"/>
      <c r="BN145" s="310"/>
      <c r="BO145" s="310"/>
      <c r="BP145" s="310"/>
      <c r="BQ145" s="310"/>
      <c r="BR145" s="310"/>
      <c r="BS145" s="310"/>
      <c r="BT145" s="310"/>
      <c r="BU145" s="310"/>
      <c r="BV145" s="310"/>
      <c r="BW145" s="310"/>
      <c r="BX145" s="310"/>
      <c r="BY145" s="310"/>
      <c r="BZ145" s="310"/>
      <c r="CA145" s="310"/>
      <c r="CB145" s="310"/>
      <c r="CC145" s="310"/>
      <c r="CD145" s="310"/>
      <c r="CE145" s="310"/>
      <c r="CF145" s="310"/>
      <c r="CG145" s="310"/>
      <c r="CH145" s="310"/>
      <c r="CI145" s="310"/>
      <c r="CJ145" s="310"/>
      <c r="CK145" s="310"/>
      <c r="CL145" s="310"/>
      <c r="CM145" s="310"/>
      <c r="CN145" s="310"/>
      <c r="CO145" s="310"/>
      <c r="CP145" s="310"/>
      <c r="CQ145" s="310"/>
      <c r="CR145" s="310"/>
      <c r="CS145" s="310"/>
      <c r="CT145" s="310"/>
      <c r="CU145" s="310"/>
      <c r="CV145" s="310"/>
      <c r="CW145" s="310"/>
      <c r="CX145" s="310"/>
      <c r="CY145" s="310"/>
      <c r="CZ145" s="310"/>
      <c r="DA145" s="310"/>
      <c r="DB145" s="310"/>
      <c r="DC145" s="310"/>
      <c r="DD145" s="310"/>
      <c r="DE145" s="310"/>
      <c r="DF145" s="310"/>
      <c r="DG145" s="310"/>
      <c r="DH145" s="310"/>
      <c r="DI145" s="310"/>
      <c r="DJ145" s="310"/>
      <c r="DK145" s="310"/>
      <c r="DL145" s="310"/>
      <c r="DM145" s="310"/>
      <c r="DN145" s="310"/>
      <c r="DO145" s="310"/>
      <c r="DP145" s="310"/>
      <c r="DQ145" s="310"/>
      <c r="DR145" s="310"/>
      <c r="DS145" s="310"/>
      <c r="DT145" s="310"/>
      <c r="DU145" s="310"/>
      <c r="DV145" s="310"/>
      <c r="DW145" s="310"/>
      <c r="DX145" s="310"/>
      <c r="DY145" s="310"/>
      <c r="DZ145" s="310"/>
      <c r="EA145" s="310"/>
      <c r="EB145" s="310"/>
      <c r="EC145" s="310"/>
      <c r="ED145" s="310"/>
      <c r="EE145" s="310"/>
      <c r="EF145" s="310"/>
      <c r="EG145" s="310"/>
      <c r="EH145" s="310"/>
      <c r="EI145" s="310"/>
      <c r="EJ145" s="310"/>
      <c r="EK145" s="310"/>
      <c r="EL145" s="310"/>
      <c r="EM145" s="310"/>
      <c r="EN145" s="310"/>
      <c r="EO145" s="310"/>
      <c r="EP145" s="310"/>
      <c r="EQ145" s="310"/>
      <c r="ER145" s="310"/>
      <c r="ES145" s="310"/>
      <c r="ET145" s="310"/>
      <c r="EU145" s="310"/>
      <c r="EV145" s="310"/>
      <c r="EW145" s="310"/>
      <c r="EX145" s="310"/>
      <c r="EY145" s="310"/>
      <c r="EZ145" s="310"/>
      <c r="FA145" s="310"/>
      <c r="FB145" s="310"/>
      <c r="FC145" s="310"/>
      <c r="FD145" s="310"/>
      <c r="FE145" s="311"/>
      <c r="FF145" s="312"/>
    </row>
    <row r="146" spans="1:162" ht="12.75" x14ac:dyDescent="0.2">
      <c r="A146" s="446">
        <v>139</v>
      </c>
      <c r="B146" s="447" t="s">
        <v>161</v>
      </c>
      <c r="C146" s="448" t="s">
        <v>1104</v>
      </c>
      <c r="D146" s="449" t="s">
        <v>1099</v>
      </c>
      <c r="E146" s="450" t="s">
        <v>160</v>
      </c>
      <c r="F146" s="451">
        <v>189671108</v>
      </c>
      <c r="G146" s="451">
        <v>0</v>
      </c>
      <c r="H146" s="451">
        <v>0</v>
      </c>
      <c r="I146" s="451">
        <v>189671108</v>
      </c>
      <c r="J146" s="451">
        <v>3069676.95</v>
      </c>
      <c r="K146" s="451">
        <v>0</v>
      </c>
      <c r="L146" s="451">
        <v>0</v>
      </c>
      <c r="M146" s="451">
        <v>3069676.95</v>
      </c>
      <c r="N146" s="451">
        <v>-184770.43</v>
      </c>
      <c r="O146" s="451">
        <v>0</v>
      </c>
      <c r="P146" s="451">
        <v>0</v>
      </c>
      <c r="Q146" s="451">
        <v>-184770.43</v>
      </c>
      <c r="R146" s="451">
        <v>1994566.8</v>
      </c>
      <c r="S146" s="451">
        <v>0</v>
      </c>
      <c r="T146" s="451">
        <v>0</v>
      </c>
      <c r="U146" s="451">
        <v>1994566.8</v>
      </c>
      <c r="V146" s="451">
        <v>5539024.25</v>
      </c>
      <c r="W146" s="451">
        <v>0</v>
      </c>
      <c r="X146" s="451">
        <v>0</v>
      </c>
      <c r="Y146" s="451">
        <v>5539024.25</v>
      </c>
      <c r="Z146" s="451">
        <v>179252611</v>
      </c>
      <c r="AA146" s="451">
        <v>0</v>
      </c>
      <c r="AB146" s="451">
        <v>0</v>
      </c>
      <c r="AC146" s="451">
        <v>179252611</v>
      </c>
      <c r="AD146" s="451">
        <v>60284.38</v>
      </c>
      <c r="AE146" s="451">
        <v>0</v>
      </c>
      <c r="AF146" s="451">
        <v>0</v>
      </c>
      <c r="AG146" s="451">
        <v>60284.38</v>
      </c>
      <c r="AH146" s="451">
        <v>0</v>
      </c>
      <c r="AI146" s="451">
        <v>0</v>
      </c>
      <c r="AJ146" s="451">
        <v>0</v>
      </c>
      <c r="AK146" s="451">
        <v>0</v>
      </c>
      <c r="AL146" s="451">
        <v>0</v>
      </c>
      <c r="AM146" s="451">
        <v>0</v>
      </c>
      <c r="AN146" s="451">
        <v>60284.38</v>
      </c>
      <c r="AO146" s="451">
        <v>23022717.899999999</v>
      </c>
      <c r="AP146" s="451">
        <v>-16511225</v>
      </c>
      <c r="AQ146" s="324"/>
      <c r="AR146" s="310"/>
      <c r="AS146" s="310"/>
      <c r="AT146" s="310"/>
      <c r="AU146" s="310"/>
      <c r="AV146" s="310"/>
      <c r="AW146" s="310"/>
      <c r="AX146" s="310"/>
      <c r="AY146" s="310"/>
      <c r="AZ146" s="310"/>
      <c r="BA146" s="310"/>
      <c r="BB146" s="310"/>
      <c r="BC146" s="310"/>
      <c r="BD146" s="310"/>
      <c r="BE146" s="310"/>
      <c r="BF146" s="310"/>
      <c r="BG146" s="310"/>
      <c r="BH146" s="310"/>
      <c r="BI146" s="310"/>
      <c r="BJ146" s="310"/>
      <c r="BK146" s="310"/>
      <c r="BL146" s="310"/>
      <c r="BM146" s="310"/>
      <c r="BN146" s="310"/>
      <c r="BO146" s="310"/>
      <c r="BP146" s="310"/>
      <c r="BQ146" s="310"/>
      <c r="BR146" s="310"/>
      <c r="BS146" s="310"/>
      <c r="BT146" s="310"/>
      <c r="BU146" s="310"/>
      <c r="BV146" s="310"/>
      <c r="BW146" s="310"/>
      <c r="BX146" s="310"/>
      <c r="BY146" s="310"/>
      <c r="BZ146" s="310"/>
      <c r="CA146" s="310"/>
      <c r="CB146" s="310"/>
      <c r="CC146" s="310"/>
      <c r="CD146" s="310"/>
      <c r="CE146" s="310"/>
      <c r="CF146" s="310"/>
      <c r="CG146" s="310"/>
      <c r="CH146" s="310"/>
      <c r="CI146" s="310"/>
      <c r="CJ146" s="310"/>
      <c r="CK146" s="310"/>
      <c r="CL146" s="310"/>
      <c r="CM146" s="310"/>
      <c r="CN146" s="310"/>
      <c r="CO146" s="310"/>
      <c r="CP146" s="310"/>
      <c r="CQ146" s="310"/>
      <c r="CR146" s="310"/>
      <c r="CS146" s="310"/>
      <c r="CT146" s="310"/>
      <c r="CU146" s="310"/>
      <c r="CV146" s="310"/>
      <c r="CW146" s="310"/>
      <c r="CX146" s="310"/>
      <c r="CY146" s="310"/>
      <c r="CZ146" s="310"/>
      <c r="DA146" s="310"/>
      <c r="DB146" s="310"/>
      <c r="DC146" s="310"/>
      <c r="DD146" s="310"/>
      <c r="DE146" s="310"/>
      <c r="DF146" s="310"/>
      <c r="DG146" s="310"/>
      <c r="DH146" s="310"/>
      <c r="DI146" s="310"/>
      <c r="DJ146" s="310"/>
      <c r="DK146" s="310"/>
      <c r="DL146" s="310"/>
      <c r="DM146" s="310"/>
      <c r="DN146" s="310"/>
      <c r="DO146" s="310"/>
      <c r="DP146" s="310"/>
      <c r="DQ146" s="310"/>
      <c r="DR146" s="310"/>
      <c r="DS146" s="310"/>
      <c r="DT146" s="310"/>
      <c r="DU146" s="310"/>
      <c r="DV146" s="310"/>
      <c r="DW146" s="310"/>
      <c r="DX146" s="310"/>
      <c r="DY146" s="310"/>
      <c r="DZ146" s="310"/>
      <c r="EA146" s="310"/>
      <c r="EB146" s="310"/>
      <c r="EC146" s="310"/>
      <c r="ED146" s="310"/>
      <c r="EE146" s="310"/>
      <c r="EF146" s="310"/>
      <c r="EG146" s="310"/>
      <c r="EH146" s="310"/>
      <c r="EI146" s="310"/>
      <c r="EJ146" s="310"/>
      <c r="EK146" s="310"/>
      <c r="EL146" s="310"/>
      <c r="EM146" s="310"/>
      <c r="EN146" s="310"/>
      <c r="EO146" s="310"/>
      <c r="EP146" s="310"/>
      <c r="EQ146" s="310"/>
      <c r="ER146" s="310"/>
      <c r="ES146" s="310"/>
      <c r="ET146" s="310"/>
      <c r="EU146" s="310"/>
      <c r="EV146" s="310"/>
      <c r="EW146" s="310"/>
      <c r="EX146" s="310"/>
      <c r="EY146" s="310"/>
      <c r="EZ146" s="310"/>
      <c r="FA146" s="310"/>
      <c r="FB146" s="310"/>
      <c r="FC146" s="310"/>
      <c r="FD146" s="310"/>
      <c r="FE146" s="311"/>
      <c r="FF146" s="312"/>
    </row>
    <row r="147" spans="1:162" ht="12.75" x14ac:dyDescent="0.2">
      <c r="A147" s="446">
        <v>140</v>
      </c>
      <c r="B147" s="447" t="s">
        <v>163</v>
      </c>
      <c r="C147" s="448" t="s">
        <v>1104</v>
      </c>
      <c r="D147" s="449" t="s">
        <v>1099</v>
      </c>
      <c r="E147" s="450" t="s">
        <v>722</v>
      </c>
      <c r="F147" s="451">
        <v>277839645</v>
      </c>
      <c r="G147" s="451">
        <v>0</v>
      </c>
      <c r="H147" s="451">
        <v>0</v>
      </c>
      <c r="I147" s="451">
        <v>277839645</v>
      </c>
      <c r="J147" s="451">
        <v>1045308</v>
      </c>
      <c r="K147" s="451">
        <v>0</v>
      </c>
      <c r="L147" s="451">
        <v>0</v>
      </c>
      <c r="M147" s="451">
        <v>1045308</v>
      </c>
      <c r="N147" s="451">
        <v>948812</v>
      </c>
      <c r="O147" s="451">
        <v>0</v>
      </c>
      <c r="P147" s="451">
        <v>0</v>
      </c>
      <c r="Q147" s="451">
        <v>948812</v>
      </c>
      <c r="R147" s="451">
        <v>2471941</v>
      </c>
      <c r="S147" s="451">
        <v>0</v>
      </c>
      <c r="T147" s="451">
        <v>0</v>
      </c>
      <c r="U147" s="451">
        <v>2471941</v>
      </c>
      <c r="V147" s="451">
        <v>9887765</v>
      </c>
      <c r="W147" s="451">
        <v>0</v>
      </c>
      <c r="X147" s="451">
        <v>0</v>
      </c>
      <c r="Y147" s="451">
        <v>9887765</v>
      </c>
      <c r="Z147" s="451">
        <v>263485819</v>
      </c>
      <c r="AA147" s="451">
        <v>0</v>
      </c>
      <c r="AB147" s="451">
        <v>0</v>
      </c>
      <c r="AC147" s="451">
        <v>263485819</v>
      </c>
      <c r="AD147" s="451">
        <v>0</v>
      </c>
      <c r="AE147" s="451">
        <v>0</v>
      </c>
      <c r="AF147" s="451">
        <v>0</v>
      </c>
      <c r="AG147" s="451">
        <v>0</v>
      </c>
      <c r="AH147" s="451">
        <v>0</v>
      </c>
      <c r="AI147" s="451">
        <v>0</v>
      </c>
      <c r="AJ147" s="451">
        <v>0</v>
      </c>
      <c r="AK147" s="451">
        <v>0</v>
      </c>
      <c r="AL147" s="451">
        <v>0</v>
      </c>
      <c r="AM147" s="451">
        <v>0</v>
      </c>
      <c r="AN147" s="451">
        <v>0</v>
      </c>
      <c r="AO147" s="451">
        <v>9210633</v>
      </c>
      <c r="AP147" s="451">
        <v>7744596</v>
      </c>
      <c r="AQ147" s="324"/>
      <c r="AR147" s="310"/>
      <c r="AS147" s="310"/>
      <c r="AT147" s="310"/>
      <c r="AU147" s="310"/>
      <c r="AV147" s="310"/>
      <c r="AW147" s="310"/>
      <c r="AX147" s="310"/>
      <c r="AY147" s="310"/>
      <c r="AZ147" s="310"/>
      <c r="BA147" s="310"/>
      <c r="BB147" s="310"/>
      <c r="BC147" s="310"/>
      <c r="BD147" s="310"/>
      <c r="BE147" s="310"/>
      <c r="BF147" s="310"/>
      <c r="BG147" s="310"/>
      <c r="BH147" s="310"/>
      <c r="BI147" s="310"/>
      <c r="BJ147" s="310"/>
      <c r="BK147" s="310"/>
      <c r="BL147" s="310"/>
      <c r="BM147" s="310"/>
      <c r="BN147" s="310"/>
      <c r="BO147" s="310"/>
      <c r="BP147" s="310"/>
      <c r="BQ147" s="310"/>
      <c r="BR147" s="310"/>
      <c r="BS147" s="310"/>
      <c r="BT147" s="310"/>
      <c r="BU147" s="310"/>
      <c r="BV147" s="310"/>
      <c r="BW147" s="310"/>
      <c r="BX147" s="310"/>
      <c r="BY147" s="310"/>
      <c r="BZ147" s="310"/>
      <c r="CA147" s="310"/>
      <c r="CB147" s="310"/>
      <c r="CC147" s="310"/>
      <c r="CD147" s="310"/>
      <c r="CE147" s="310"/>
      <c r="CF147" s="310"/>
      <c r="CG147" s="310"/>
      <c r="CH147" s="310"/>
      <c r="CI147" s="310"/>
      <c r="CJ147" s="310"/>
      <c r="CK147" s="310"/>
      <c r="CL147" s="310"/>
      <c r="CM147" s="310"/>
      <c r="CN147" s="310"/>
      <c r="CO147" s="310"/>
      <c r="CP147" s="310"/>
      <c r="CQ147" s="310"/>
      <c r="CR147" s="310"/>
      <c r="CS147" s="310"/>
      <c r="CT147" s="310"/>
      <c r="CU147" s="310"/>
      <c r="CV147" s="310"/>
      <c r="CW147" s="310"/>
      <c r="CX147" s="310"/>
      <c r="CY147" s="310"/>
      <c r="CZ147" s="310"/>
      <c r="DA147" s="310"/>
      <c r="DB147" s="310"/>
      <c r="DC147" s="310"/>
      <c r="DD147" s="310"/>
      <c r="DE147" s="310"/>
      <c r="DF147" s="310"/>
      <c r="DG147" s="310"/>
      <c r="DH147" s="310"/>
      <c r="DI147" s="310"/>
      <c r="DJ147" s="310"/>
      <c r="DK147" s="310"/>
      <c r="DL147" s="310"/>
      <c r="DM147" s="310"/>
      <c r="DN147" s="310"/>
      <c r="DO147" s="310"/>
      <c r="DP147" s="310"/>
      <c r="DQ147" s="310"/>
      <c r="DR147" s="310"/>
      <c r="DS147" s="310"/>
      <c r="DT147" s="310"/>
      <c r="DU147" s="310"/>
      <c r="DV147" s="310"/>
      <c r="DW147" s="310"/>
      <c r="DX147" s="310"/>
      <c r="DY147" s="310"/>
      <c r="DZ147" s="310"/>
      <c r="EA147" s="310"/>
      <c r="EB147" s="310"/>
      <c r="EC147" s="310"/>
      <c r="ED147" s="310"/>
      <c r="EE147" s="310"/>
      <c r="EF147" s="310"/>
      <c r="EG147" s="310"/>
      <c r="EH147" s="310"/>
      <c r="EI147" s="310"/>
      <c r="EJ147" s="310"/>
      <c r="EK147" s="310"/>
      <c r="EL147" s="310"/>
      <c r="EM147" s="310"/>
      <c r="EN147" s="310"/>
      <c r="EO147" s="310"/>
      <c r="EP147" s="310"/>
      <c r="EQ147" s="310"/>
      <c r="ER147" s="310"/>
      <c r="ES147" s="310"/>
      <c r="ET147" s="310"/>
      <c r="EU147" s="310"/>
      <c r="EV147" s="310"/>
      <c r="EW147" s="310"/>
      <c r="EX147" s="310"/>
      <c r="EY147" s="310"/>
      <c r="EZ147" s="310"/>
      <c r="FA147" s="310"/>
      <c r="FB147" s="310"/>
      <c r="FC147" s="310"/>
      <c r="FD147" s="310"/>
      <c r="FE147" s="311"/>
      <c r="FF147" s="312"/>
    </row>
    <row r="148" spans="1:162" ht="12.75" x14ac:dyDescent="0.2">
      <c r="A148" s="446">
        <v>141</v>
      </c>
      <c r="B148" s="447" t="s">
        <v>165</v>
      </c>
      <c r="C148" s="448" t="s">
        <v>1093</v>
      </c>
      <c r="D148" s="449" t="s">
        <v>1096</v>
      </c>
      <c r="E148" s="450" t="s">
        <v>164</v>
      </c>
      <c r="F148" s="451">
        <v>31075137</v>
      </c>
      <c r="G148" s="451">
        <v>0</v>
      </c>
      <c r="H148" s="451">
        <v>0</v>
      </c>
      <c r="I148" s="451">
        <v>31075137</v>
      </c>
      <c r="J148" s="451">
        <v>129889</v>
      </c>
      <c r="K148" s="451">
        <v>0</v>
      </c>
      <c r="L148" s="451">
        <v>0</v>
      </c>
      <c r="M148" s="451">
        <v>129889</v>
      </c>
      <c r="N148" s="451">
        <v>-7608</v>
      </c>
      <c r="O148" s="451">
        <v>0</v>
      </c>
      <c r="P148" s="451">
        <v>0</v>
      </c>
      <c r="Q148" s="451">
        <v>-7608</v>
      </c>
      <c r="R148" s="451">
        <v>64540</v>
      </c>
      <c r="S148" s="451">
        <v>0</v>
      </c>
      <c r="T148" s="451">
        <v>0</v>
      </c>
      <c r="U148" s="451">
        <v>64540</v>
      </c>
      <c r="V148" s="451">
        <v>1083881</v>
      </c>
      <c r="W148" s="451">
        <v>0</v>
      </c>
      <c r="X148" s="451">
        <v>0</v>
      </c>
      <c r="Y148" s="451">
        <v>1083881</v>
      </c>
      <c r="Z148" s="451">
        <v>29804435</v>
      </c>
      <c r="AA148" s="451">
        <v>0</v>
      </c>
      <c r="AB148" s="451">
        <v>0</v>
      </c>
      <c r="AC148" s="451">
        <v>29804435</v>
      </c>
      <c r="AD148" s="451">
        <v>0</v>
      </c>
      <c r="AE148" s="451">
        <v>0</v>
      </c>
      <c r="AF148" s="451">
        <v>0</v>
      </c>
      <c r="AG148" s="451">
        <v>0</v>
      </c>
      <c r="AH148" s="451">
        <v>0</v>
      </c>
      <c r="AI148" s="451">
        <v>0</v>
      </c>
      <c r="AJ148" s="451">
        <v>0</v>
      </c>
      <c r="AK148" s="451">
        <v>0</v>
      </c>
      <c r="AL148" s="451">
        <v>0</v>
      </c>
      <c r="AM148" s="451">
        <v>0</v>
      </c>
      <c r="AN148" s="451">
        <v>0</v>
      </c>
      <c r="AO148" s="451">
        <v>557455</v>
      </c>
      <c r="AP148" s="451">
        <v>380626</v>
      </c>
      <c r="AQ148" s="324"/>
      <c r="AR148" s="310"/>
      <c r="AS148" s="310"/>
      <c r="AT148" s="310"/>
      <c r="AU148" s="310"/>
      <c r="AV148" s="310"/>
      <c r="AW148" s="310"/>
      <c r="AX148" s="310"/>
      <c r="AY148" s="310"/>
      <c r="AZ148" s="310"/>
      <c r="BA148" s="310"/>
      <c r="BB148" s="310"/>
      <c r="BC148" s="310"/>
      <c r="BD148" s="310"/>
      <c r="BE148" s="310"/>
      <c r="BF148" s="310"/>
      <c r="BG148" s="310"/>
      <c r="BH148" s="310"/>
      <c r="BI148" s="310"/>
      <c r="BJ148" s="310"/>
      <c r="BK148" s="310"/>
      <c r="BL148" s="310"/>
      <c r="BM148" s="310"/>
      <c r="BN148" s="310"/>
      <c r="BO148" s="310"/>
      <c r="BP148" s="310"/>
      <c r="BQ148" s="310"/>
      <c r="BR148" s="310"/>
      <c r="BS148" s="310"/>
      <c r="BT148" s="310"/>
      <c r="BU148" s="310"/>
      <c r="BV148" s="310"/>
      <c r="BW148" s="310"/>
      <c r="BX148" s="310"/>
      <c r="BY148" s="310"/>
      <c r="BZ148" s="310"/>
      <c r="CA148" s="310"/>
      <c r="CB148" s="310"/>
      <c r="CC148" s="310"/>
      <c r="CD148" s="310"/>
      <c r="CE148" s="310"/>
      <c r="CF148" s="310"/>
      <c r="CG148" s="310"/>
      <c r="CH148" s="310"/>
      <c r="CI148" s="310"/>
      <c r="CJ148" s="310"/>
      <c r="CK148" s="310"/>
      <c r="CL148" s="310"/>
      <c r="CM148" s="310"/>
      <c r="CN148" s="310"/>
      <c r="CO148" s="310"/>
      <c r="CP148" s="310"/>
      <c r="CQ148" s="310"/>
      <c r="CR148" s="310"/>
      <c r="CS148" s="310"/>
      <c r="CT148" s="310"/>
      <c r="CU148" s="310"/>
      <c r="CV148" s="310"/>
      <c r="CW148" s="310"/>
      <c r="CX148" s="310"/>
      <c r="CY148" s="310"/>
      <c r="CZ148" s="310"/>
      <c r="DA148" s="310"/>
      <c r="DB148" s="310"/>
      <c r="DC148" s="310"/>
      <c r="DD148" s="310"/>
      <c r="DE148" s="310"/>
      <c r="DF148" s="310"/>
      <c r="DG148" s="310"/>
      <c r="DH148" s="310"/>
      <c r="DI148" s="310"/>
      <c r="DJ148" s="310"/>
      <c r="DK148" s="310"/>
      <c r="DL148" s="310"/>
      <c r="DM148" s="310"/>
      <c r="DN148" s="310"/>
      <c r="DO148" s="310"/>
      <c r="DP148" s="310"/>
      <c r="DQ148" s="310"/>
      <c r="DR148" s="310"/>
      <c r="DS148" s="310"/>
      <c r="DT148" s="310"/>
      <c r="DU148" s="310"/>
      <c r="DV148" s="310"/>
      <c r="DW148" s="310"/>
      <c r="DX148" s="310"/>
      <c r="DY148" s="310"/>
      <c r="DZ148" s="310"/>
      <c r="EA148" s="310"/>
      <c r="EB148" s="310"/>
      <c r="EC148" s="310"/>
      <c r="ED148" s="310"/>
      <c r="EE148" s="310"/>
      <c r="EF148" s="310"/>
      <c r="EG148" s="310"/>
      <c r="EH148" s="310"/>
      <c r="EI148" s="310"/>
      <c r="EJ148" s="310"/>
      <c r="EK148" s="310"/>
      <c r="EL148" s="310"/>
      <c r="EM148" s="310"/>
      <c r="EN148" s="310"/>
      <c r="EO148" s="310"/>
      <c r="EP148" s="310"/>
      <c r="EQ148" s="310"/>
      <c r="ER148" s="310"/>
      <c r="ES148" s="310"/>
      <c r="ET148" s="310"/>
      <c r="EU148" s="310"/>
      <c r="EV148" s="310"/>
      <c r="EW148" s="310"/>
      <c r="EX148" s="310"/>
      <c r="EY148" s="310"/>
      <c r="EZ148" s="310"/>
      <c r="FA148" s="310"/>
      <c r="FB148" s="310"/>
      <c r="FC148" s="310"/>
      <c r="FD148" s="310"/>
      <c r="FE148" s="311"/>
      <c r="FF148" s="312"/>
    </row>
    <row r="149" spans="1:162" ht="12.75" x14ac:dyDescent="0.2">
      <c r="A149" s="446">
        <v>142</v>
      </c>
      <c r="B149" s="447" t="s">
        <v>167</v>
      </c>
      <c r="C149" s="448" t="s">
        <v>1093</v>
      </c>
      <c r="D149" s="449" t="s">
        <v>1097</v>
      </c>
      <c r="E149" s="450" t="s">
        <v>1115</v>
      </c>
      <c r="F149" s="451">
        <v>43519063</v>
      </c>
      <c r="G149" s="451">
        <v>0</v>
      </c>
      <c r="H149" s="451">
        <v>0</v>
      </c>
      <c r="I149" s="451">
        <v>43519063</v>
      </c>
      <c r="J149" s="451">
        <v>421606</v>
      </c>
      <c r="K149" s="451">
        <v>0</v>
      </c>
      <c r="L149" s="451">
        <v>0</v>
      </c>
      <c r="M149" s="451">
        <v>421606</v>
      </c>
      <c r="N149" s="451">
        <v>-132549</v>
      </c>
      <c r="O149" s="451">
        <v>0</v>
      </c>
      <c r="P149" s="451">
        <v>0</v>
      </c>
      <c r="Q149" s="451">
        <v>-132549</v>
      </c>
      <c r="R149" s="451">
        <v>2868287.37</v>
      </c>
      <c r="S149" s="451">
        <v>0</v>
      </c>
      <c r="T149" s="451">
        <v>0</v>
      </c>
      <c r="U149" s="451">
        <v>2868287.37</v>
      </c>
      <c r="V149" s="451">
        <v>5736268.29</v>
      </c>
      <c r="W149" s="451">
        <v>0</v>
      </c>
      <c r="X149" s="451">
        <v>0</v>
      </c>
      <c r="Y149" s="451">
        <v>5736268.29</v>
      </c>
      <c r="Z149" s="451">
        <v>34625450</v>
      </c>
      <c r="AA149" s="451">
        <v>0</v>
      </c>
      <c r="AB149" s="451">
        <v>0</v>
      </c>
      <c r="AC149" s="451">
        <v>34625450</v>
      </c>
      <c r="AD149" s="451">
        <v>329248</v>
      </c>
      <c r="AE149" s="451">
        <v>0</v>
      </c>
      <c r="AF149" s="451">
        <v>0</v>
      </c>
      <c r="AG149" s="451">
        <v>329248</v>
      </c>
      <c r="AH149" s="451">
        <v>0</v>
      </c>
      <c r="AI149" s="451">
        <v>0</v>
      </c>
      <c r="AJ149" s="451">
        <v>0</v>
      </c>
      <c r="AK149" s="451">
        <v>0</v>
      </c>
      <c r="AL149" s="451">
        <v>0</v>
      </c>
      <c r="AM149" s="451">
        <v>0</v>
      </c>
      <c r="AN149" s="451">
        <v>329248</v>
      </c>
      <c r="AO149" s="451">
        <v>1176155</v>
      </c>
      <c r="AP149" s="451">
        <v>364956</v>
      </c>
      <c r="AQ149" s="324"/>
      <c r="AR149" s="310"/>
      <c r="AS149" s="310"/>
      <c r="AT149" s="310"/>
      <c r="AU149" s="310"/>
      <c r="AV149" s="310"/>
      <c r="AW149" s="310"/>
      <c r="AX149" s="310"/>
      <c r="AY149" s="310"/>
      <c r="AZ149" s="310"/>
      <c r="BA149" s="310"/>
      <c r="BB149" s="310"/>
      <c r="BC149" s="310"/>
      <c r="BD149" s="310"/>
      <c r="BE149" s="310"/>
      <c r="BF149" s="310"/>
      <c r="BG149" s="310"/>
      <c r="BH149" s="310"/>
      <c r="BI149" s="310"/>
      <c r="BJ149" s="310"/>
      <c r="BK149" s="310"/>
      <c r="BL149" s="310"/>
      <c r="BM149" s="310"/>
      <c r="BN149" s="310"/>
      <c r="BO149" s="310"/>
      <c r="BP149" s="310"/>
      <c r="BQ149" s="310"/>
      <c r="BR149" s="310"/>
      <c r="BS149" s="310"/>
      <c r="BT149" s="310"/>
      <c r="BU149" s="310"/>
      <c r="BV149" s="310"/>
      <c r="BW149" s="310"/>
      <c r="BX149" s="310"/>
      <c r="BY149" s="310"/>
      <c r="BZ149" s="310"/>
      <c r="CA149" s="310"/>
      <c r="CB149" s="310"/>
      <c r="CC149" s="310"/>
      <c r="CD149" s="310"/>
      <c r="CE149" s="310"/>
      <c r="CF149" s="310"/>
      <c r="CG149" s="310"/>
      <c r="CH149" s="310"/>
      <c r="CI149" s="310"/>
      <c r="CJ149" s="310"/>
      <c r="CK149" s="310"/>
      <c r="CL149" s="310"/>
      <c r="CM149" s="310"/>
      <c r="CN149" s="310"/>
      <c r="CO149" s="310"/>
      <c r="CP149" s="310"/>
      <c r="CQ149" s="310"/>
      <c r="CR149" s="310"/>
      <c r="CS149" s="310"/>
      <c r="CT149" s="310"/>
      <c r="CU149" s="310"/>
      <c r="CV149" s="310"/>
      <c r="CW149" s="310"/>
      <c r="CX149" s="310"/>
      <c r="CY149" s="310"/>
      <c r="CZ149" s="310"/>
      <c r="DA149" s="310"/>
      <c r="DB149" s="310"/>
      <c r="DC149" s="310"/>
      <c r="DD149" s="310"/>
      <c r="DE149" s="310"/>
      <c r="DF149" s="310"/>
      <c r="DG149" s="310"/>
      <c r="DH149" s="310"/>
      <c r="DI149" s="310"/>
      <c r="DJ149" s="310"/>
      <c r="DK149" s="310"/>
      <c r="DL149" s="310"/>
      <c r="DM149" s="310"/>
      <c r="DN149" s="310"/>
      <c r="DO149" s="310"/>
      <c r="DP149" s="310"/>
      <c r="DQ149" s="310"/>
      <c r="DR149" s="310"/>
      <c r="DS149" s="310"/>
      <c r="DT149" s="310"/>
      <c r="DU149" s="310"/>
      <c r="DV149" s="310"/>
      <c r="DW149" s="310"/>
      <c r="DX149" s="310"/>
      <c r="DY149" s="310"/>
      <c r="DZ149" s="310"/>
      <c r="EA149" s="310"/>
      <c r="EB149" s="310"/>
      <c r="EC149" s="310"/>
      <c r="ED149" s="310"/>
      <c r="EE149" s="310"/>
      <c r="EF149" s="310"/>
      <c r="EG149" s="310"/>
      <c r="EH149" s="310"/>
      <c r="EI149" s="310"/>
      <c r="EJ149" s="310"/>
      <c r="EK149" s="310"/>
      <c r="EL149" s="310"/>
      <c r="EM149" s="310"/>
      <c r="EN149" s="310"/>
      <c r="EO149" s="310"/>
      <c r="EP149" s="310"/>
      <c r="EQ149" s="310"/>
      <c r="ER149" s="310"/>
      <c r="ES149" s="310"/>
      <c r="ET149" s="310"/>
      <c r="EU149" s="310"/>
      <c r="EV149" s="310"/>
      <c r="EW149" s="310"/>
      <c r="EX149" s="310"/>
      <c r="EY149" s="310"/>
      <c r="EZ149" s="310"/>
      <c r="FA149" s="310"/>
      <c r="FB149" s="310"/>
      <c r="FC149" s="310"/>
      <c r="FD149" s="310"/>
      <c r="FE149" s="311"/>
      <c r="FF149" s="312"/>
    </row>
    <row r="150" spans="1:162" ht="12.75" x14ac:dyDescent="0.2">
      <c r="A150" s="446">
        <v>143</v>
      </c>
      <c r="B150" s="447" t="s">
        <v>169</v>
      </c>
      <c r="C150" s="448" t="s">
        <v>794</v>
      </c>
      <c r="D150" s="449" t="s">
        <v>1101</v>
      </c>
      <c r="E150" s="450" t="s">
        <v>1116</v>
      </c>
      <c r="F150" s="451">
        <v>91014525.599999994</v>
      </c>
      <c r="G150" s="451">
        <v>0</v>
      </c>
      <c r="H150" s="451">
        <v>50413</v>
      </c>
      <c r="I150" s="451">
        <v>91064938.599999994</v>
      </c>
      <c r="J150" s="451">
        <v>1018797</v>
      </c>
      <c r="K150" s="451">
        <v>0</v>
      </c>
      <c r="L150" s="451">
        <v>0</v>
      </c>
      <c r="M150" s="451">
        <v>1018797</v>
      </c>
      <c r="N150" s="451">
        <v>96720</v>
      </c>
      <c r="O150" s="451">
        <v>0</v>
      </c>
      <c r="P150" s="451">
        <v>0</v>
      </c>
      <c r="Q150" s="451">
        <v>96720</v>
      </c>
      <c r="R150" s="451">
        <v>982000</v>
      </c>
      <c r="S150" s="451">
        <v>0</v>
      </c>
      <c r="T150" s="451">
        <v>0</v>
      </c>
      <c r="U150" s="451">
        <v>982000</v>
      </c>
      <c r="V150" s="451">
        <v>4018000</v>
      </c>
      <c r="W150" s="451">
        <v>0</v>
      </c>
      <c r="X150" s="451">
        <v>0</v>
      </c>
      <c r="Y150" s="451">
        <v>4018000</v>
      </c>
      <c r="Z150" s="451">
        <v>84899009</v>
      </c>
      <c r="AA150" s="451">
        <v>0</v>
      </c>
      <c r="AB150" s="451">
        <v>50413</v>
      </c>
      <c r="AC150" s="451">
        <v>84949422</v>
      </c>
      <c r="AD150" s="451">
        <v>0</v>
      </c>
      <c r="AE150" s="451">
        <v>0</v>
      </c>
      <c r="AF150" s="451">
        <v>0</v>
      </c>
      <c r="AG150" s="451">
        <v>0</v>
      </c>
      <c r="AH150" s="451">
        <v>0</v>
      </c>
      <c r="AI150" s="451">
        <v>0</v>
      </c>
      <c r="AJ150" s="451">
        <v>0</v>
      </c>
      <c r="AK150" s="451">
        <v>154475</v>
      </c>
      <c r="AL150" s="451">
        <v>0</v>
      </c>
      <c r="AM150" s="451">
        <v>0</v>
      </c>
      <c r="AN150" s="451">
        <v>0</v>
      </c>
      <c r="AO150" s="451">
        <v>6487576</v>
      </c>
      <c r="AP150" s="451">
        <v>678415</v>
      </c>
      <c r="AQ150" s="324"/>
      <c r="AR150" s="310"/>
      <c r="AS150" s="310"/>
      <c r="AT150" s="310"/>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c r="BO150" s="310"/>
      <c r="BP150" s="310"/>
      <c r="BQ150" s="310"/>
      <c r="BR150" s="310"/>
      <c r="BS150" s="310"/>
      <c r="BT150" s="310"/>
      <c r="BU150" s="310"/>
      <c r="BV150" s="310"/>
      <c r="BW150" s="310"/>
      <c r="BX150" s="310"/>
      <c r="BY150" s="310"/>
      <c r="BZ150" s="310"/>
      <c r="CA150" s="310"/>
      <c r="CB150" s="310"/>
      <c r="CC150" s="310"/>
      <c r="CD150" s="310"/>
      <c r="CE150" s="310"/>
      <c r="CF150" s="310"/>
      <c r="CG150" s="310"/>
      <c r="CH150" s="310"/>
      <c r="CI150" s="310"/>
      <c r="CJ150" s="310"/>
      <c r="CK150" s="310"/>
      <c r="CL150" s="310"/>
      <c r="CM150" s="310"/>
      <c r="CN150" s="310"/>
      <c r="CO150" s="310"/>
      <c r="CP150" s="310"/>
      <c r="CQ150" s="310"/>
      <c r="CR150" s="310"/>
      <c r="CS150" s="310"/>
      <c r="CT150" s="310"/>
      <c r="CU150" s="310"/>
      <c r="CV150" s="310"/>
      <c r="CW150" s="310"/>
      <c r="CX150" s="310"/>
      <c r="CY150" s="310"/>
      <c r="CZ150" s="310"/>
      <c r="DA150" s="310"/>
      <c r="DB150" s="310"/>
      <c r="DC150" s="310"/>
      <c r="DD150" s="310"/>
      <c r="DE150" s="310"/>
      <c r="DF150" s="310"/>
      <c r="DG150" s="310"/>
      <c r="DH150" s="310"/>
      <c r="DI150" s="310"/>
      <c r="DJ150" s="310"/>
      <c r="DK150" s="310"/>
      <c r="DL150" s="310"/>
      <c r="DM150" s="310"/>
      <c r="DN150" s="310"/>
      <c r="DO150" s="310"/>
      <c r="DP150" s="310"/>
      <c r="DQ150" s="310"/>
      <c r="DR150" s="310"/>
      <c r="DS150" s="310"/>
      <c r="DT150" s="310"/>
      <c r="DU150" s="310"/>
      <c r="DV150" s="310"/>
      <c r="DW150" s="310"/>
      <c r="DX150" s="310"/>
      <c r="DY150" s="310"/>
      <c r="DZ150" s="310"/>
      <c r="EA150" s="310"/>
      <c r="EB150" s="310"/>
      <c r="EC150" s="310"/>
      <c r="ED150" s="310"/>
      <c r="EE150" s="310"/>
      <c r="EF150" s="310"/>
      <c r="EG150" s="310"/>
      <c r="EH150" s="310"/>
      <c r="EI150" s="310"/>
      <c r="EJ150" s="310"/>
      <c r="EK150" s="310"/>
      <c r="EL150" s="310"/>
      <c r="EM150" s="310"/>
      <c r="EN150" s="310"/>
      <c r="EO150" s="310"/>
      <c r="EP150" s="310"/>
      <c r="EQ150" s="310"/>
      <c r="ER150" s="310"/>
      <c r="ES150" s="310"/>
      <c r="ET150" s="310"/>
      <c r="EU150" s="310"/>
      <c r="EV150" s="310"/>
      <c r="EW150" s="310"/>
      <c r="EX150" s="310"/>
      <c r="EY150" s="310"/>
      <c r="EZ150" s="310"/>
      <c r="FA150" s="310"/>
      <c r="FB150" s="310"/>
      <c r="FC150" s="310"/>
      <c r="FD150" s="310"/>
      <c r="FE150" s="311"/>
      <c r="FF150" s="312"/>
    </row>
    <row r="151" spans="1:162" ht="12.75" x14ac:dyDescent="0.2">
      <c r="A151" s="446">
        <v>144</v>
      </c>
      <c r="B151" s="447" t="s">
        <v>171</v>
      </c>
      <c r="C151" s="448" t="s">
        <v>1098</v>
      </c>
      <c r="D151" s="449" t="s">
        <v>1099</v>
      </c>
      <c r="E151" s="450" t="s">
        <v>170</v>
      </c>
      <c r="F151" s="451">
        <v>81847112.700000003</v>
      </c>
      <c r="G151" s="451">
        <v>0</v>
      </c>
      <c r="H151" s="451">
        <v>0</v>
      </c>
      <c r="I151" s="451">
        <v>81847112.700000003</v>
      </c>
      <c r="J151" s="451">
        <v>82955.55</v>
      </c>
      <c r="K151" s="451">
        <v>0</v>
      </c>
      <c r="L151" s="451">
        <v>0</v>
      </c>
      <c r="M151" s="451">
        <v>82955.55</v>
      </c>
      <c r="N151" s="451">
        <v>1099723</v>
      </c>
      <c r="O151" s="451">
        <v>0</v>
      </c>
      <c r="P151" s="451">
        <v>0</v>
      </c>
      <c r="Q151" s="451">
        <v>1099723</v>
      </c>
      <c r="R151" s="451">
        <v>857643</v>
      </c>
      <c r="S151" s="451">
        <v>0</v>
      </c>
      <c r="T151" s="451">
        <v>0</v>
      </c>
      <c r="U151" s="451">
        <v>857643</v>
      </c>
      <c r="V151" s="451">
        <v>2915559</v>
      </c>
      <c r="W151" s="451">
        <v>0</v>
      </c>
      <c r="X151" s="451">
        <v>0</v>
      </c>
      <c r="Y151" s="451">
        <v>2915559</v>
      </c>
      <c r="Z151" s="451">
        <v>76891232</v>
      </c>
      <c r="AA151" s="451">
        <v>0</v>
      </c>
      <c r="AB151" s="451">
        <v>0</v>
      </c>
      <c r="AC151" s="451">
        <v>76891232</v>
      </c>
      <c r="AD151" s="451">
        <v>0</v>
      </c>
      <c r="AE151" s="451">
        <v>0</v>
      </c>
      <c r="AF151" s="451">
        <v>0</v>
      </c>
      <c r="AG151" s="451">
        <v>0</v>
      </c>
      <c r="AH151" s="451">
        <v>0</v>
      </c>
      <c r="AI151" s="451">
        <v>0</v>
      </c>
      <c r="AJ151" s="451">
        <v>0</v>
      </c>
      <c r="AK151" s="451">
        <v>0</v>
      </c>
      <c r="AL151" s="451">
        <v>0</v>
      </c>
      <c r="AM151" s="451">
        <v>0</v>
      </c>
      <c r="AN151" s="451">
        <v>0</v>
      </c>
      <c r="AO151" s="451">
        <v>3949203</v>
      </c>
      <c r="AP151" s="451">
        <v>793000</v>
      </c>
      <c r="AQ151" s="324"/>
      <c r="AR151" s="310"/>
      <c r="AS151" s="310"/>
      <c r="AT151" s="310"/>
      <c r="AU151" s="310"/>
      <c r="AV151" s="310"/>
      <c r="AW151" s="310"/>
      <c r="AX151" s="310"/>
      <c r="AY151" s="310"/>
      <c r="AZ151" s="310"/>
      <c r="BA151" s="310"/>
      <c r="BB151" s="310"/>
      <c r="BC151" s="310"/>
      <c r="BD151" s="310"/>
      <c r="BE151" s="310"/>
      <c r="BF151" s="310"/>
      <c r="BG151" s="310"/>
      <c r="BH151" s="310"/>
      <c r="BI151" s="310"/>
      <c r="BJ151" s="310"/>
      <c r="BK151" s="310"/>
      <c r="BL151" s="310"/>
      <c r="BM151" s="310"/>
      <c r="BN151" s="310"/>
      <c r="BO151" s="310"/>
      <c r="BP151" s="310"/>
      <c r="BQ151" s="310"/>
      <c r="BR151" s="310"/>
      <c r="BS151" s="310"/>
      <c r="BT151" s="310"/>
      <c r="BU151" s="310"/>
      <c r="BV151" s="310"/>
      <c r="BW151" s="310"/>
      <c r="BX151" s="310"/>
      <c r="BY151" s="310"/>
      <c r="BZ151" s="310"/>
      <c r="CA151" s="310"/>
      <c r="CB151" s="310"/>
      <c r="CC151" s="310"/>
      <c r="CD151" s="310"/>
      <c r="CE151" s="310"/>
      <c r="CF151" s="310"/>
      <c r="CG151" s="310"/>
      <c r="CH151" s="310"/>
      <c r="CI151" s="310"/>
      <c r="CJ151" s="310"/>
      <c r="CK151" s="310"/>
      <c r="CL151" s="310"/>
      <c r="CM151" s="310"/>
      <c r="CN151" s="310"/>
      <c r="CO151" s="310"/>
      <c r="CP151" s="310"/>
      <c r="CQ151" s="310"/>
      <c r="CR151" s="310"/>
      <c r="CS151" s="310"/>
      <c r="CT151" s="310"/>
      <c r="CU151" s="310"/>
      <c r="CV151" s="310"/>
      <c r="CW151" s="310"/>
      <c r="CX151" s="310"/>
      <c r="CY151" s="310"/>
      <c r="CZ151" s="310"/>
      <c r="DA151" s="310"/>
      <c r="DB151" s="310"/>
      <c r="DC151" s="310"/>
      <c r="DD151" s="310"/>
      <c r="DE151" s="310"/>
      <c r="DF151" s="310"/>
      <c r="DG151" s="310"/>
      <c r="DH151" s="310"/>
      <c r="DI151" s="310"/>
      <c r="DJ151" s="310"/>
      <c r="DK151" s="310"/>
      <c r="DL151" s="310"/>
      <c r="DM151" s="310"/>
      <c r="DN151" s="310"/>
      <c r="DO151" s="310"/>
      <c r="DP151" s="310"/>
      <c r="DQ151" s="310"/>
      <c r="DR151" s="310"/>
      <c r="DS151" s="310"/>
      <c r="DT151" s="310"/>
      <c r="DU151" s="310"/>
      <c r="DV151" s="310"/>
      <c r="DW151" s="310"/>
      <c r="DX151" s="310"/>
      <c r="DY151" s="310"/>
      <c r="DZ151" s="310"/>
      <c r="EA151" s="310"/>
      <c r="EB151" s="310"/>
      <c r="EC151" s="310"/>
      <c r="ED151" s="310"/>
      <c r="EE151" s="310"/>
      <c r="EF151" s="310"/>
      <c r="EG151" s="310"/>
      <c r="EH151" s="310"/>
      <c r="EI151" s="310"/>
      <c r="EJ151" s="310"/>
      <c r="EK151" s="310"/>
      <c r="EL151" s="310"/>
      <c r="EM151" s="310"/>
      <c r="EN151" s="310"/>
      <c r="EO151" s="310"/>
      <c r="EP151" s="310"/>
      <c r="EQ151" s="310"/>
      <c r="ER151" s="310"/>
      <c r="ES151" s="310"/>
      <c r="ET151" s="310"/>
      <c r="EU151" s="310"/>
      <c r="EV151" s="310"/>
      <c r="EW151" s="310"/>
      <c r="EX151" s="310"/>
      <c r="EY151" s="310"/>
      <c r="EZ151" s="310"/>
      <c r="FA151" s="310"/>
      <c r="FB151" s="310"/>
      <c r="FC151" s="310"/>
      <c r="FD151" s="310"/>
      <c r="FE151" s="311"/>
      <c r="FF151" s="312"/>
    </row>
    <row r="152" spans="1:162" ht="12.75" x14ac:dyDescent="0.2">
      <c r="A152" s="446">
        <v>145</v>
      </c>
      <c r="B152" s="447" t="s">
        <v>173</v>
      </c>
      <c r="C152" s="448" t="s">
        <v>1100</v>
      </c>
      <c r="D152" s="449" t="s">
        <v>1101</v>
      </c>
      <c r="E152" s="450" t="s">
        <v>172</v>
      </c>
      <c r="F152" s="451">
        <v>104645504</v>
      </c>
      <c r="G152" s="451">
        <v>0</v>
      </c>
      <c r="H152" s="451">
        <v>0</v>
      </c>
      <c r="I152" s="451">
        <v>104645504</v>
      </c>
      <c r="J152" s="451">
        <v>890105</v>
      </c>
      <c r="K152" s="451">
        <v>0</v>
      </c>
      <c r="L152" s="451">
        <v>0</v>
      </c>
      <c r="M152" s="451">
        <v>890105</v>
      </c>
      <c r="N152" s="451">
        <v>878741</v>
      </c>
      <c r="O152" s="451">
        <v>0</v>
      </c>
      <c r="P152" s="451">
        <v>0</v>
      </c>
      <c r="Q152" s="451">
        <v>878741</v>
      </c>
      <c r="R152" s="451">
        <v>1849924</v>
      </c>
      <c r="S152" s="451">
        <v>0</v>
      </c>
      <c r="T152" s="451">
        <v>0</v>
      </c>
      <c r="U152" s="451">
        <v>1849924</v>
      </c>
      <c r="V152" s="451">
        <v>5474209</v>
      </c>
      <c r="W152" s="451">
        <v>0</v>
      </c>
      <c r="X152" s="451">
        <v>0</v>
      </c>
      <c r="Y152" s="451">
        <v>5474209</v>
      </c>
      <c r="Z152" s="451">
        <v>95552525</v>
      </c>
      <c r="AA152" s="451">
        <v>0</v>
      </c>
      <c r="AB152" s="451">
        <v>0</v>
      </c>
      <c r="AC152" s="451">
        <v>95552525</v>
      </c>
      <c r="AD152" s="451">
        <v>0</v>
      </c>
      <c r="AE152" s="451">
        <v>0</v>
      </c>
      <c r="AF152" s="451">
        <v>0</v>
      </c>
      <c r="AG152" s="451">
        <v>0</v>
      </c>
      <c r="AH152" s="451">
        <v>0</v>
      </c>
      <c r="AI152" s="451">
        <v>0</v>
      </c>
      <c r="AJ152" s="451">
        <v>0</v>
      </c>
      <c r="AK152" s="451">
        <v>0</v>
      </c>
      <c r="AL152" s="451">
        <v>0</v>
      </c>
      <c r="AM152" s="451">
        <v>0</v>
      </c>
      <c r="AN152" s="451">
        <v>0</v>
      </c>
      <c r="AO152" s="451">
        <v>5928119</v>
      </c>
      <c r="AP152" s="451">
        <v>2210998</v>
      </c>
      <c r="AQ152" s="324"/>
      <c r="AR152" s="310"/>
      <c r="AS152" s="310"/>
      <c r="AT152" s="310"/>
      <c r="AU152" s="310"/>
      <c r="AV152" s="310"/>
      <c r="AW152" s="310"/>
      <c r="AX152" s="310"/>
      <c r="AY152" s="310"/>
      <c r="AZ152" s="310"/>
      <c r="BA152" s="310"/>
      <c r="BB152" s="310"/>
      <c r="BC152" s="310"/>
      <c r="BD152" s="310"/>
      <c r="BE152" s="310"/>
      <c r="BF152" s="310"/>
      <c r="BG152" s="310"/>
      <c r="BH152" s="310"/>
      <c r="BI152" s="310"/>
      <c r="BJ152" s="310"/>
      <c r="BK152" s="310"/>
      <c r="BL152" s="310"/>
      <c r="BM152" s="310"/>
      <c r="BN152" s="310"/>
      <c r="BO152" s="310"/>
      <c r="BP152" s="310"/>
      <c r="BQ152" s="310"/>
      <c r="BR152" s="310"/>
      <c r="BS152" s="310"/>
      <c r="BT152" s="310"/>
      <c r="BU152" s="310"/>
      <c r="BV152" s="310"/>
      <c r="BW152" s="310"/>
      <c r="BX152" s="310"/>
      <c r="BY152" s="310"/>
      <c r="BZ152" s="310"/>
      <c r="CA152" s="310"/>
      <c r="CB152" s="310"/>
      <c r="CC152" s="310"/>
      <c r="CD152" s="310"/>
      <c r="CE152" s="310"/>
      <c r="CF152" s="310"/>
      <c r="CG152" s="310"/>
      <c r="CH152" s="310"/>
      <c r="CI152" s="310"/>
      <c r="CJ152" s="310"/>
      <c r="CK152" s="310"/>
      <c r="CL152" s="310"/>
      <c r="CM152" s="310"/>
      <c r="CN152" s="310"/>
      <c r="CO152" s="310"/>
      <c r="CP152" s="310"/>
      <c r="CQ152" s="310"/>
      <c r="CR152" s="310"/>
      <c r="CS152" s="310"/>
      <c r="CT152" s="310"/>
      <c r="CU152" s="310"/>
      <c r="CV152" s="310"/>
      <c r="CW152" s="310"/>
      <c r="CX152" s="310"/>
      <c r="CY152" s="310"/>
      <c r="CZ152" s="310"/>
      <c r="DA152" s="310"/>
      <c r="DB152" s="310"/>
      <c r="DC152" s="310"/>
      <c r="DD152" s="310"/>
      <c r="DE152" s="310"/>
      <c r="DF152" s="310"/>
      <c r="DG152" s="310"/>
      <c r="DH152" s="310"/>
      <c r="DI152" s="310"/>
      <c r="DJ152" s="310"/>
      <c r="DK152" s="310"/>
      <c r="DL152" s="310"/>
      <c r="DM152" s="310"/>
      <c r="DN152" s="310"/>
      <c r="DO152" s="310"/>
      <c r="DP152" s="310"/>
      <c r="DQ152" s="310"/>
      <c r="DR152" s="310"/>
      <c r="DS152" s="310"/>
      <c r="DT152" s="310"/>
      <c r="DU152" s="310"/>
      <c r="DV152" s="310"/>
      <c r="DW152" s="310"/>
      <c r="DX152" s="310"/>
      <c r="DY152" s="310"/>
      <c r="DZ152" s="310"/>
      <c r="EA152" s="310"/>
      <c r="EB152" s="310"/>
      <c r="EC152" s="310"/>
      <c r="ED152" s="310"/>
      <c r="EE152" s="310"/>
      <c r="EF152" s="310"/>
      <c r="EG152" s="310"/>
      <c r="EH152" s="310"/>
      <c r="EI152" s="310"/>
      <c r="EJ152" s="310"/>
      <c r="EK152" s="310"/>
      <c r="EL152" s="310"/>
      <c r="EM152" s="310"/>
      <c r="EN152" s="310"/>
      <c r="EO152" s="310"/>
      <c r="EP152" s="310"/>
      <c r="EQ152" s="310"/>
      <c r="ER152" s="310"/>
      <c r="ES152" s="310"/>
      <c r="ET152" s="310"/>
      <c r="EU152" s="310"/>
      <c r="EV152" s="310"/>
      <c r="EW152" s="310"/>
      <c r="EX152" s="310"/>
      <c r="EY152" s="310"/>
      <c r="EZ152" s="310"/>
      <c r="FA152" s="310"/>
      <c r="FB152" s="310"/>
      <c r="FC152" s="310"/>
      <c r="FD152" s="310"/>
      <c r="FE152" s="311"/>
      <c r="FF152" s="312"/>
    </row>
    <row r="153" spans="1:162" ht="12.75" x14ac:dyDescent="0.2">
      <c r="A153" s="446">
        <v>146</v>
      </c>
      <c r="B153" s="447" t="s">
        <v>175</v>
      </c>
      <c r="C153" s="448" t="s">
        <v>1100</v>
      </c>
      <c r="D153" s="449" t="s">
        <v>1095</v>
      </c>
      <c r="E153" s="450" t="s">
        <v>174</v>
      </c>
      <c r="F153" s="451">
        <v>40521286</v>
      </c>
      <c r="G153" s="451">
        <v>0</v>
      </c>
      <c r="H153" s="451">
        <v>0</v>
      </c>
      <c r="I153" s="451">
        <v>40521286</v>
      </c>
      <c r="J153" s="451">
        <v>151756.70000000001</v>
      </c>
      <c r="K153" s="451">
        <v>0</v>
      </c>
      <c r="L153" s="451">
        <v>0</v>
      </c>
      <c r="M153" s="451">
        <v>151756.70000000001</v>
      </c>
      <c r="N153" s="451">
        <v>958572</v>
      </c>
      <c r="O153" s="451">
        <v>0</v>
      </c>
      <c r="P153" s="451">
        <v>0</v>
      </c>
      <c r="Q153" s="451">
        <v>958572</v>
      </c>
      <c r="R153" s="451">
        <v>2728328.72</v>
      </c>
      <c r="S153" s="451">
        <v>0</v>
      </c>
      <c r="T153" s="451">
        <v>0</v>
      </c>
      <c r="U153" s="451">
        <v>2728328.72</v>
      </c>
      <c r="V153" s="451">
        <v>10315568.699999999</v>
      </c>
      <c r="W153" s="451">
        <v>0</v>
      </c>
      <c r="X153" s="451">
        <v>0</v>
      </c>
      <c r="Y153" s="451">
        <v>10315568.699999999</v>
      </c>
      <c r="Z153" s="451">
        <v>26367060</v>
      </c>
      <c r="AA153" s="451">
        <v>0</v>
      </c>
      <c r="AB153" s="451">
        <v>0</v>
      </c>
      <c r="AC153" s="451">
        <v>26367060</v>
      </c>
      <c r="AD153" s="451">
        <v>0</v>
      </c>
      <c r="AE153" s="451">
        <v>0</v>
      </c>
      <c r="AF153" s="451">
        <v>0</v>
      </c>
      <c r="AG153" s="451">
        <v>0</v>
      </c>
      <c r="AH153" s="451">
        <v>0</v>
      </c>
      <c r="AI153" s="451">
        <v>0</v>
      </c>
      <c r="AJ153" s="451">
        <v>0</v>
      </c>
      <c r="AK153" s="451">
        <v>0</v>
      </c>
      <c r="AL153" s="451">
        <v>0</v>
      </c>
      <c r="AM153" s="451">
        <v>0</v>
      </c>
      <c r="AN153" s="451">
        <v>0</v>
      </c>
      <c r="AO153" s="451">
        <v>3490151</v>
      </c>
      <c r="AP153" s="451">
        <v>1864361</v>
      </c>
      <c r="AQ153" s="324"/>
      <c r="AR153" s="310"/>
      <c r="AS153" s="310"/>
      <c r="AT153" s="310"/>
      <c r="AU153" s="310"/>
      <c r="AV153" s="310"/>
      <c r="AW153" s="310"/>
      <c r="AX153" s="310"/>
      <c r="AY153" s="310"/>
      <c r="AZ153" s="310"/>
      <c r="BA153" s="310"/>
      <c r="BB153" s="310"/>
      <c r="BC153" s="310"/>
      <c r="BD153" s="310"/>
      <c r="BE153" s="310"/>
      <c r="BF153" s="310"/>
      <c r="BG153" s="310"/>
      <c r="BH153" s="310"/>
      <c r="BI153" s="310"/>
      <c r="BJ153" s="310"/>
      <c r="BK153" s="310"/>
      <c r="BL153" s="310"/>
      <c r="BM153" s="310"/>
      <c r="BN153" s="310"/>
      <c r="BO153" s="310"/>
      <c r="BP153" s="310"/>
      <c r="BQ153" s="310"/>
      <c r="BR153" s="310"/>
      <c r="BS153" s="310"/>
      <c r="BT153" s="310"/>
      <c r="BU153" s="310"/>
      <c r="BV153" s="310"/>
      <c r="BW153" s="310"/>
      <c r="BX153" s="310"/>
      <c r="BY153" s="310"/>
      <c r="BZ153" s="310"/>
      <c r="CA153" s="310"/>
      <c r="CB153" s="310"/>
      <c r="CC153" s="310"/>
      <c r="CD153" s="310"/>
      <c r="CE153" s="310"/>
      <c r="CF153" s="310"/>
      <c r="CG153" s="310"/>
      <c r="CH153" s="310"/>
      <c r="CI153" s="310"/>
      <c r="CJ153" s="310"/>
      <c r="CK153" s="310"/>
      <c r="CL153" s="310"/>
      <c r="CM153" s="310"/>
      <c r="CN153" s="310"/>
      <c r="CO153" s="310"/>
      <c r="CP153" s="310"/>
      <c r="CQ153" s="310"/>
      <c r="CR153" s="310"/>
      <c r="CS153" s="310"/>
      <c r="CT153" s="310"/>
      <c r="CU153" s="310"/>
      <c r="CV153" s="310"/>
      <c r="CW153" s="310"/>
      <c r="CX153" s="310"/>
      <c r="CY153" s="310"/>
      <c r="CZ153" s="310"/>
      <c r="DA153" s="310"/>
      <c r="DB153" s="310"/>
      <c r="DC153" s="310"/>
      <c r="DD153" s="310"/>
      <c r="DE153" s="310"/>
      <c r="DF153" s="310"/>
      <c r="DG153" s="310"/>
      <c r="DH153" s="310"/>
      <c r="DI153" s="310"/>
      <c r="DJ153" s="310"/>
      <c r="DK153" s="310"/>
      <c r="DL153" s="310"/>
      <c r="DM153" s="310"/>
      <c r="DN153" s="310"/>
      <c r="DO153" s="310"/>
      <c r="DP153" s="310"/>
      <c r="DQ153" s="310"/>
      <c r="DR153" s="310"/>
      <c r="DS153" s="310"/>
      <c r="DT153" s="310"/>
      <c r="DU153" s="310"/>
      <c r="DV153" s="310"/>
      <c r="DW153" s="310"/>
      <c r="DX153" s="310"/>
      <c r="DY153" s="310"/>
      <c r="DZ153" s="310"/>
      <c r="EA153" s="310"/>
      <c r="EB153" s="310"/>
      <c r="EC153" s="310"/>
      <c r="ED153" s="310"/>
      <c r="EE153" s="310"/>
      <c r="EF153" s="310"/>
      <c r="EG153" s="310"/>
      <c r="EH153" s="310"/>
      <c r="EI153" s="310"/>
      <c r="EJ153" s="310"/>
      <c r="EK153" s="310"/>
      <c r="EL153" s="310"/>
      <c r="EM153" s="310"/>
      <c r="EN153" s="310"/>
      <c r="EO153" s="310"/>
      <c r="EP153" s="310"/>
      <c r="EQ153" s="310"/>
      <c r="ER153" s="310"/>
      <c r="ES153" s="310"/>
      <c r="ET153" s="310"/>
      <c r="EU153" s="310"/>
      <c r="EV153" s="310"/>
      <c r="EW153" s="310"/>
      <c r="EX153" s="310"/>
      <c r="EY153" s="310"/>
      <c r="EZ153" s="310"/>
      <c r="FA153" s="310"/>
      <c r="FB153" s="310"/>
      <c r="FC153" s="310"/>
      <c r="FD153" s="310"/>
      <c r="FE153" s="311"/>
      <c r="FF153" s="312"/>
    </row>
    <row r="154" spans="1:162" ht="12.75" x14ac:dyDescent="0.2">
      <c r="A154" s="446">
        <v>147</v>
      </c>
      <c r="B154" s="447" t="s">
        <v>177</v>
      </c>
      <c r="C154" s="448" t="s">
        <v>1104</v>
      </c>
      <c r="D154" s="449" t="s">
        <v>1099</v>
      </c>
      <c r="E154" s="450" t="s">
        <v>176</v>
      </c>
      <c r="F154" s="451">
        <v>123138502</v>
      </c>
      <c r="G154" s="451">
        <v>0</v>
      </c>
      <c r="H154" s="451">
        <v>0</v>
      </c>
      <c r="I154" s="451">
        <v>123138502</v>
      </c>
      <c r="J154" s="451">
        <v>1239379</v>
      </c>
      <c r="K154" s="451">
        <v>0</v>
      </c>
      <c r="L154" s="451">
        <v>0</v>
      </c>
      <c r="M154" s="451">
        <v>1239379</v>
      </c>
      <c r="N154" s="451">
        <v>0</v>
      </c>
      <c r="O154" s="451">
        <v>0</v>
      </c>
      <c r="P154" s="451">
        <v>0</v>
      </c>
      <c r="Q154" s="451">
        <v>0</v>
      </c>
      <c r="R154" s="451">
        <v>3326327</v>
      </c>
      <c r="S154" s="451">
        <v>0</v>
      </c>
      <c r="T154" s="451">
        <v>0</v>
      </c>
      <c r="U154" s="451">
        <v>3326327</v>
      </c>
      <c r="V154" s="451">
        <v>9531146</v>
      </c>
      <c r="W154" s="451">
        <v>0</v>
      </c>
      <c r="X154" s="451">
        <v>0</v>
      </c>
      <c r="Y154" s="451">
        <v>9531146</v>
      </c>
      <c r="Z154" s="451">
        <v>109041650</v>
      </c>
      <c r="AA154" s="451">
        <v>0</v>
      </c>
      <c r="AB154" s="451">
        <v>0</v>
      </c>
      <c r="AC154" s="451">
        <v>109041650</v>
      </c>
      <c r="AD154" s="451">
        <v>0</v>
      </c>
      <c r="AE154" s="451">
        <v>0</v>
      </c>
      <c r="AF154" s="451">
        <v>0</v>
      </c>
      <c r="AG154" s="451">
        <v>0</v>
      </c>
      <c r="AH154" s="451">
        <v>0</v>
      </c>
      <c r="AI154" s="451">
        <v>0</v>
      </c>
      <c r="AJ154" s="451">
        <v>0</v>
      </c>
      <c r="AK154" s="451">
        <v>0</v>
      </c>
      <c r="AL154" s="451">
        <v>0</v>
      </c>
      <c r="AM154" s="451">
        <v>0</v>
      </c>
      <c r="AN154" s="451">
        <v>0</v>
      </c>
      <c r="AO154" s="451">
        <v>6426462</v>
      </c>
      <c r="AP154" s="451">
        <v>6595823</v>
      </c>
      <c r="AQ154" s="324"/>
      <c r="AR154" s="310"/>
      <c r="AS154" s="310"/>
      <c r="AT154" s="310"/>
      <c r="AU154" s="310"/>
      <c r="AV154" s="310"/>
      <c r="AW154" s="310"/>
      <c r="AX154" s="310"/>
      <c r="AY154" s="310"/>
      <c r="AZ154" s="310"/>
      <c r="BA154" s="310"/>
      <c r="BB154" s="310"/>
      <c r="BC154" s="310"/>
      <c r="BD154" s="310"/>
      <c r="BE154" s="310"/>
      <c r="BF154" s="310"/>
      <c r="BG154" s="310"/>
      <c r="BH154" s="310"/>
      <c r="BI154" s="310"/>
      <c r="BJ154" s="310"/>
      <c r="BK154" s="310"/>
      <c r="BL154" s="310"/>
      <c r="BM154" s="310"/>
      <c r="BN154" s="310"/>
      <c r="BO154" s="310"/>
      <c r="BP154" s="310"/>
      <c r="BQ154" s="310"/>
      <c r="BR154" s="310"/>
      <c r="BS154" s="310"/>
      <c r="BT154" s="310"/>
      <c r="BU154" s="310"/>
      <c r="BV154" s="310"/>
      <c r="BW154" s="310"/>
      <c r="BX154" s="310"/>
      <c r="BY154" s="310"/>
      <c r="BZ154" s="310"/>
      <c r="CA154" s="310"/>
      <c r="CB154" s="310"/>
      <c r="CC154" s="310"/>
      <c r="CD154" s="310"/>
      <c r="CE154" s="310"/>
      <c r="CF154" s="310"/>
      <c r="CG154" s="310"/>
      <c r="CH154" s="310"/>
      <c r="CI154" s="310"/>
      <c r="CJ154" s="310"/>
      <c r="CK154" s="310"/>
      <c r="CL154" s="310"/>
      <c r="CM154" s="310"/>
      <c r="CN154" s="310"/>
      <c r="CO154" s="310"/>
      <c r="CP154" s="310"/>
      <c r="CQ154" s="310"/>
      <c r="CR154" s="310"/>
      <c r="CS154" s="310"/>
      <c r="CT154" s="310"/>
      <c r="CU154" s="310"/>
      <c r="CV154" s="310"/>
      <c r="CW154" s="310"/>
      <c r="CX154" s="310"/>
      <c r="CY154" s="310"/>
      <c r="CZ154" s="310"/>
      <c r="DA154" s="310"/>
      <c r="DB154" s="310"/>
      <c r="DC154" s="310"/>
      <c r="DD154" s="310"/>
      <c r="DE154" s="310"/>
      <c r="DF154" s="310"/>
      <c r="DG154" s="310"/>
      <c r="DH154" s="310"/>
      <c r="DI154" s="310"/>
      <c r="DJ154" s="310"/>
      <c r="DK154" s="310"/>
      <c r="DL154" s="310"/>
      <c r="DM154" s="310"/>
      <c r="DN154" s="310"/>
      <c r="DO154" s="310"/>
      <c r="DP154" s="310"/>
      <c r="DQ154" s="310"/>
      <c r="DR154" s="310"/>
      <c r="DS154" s="310"/>
      <c r="DT154" s="310"/>
      <c r="DU154" s="310"/>
      <c r="DV154" s="310"/>
      <c r="DW154" s="310"/>
      <c r="DX154" s="310"/>
      <c r="DY154" s="310"/>
      <c r="DZ154" s="310"/>
      <c r="EA154" s="310"/>
      <c r="EB154" s="310"/>
      <c r="EC154" s="310"/>
      <c r="ED154" s="310"/>
      <c r="EE154" s="310"/>
      <c r="EF154" s="310"/>
      <c r="EG154" s="310"/>
      <c r="EH154" s="310"/>
      <c r="EI154" s="310"/>
      <c r="EJ154" s="310"/>
      <c r="EK154" s="310"/>
      <c r="EL154" s="310"/>
      <c r="EM154" s="310"/>
      <c r="EN154" s="310"/>
      <c r="EO154" s="310"/>
      <c r="EP154" s="310"/>
      <c r="EQ154" s="310"/>
      <c r="ER154" s="310"/>
      <c r="ES154" s="310"/>
      <c r="ET154" s="310"/>
      <c r="EU154" s="310"/>
      <c r="EV154" s="310"/>
      <c r="EW154" s="310"/>
      <c r="EX154" s="310"/>
      <c r="EY154" s="310"/>
      <c r="EZ154" s="310"/>
      <c r="FA154" s="310"/>
      <c r="FB154" s="310"/>
      <c r="FC154" s="310"/>
      <c r="FD154" s="310"/>
      <c r="FE154" s="311"/>
      <c r="FF154" s="312"/>
    </row>
    <row r="155" spans="1:162" ht="12.75" x14ac:dyDescent="0.2">
      <c r="A155" s="446">
        <v>148</v>
      </c>
      <c r="B155" s="447" t="s">
        <v>179</v>
      </c>
      <c r="C155" s="448" t="s">
        <v>1093</v>
      </c>
      <c r="D155" s="449" t="s">
        <v>1095</v>
      </c>
      <c r="E155" s="450" t="s">
        <v>178</v>
      </c>
      <c r="F155" s="451">
        <v>48690463</v>
      </c>
      <c r="G155" s="451">
        <v>0</v>
      </c>
      <c r="H155" s="451">
        <v>0</v>
      </c>
      <c r="I155" s="451">
        <v>48690463</v>
      </c>
      <c r="J155" s="451">
        <v>55308</v>
      </c>
      <c r="K155" s="451">
        <v>0</v>
      </c>
      <c r="L155" s="451">
        <v>0</v>
      </c>
      <c r="M155" s="451">
        <v>55308</v>
      </c>
      <c r="N155" s="451">
        <v>171799</v>
      </c>
      <c r="O155" s="451">
        <v>0</v>
      </c>
      <c r="P155" s="451">
        <v>0</v>
      </c>
      <c r="Q155" s="451">
        <v>171799</v>
      </c>
      <c r="R155" s="451">
        <v>0</v>
      </c>
      <c r="S155" s="451">
        <v>0</v>
      </c>
      <c r="T155" s="451">
        <v>0</v>
      </c>
      <c r="U155" s="451">
        <v>0</v>
      </c>
      <c r="V155" s="451">
        <v>9042301</v>
      </c>
      <c r="W155" s="451">
        <v>0</v>
      </c>
      <c r="X155" s="451">
        <v>0</v>
      </c>
      <c r="Y155" s="451">
        <v>9042301</v>
      </c>
      <c r="Z155" s="451">
        <v>39421055</v>
      </c>
      <c r="AA155" s="451">
        <v>0</v>
      </c>
      <c r="AB155" s="451">
        <v>0</v>
      </c>
      <c r="AC155" s="451">
        <v>39421055</v>
      </c>
      <c r="AD155" s="451">
        <v>0</v>
      </c>
      <c r="AE155" s="451">
        <v>0</v>
      </c>
      <c r="AF155" s="451">
        <v>0</v>
      </c>
      <c r="AG155" s="451">
        <v>0</v>
      </c>
      <c r="AH155" s="451">
        <v>0</v>
      </c>
      <c r="AI155" s="451">
        <v>0</v>
      </c>
      <c r="AJ155" s="451">
        <v>0</v>
      </c>
      <c r="AK155" s="451">
        <v>0</v>
      </c>
      <c r="AL155" s="451">
        <v>0</v>
      </c>
      <c r="AM155" s="451">
        <v>0</v>
      </c>
      <c r="AN155" s="451">
        <v>0</v>
      </c>
      <c r="AO155" s="451">
        <v>1370626.28</v>
      </c>
      <c r="AP155" s="451">
        <v>-644627</v>
      </c>
      <c r="AQ155" s="324"/>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c r="DK155" s="310"/>
      <c r="DL155" s="310"/>
      <c r="DM155" s="310"/>
      <c r="DN155" s="310"/>
      <c r="DO155" s="310"/>
      <c r="DP155" s="310"/>
      <c r="DQ155" s="310"/>
      <c r="DR155" s="310"/>
      <c r="DS155" s="310"/>
      <c r="DT155" s="310"/>
      <c r="DU155" s="310"/>
      <c r="DV155" s="310"/>
      <c r="DW155" s="310"/>
      <c r="DX155" s="310"/>
      <c r="DY155" s="310"/>
      <c r="DZ155" s="310"/>
      <c r="EA155" s="310"/>
      <c r="EB155" s="310"/>
      <c r="EC155" s="310"/>
      <c r="ED155" s="310"/>
      <c r="EE155" s="310"/>
      <c r="EF155" s="310"/>
      <c r="EG155" s="310"/>
      <c r="EH155" s="310"/>
      <c r="EI155" s="310"/>
      <c r="EJ155" s="310"/>
      <c r="EK155" s="310"/>
      <c r="EL155" s="310"/>
      <c r="EM155" s="310"/>
      <c r="EN155" s="310"/>
      <c r="EO155" s="310"/>
      <c r="EP155" s="310"/>
      <c r="EQ155" s="310"/>
      <c r="ER155" s="310"/>
      <c r="ES155" s="310"/>
      <c r="ET155" s="310"/>
      <c r="EU155" s="310"/>
      <c r="EV155" s="310"/>
      <c r="EW155" s="310"/>
      <c r="EX155" s="310"/>
      <c r="EY155" s="310"/>
      <c r="EZ155" s="310"/>
      <c r="FA155" s="310"/>
      <c r="FB155" s="310"/>
      <c r="FC155" s="310"/>
      <c r="FD155" s="310"/>
      <c r="FE155" s="311"/>
      <c r="FF155" s="312"/>
    </row>
    <row r="156" spans="1:162" ht="12.75" x14ac:dyDescent="0.2">
      <c r="A156" s="446">
        <v>149</v>
      </c>
      <c r="B156" s="447" t="s">
        <v>181</v>
      </c>
      <c r="C156" s="448" t="s">
        <v>1100</v>
      </c>
      <c r="D156" s="449" t="s">
        <v>1101</v>
      </c>
      <c r="E156" s="450" t="s">
        <v>180</v>
      </c>
      <c r="F156" s="451">
        <v>368573711</v>
      </c>
      <c r="G156" s="451">
        <v>0</v>
      </c>
      <c r="H156" s="451">
        <v>641105</v>
      </c>
      <c r="I156" s="451">
        <v>369214816</v>
      </c>
      <c r="J156" s="451">
        <v>3248107</v>
      </c>
      <c r="K156" s="451">
        <v>0</v>
      </c>
      <c r="L156" s="451">
        <v>0</v>
      </c>
      <c r="M156" s="451">
        <v>3248107</v>
      </c>
      <c r="N156" s="451">
        <v>651000</v>
      </c>
      <c r="O156" s="451">
        <v>0</v>
      </c>
      <c r="P156" s="451">
        <v>0</v>
      </c>
      <c r="Q156" s="451">
        <v>651000</v>
      </c>
      <c r="R156" s="451">
        <v>6065342</v>
      </c>
      <c r="S156" s="451">
        <v>0</v>
      </c>
      <c r="T156" s="451">
        <v>0</v>
      </c>
      <c r="U156" s="451">
        <v>6065342</v>
      </c>
      <c r="V156" s="451">
        <v>17029923</v>
      </c>
      <c r="W156" s="451">
        <v>0</v>
      </c>
      <c r="X156" s="451">
        <v>0</v>
      </c>
      <c r="Y156" s="451">
        <v>17029923</v>
      </c>
      <c r="Z156" s="451">
        <v>341579339</v>
      </c>
      <c r="AA156" s="451">
        <v>0</v>
      </c>
      <c r="AB156" s="451">
        <v>641105</v>
      </c>
      <c r="AC156" s="451">
        <v>342220444</v>
      </c>
      <c r="AD156" s="451">
        <v>0</v>
      </c>
      <c r="AE156" s="451">
        <v>0</v>
      </c>
      <c r="AF156" s="451">
        <v>0</v>
      </c>
      <c r="AG156" s="451">
        <v>0</v>
      </c>
      <c r="AH156" s="451">
        <v>0</v>
      </c>
      <c r="AI156" s="451">
        <v>0</v>
      </c>
      <c r="AJ156" s="451">
        <v>0</v>
      </c>
      <c r="AK156" s="451">
        <v>904981</v>
      </c>
      <c r="AL156" s="451">
        <v>0</v>
      </c>
      <c r="AM156" s="451">
        <v>0</v>
      </c>
      <c r="AN156" s="451">
        <v>0</v>
      </c>
      <c r="AO156" s="451">
        <v>13787750.300000001</v>
      </c>
      <c r="AP156" s="451">
        <v>7141181.0899999999</v>
      </c>
      <c r="AQ156" s="324"/>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10"/>
      <c r="BR156" s="310"/>
      <c r="BS156" s="310"/>
      <c r="BT156" s="310"/>
      <c r="BU156" s="310"/>
      <c r="BV156" s="310"/>
      <c r="BW156" s="310"/>
      <c r="BX156" s="310"/>
      <c r="BY156" s="310"/>
      <c r="BZ156" s="310"/>
      <c r="CA156" s="310"/>
      <c r="CB156" s="310"/>
      <c r="CC156" s="310"/>
      <c r="CD156" s="310"/>
      <c r="CE156" s="310"/>
      <c r="CF156" s="310"/>
      <c r="CG156" s="310"/>
      <c r="CH156" s="310"/>
      <c r="CI156" s="310"/>
      <c r="CJ156" s="310"/>
      <c r="CK156" s="310"/>
      <c r="CL156" s="310"/>
      <c r="CM156" s="310"/>
      <c r="CN156" s="310"/>
      <c r="CO156" s="310"/>
      <c r="CP156" s="310"/>
      <c r="CQ156" s="310"/>
      <c r="CR156" s="310"/>
      <c r="CS156" s="310"/>
      <c r="CT156" s="310"/>
      <c r="CU156" s="310"/>
      <c r="CV156" s="310"/>
      <c r="CW156" s="310"/>
      <c r="CX156" s="310"/>
      <c r="CY156" s="310"/>
      <c r="CZ156" s="310"/>
      <c r="DA156" s="310"/>
      <c r="DB156" s="310"/>
      <c r="DC156" s="310"/>
      <c r="DD156" s="310"/>
      <c r="DE156" s="310"/>
      <c r="DF156" s="310"/>
      <c r="DG156" s="310"/>
      <c r="DH156" s="310"/>
      <c r="DI156" s="310"/>
      <c r="DJ156" s="310"/>
      <c r="DK156" s="310"/>
      <c r="DL156" s="310"/>
      <c r="DM156" s="310"/>
      <c r="DN156" s="310"/>
      <c r="DO156" s="310"/>
      <c r="DP156" s="310"/>
      <c r="DQ156" s="310"/>
      <c r="DR156" s="310"/>
      <c r="DS156" s="310"/>
      <c r="DT156" s="310"/>
      <c r="DU156" s="310"/>
      <c r="DV156" s="310"/>
      <c r="DW156" s="310"/>
      <c r="DX156" s="310"/>
      <c r="DY156" s="310"/>
      <c r="DZ156" s="310"/>
      <c r="EA156" s="310"/>
      <c r="EB156" s="310"/>
      <c r="EC156" s="310"/>
      <c r="ED156" s="310"/>
      <c r="EE156" s="310"/>
      <c r="EF156" s="310"/>
      <c r="EG156" s="310"/>
      <c r="EH156" s="310"/>
      <c r="EI156" s="310"/>
      <c r="EJ156" s="310"/>
      <c r="EK156" s="310"/>
      <c r="EL156" s="310"/>
      <c r="EM156" s="310"/>
      <c r="EN156" s="310"/>
      <c r="EO156" s="310"/>
      <c r="EP156" s="310"/>
      <c r="EQ156" s="310"/>
      <c r="ER156" s="310"/>
      <c r="ES156" s="310"/>
      <c r="ET156" s="310"/>
      <c r="EU156" s="310"/>
      <c r="EV156" s="310"/>
      <c r="EW156" s="310"/>
      <c r="EX156" s="310"/>
      <c r="EY156" s="310"/>
      <c r="EZ156" s="310"/>
      <c r="FA156" s="310"/>
      <c r="FB156" s="310"/>
      <c r="FC156" s="310"/>
      <c r="FD156" s="310"/>
      <c r="FE156" s="311"/>
      <c r="FF156" s="312"/>
    </row>
    <row r="157" spans="1:162" ht="12.75" x14ac:dyDescent="0.2">
      <c r="A157" s="446">
        <v>150</v>
      </c>
      <c r="B157" s="447" t="s">
        <v>183</v>
      </c>
      <c r="C157" s="448" t="s">
        <v>794</v>
      </c>
      <c r="D157" s="449" t="s">
        <v>1096</v>
      </c>
      <c r="E157" s="450" t="s">
        <v>723</v>
      </c>
      <c r="F157" s="451">
        <v>100496322</v>
      </c>
      <c r="G157" s="451">
        <v>0</v>
      </c>
      <c r="H157" s="451">
        <v>0</v>
      </c>
      <c r="I157" s="451">
        <v>100496322</v>
      </c>
      <c r="J157" s="451">
        <v>1020621</v>
      </c>
      <c r="K157" s="451">
        <v>0</v>
      </c>
      <c r="L157" s="451">
        <v>0</v>
      </c>
      <c r="M157" s="451">
        <v>1020621</v>
      </c>
      <c r="N157" s="451">
        <v>681142</v>
      </c>
      <c r="O157" s="451">
        <v>0</v>
      </c>
      <c r="P157" s="451">
        <v>0</v>
      </c>
      <c r="Q157" s="451">
        <v>681142</v>
      </c>
      <c r="R157" s="451">
        <v>1985324</v>
      </c>
      <c r="S157" s="451">
        <v>0</v>
      </c>
      <c r="T157" s="451">
        <v>0</v>
      </c>
      <c r="U157" s="451">
        <v>1985324</v>
      </c>
      <c r="V157" s="451">
        <v>5265269</v>
      </c>
      <c r="W157" s="451">
        <v>0</v>
      </c>
      <c r="X157" s="451">
        <v>0</v>
      </c>
      <c r="Y157" s="451">
        <v>5265269</v>
      </c>
      <c r="Z157" s="451">
        <v>91543966</v>
      </c>
      <c r="AA157" s="451">
        <v>0</v>
      </c>
      <c r="AB157" s="451">
        <v>0</v>
      </c>
      <c r="AC157" s="451">
        <v>91543966</v>
      </c>
      <c r="AD157" s="451">
        <v>0</v>
      </c>
      <c r="AE157" s="451">
        <v>0</v>
      </c>
      <c r="AF157" s="451">
        <v>0</v>
      </c>
      <c r="AG157" s="451">
        <v>0</v>
      </c>
      <c r="AH157" s="451">
        <v>0</v>
      </c>
      <c r="AI157" s="451">
        <v>0</v>
      </c>
      <c r="AJ157" s="451">
        <v>0</v>
      </c>
      <c r="AK157" s="451">
        <v>0</v>
      </c>
      <c r="AL157" s="451">
        <v>0</v>
      </c>
      <c r="AM157" s="451">
        <v>0</v>
      </c>
      <c r="AN157" s="451">
        <v>0</v>
      </c>
      <c r="AO157" s="451">
        <v>7395633</v>
      </c>
      <c r="AP157" s="451">
        <v>1303306</v>
      </c>
      <c r="AQ157" s="324"/>
      <c r="AR157" s="310"/>
      <c r="AS157" s="310"/>
      <c r="AT157" s="310"/>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10"/>
      <c r="BR157" s="310"/>
      <c r="BS157" s="310"/>
      <c r="BT157" s="310"/>
      <c r="BU157" s="310"/>
      <c r="BV157" s="310"/>
      <c r="BW157" s="310"/>
      <c r="BX157" s="310"/>
      <c r="BY157" s="310"/>
      <c r="BZ157" s="310"/>
      <c r="CA157" s="310"/>
      <c r="CB157" s="310"/>
      <c r="CC157" s="310"/>
      <c r="CD157" s="310"/>
      <c r="CE157" s="310"/>
      <c r="CF157" s="310"/>
      <c r="CG157" s="310"/>
      <c r="CH157" s="310"/>
      <c r="CI157" s="310"/>
      <c r="CJ157" s="310"/>
      <c r="CK157" s="310"/>
      <c r="CL157" s="310"/>
      <c r="CM157" s="310"/>
      <c r="CN157" s="310"/>
      <c r="CO157" s="310"/>
      <c r="CP157" s="310"/>
      <c r="CQ157" s="310"/>
      <c r="CR157" s="310"/>
      <c r="CS157" s="310"/>
      <c r="CT157" s="310"/>
      <c r="CU157" s="310"/>
      <c r="CV157" s="310"/>
      <c r="CW157" s="310"/>
      <c r="CX157" s="310"/>
      <c r="CY157" s="310"/>
      <c r="CZ157" s="310"/>
      <c r="DA157" s="310"/>
      <c r="DB157" s="310"/>
      <c r="DC157" s="310"/>
      <c r="DD157" s="310"/>
      <c r="DE157" s="310"/>
      <c r="DF157" s="310"/>
      <c r="DG157" s="310"/>
      <c r="DH157" s="310"/>
      <c r="DI157" s="310"/>
      <c r="DJ157" s="310"/>
      <c r="DK157" s="310"/>
      <c r="DL157" s="310"/>
      <c r="DM157" s="310"/>
      <c r="DN157" s="310"/>
      <c r="DO157" s="310"/>
      <c r="DP157" s="310"/>
      <c r="DQ157" s="310"/>
      <c r="DR157" s="310"/>
      <c r="DS157" s="310"/>
      <c r="DT157" s="310"/>
      <c r="DU157" s="310"/>
      <c r="DV157" s="310"/>
      <c r="DW157" s="310"/>
      <c r="DX157" s="310"/>
      <c r="DY157" s="310"/>
      <c r="DZ157" s="310"/>
      <c r="EA157" s="310"/>
      <c r="EB157" s="310"/>
      <c r="EC157" s="310"/>
      <c r="ED157" s="310"/>
      <c r="EE157" s="310"/>
      <c r="EF157" s="310"/>
      <c r="EG157" s="310"/>
      <c r="EH157" s="310"/>
      <c r="EI157" s="310"/>
      <c r="EJ157" s="310"/>
      <c r="EK157" s="310"/>
      <c r="EL157" s="310"/>
      <c r="EM157" s="310"/>
      <c r="EN157" s="310"/>
      <c r="EO157" s="310"/>
      <c r="EP157" s="310"/>
      <c r="EQ157" s="310"/>
      <c r="ER157" s="310"/>
      <c r="ES157" s="310"/>
      <c r="ET157" s="310"/>
      <c r="EU157" s="310"/>
      <c r="EV157" s="310"/>
      <c r="EW157" s="310"/>
      <c r="EX157" s="310"/>
      <c r="EY157" s="310"/>
      <c r="EZ157" s="310"/>
      <c r="FA157" s="310"/>
      <c r="FB157" s="310"/>
      <c r="FC157" s="310"/>
      <c r="FD157" s="310"/>
      <c r="FE157" s="311"/>
      <c r="FF157" s="312"/>
    </row>
    <row r="158" spans="1:162" ht="12.75" x14ac:dyDescent="0.2">
      <c r="A158" s="446">
        <v>151</v>
      </c>
      <c r="B158" s="447" t="s">
        <v>185</v>
      </c>
      <c r="C158" s="448" t="s">
        <v>1093</v>
      </c>
      <c r="D158" s="449" t="s">
        <v>1094</v>
      </c>
      <c r="E158" s="450" t="s">
        <v>184</v>
      </c>
      <c r="F158" s="451">
        <v>23873157</v>
      </c>
      <c r="G158" s="451">
        <v>0</v>
      </c>
      <c r="H158" s="451">
        <v>0</v>
      </c>
      <c r="I158" s="451">
        <v>23873157</v>
      </c>
      <c r="J158" s="451">
        <v>0</v>
      </c>
      <c r="K158" s="451">
        <v>0</v>
      </c>
      <c r="L158" s="451">
        <v>0</v>
      </c>
      <c r="M158" s="451">
        <v>0</v>
      </c>
      <c r="N158" s="451">
        <v>189541</v>
      </c>
      <c r="O158" s="451">
        <v>0</v>
      </c>
      <c r="P158" s="451">
        <v>0</v>
      </c>
      <c r="Q158" s="451">
        <v>189541</v>
      </c>
      <c r="R158" s="451">
        <v>260000</v>
      </c>
      <c r="S158" s="451">
        <v>0</v>
      </c>
      <c r="T158" s="451">
        <v>0</v>
      </c>
      <c r="U158" s="451">
        <v>260000</v>
      </c>
      <c r="V158" s="451">
        <v>782225</v>
      </c>
      <c r="W158" s="451">
        <v>0</v>
      </c>
      <c r="X158" s="451">
        <v>0</v>
      </c>
      <c r="Y158" s="451">
        <v>782225</v>
      </c>
      <c r="Z158" s="451">
        <v>22641391</v>
      </c>
      <c r="AA158" s="451">
        <v>0</v>
      </c>
      <c r="AB158" s="451">
        <v>0</v>
      </c>
      <c r="AC158" s="451">
        <v>22641391</v>
      </c>
      <c r="AD158" s="451">
        <v>0</v>
      </c>
      <c r="AE158" s="451">
        <v>0</v>
      </c>
      <c r="AF158" s="451">
        <v>0</v>
      </c>
      <c r="AG158" s="451">
        <v>0</v>
      </c>
      <c r="AH158" s="451">
        <v>0</v>
      </c>
      <c r="AI158" s="451">
        <v>0</v>
      </c>
      <c r="AJ158" s="451">
        <v>0</v>
      </c>
      <c r="AK158" s="451">
        <v>0</v>
      </c>
      <c r="AL158" s="451">
        <v>0</v>
      </c>
      <c r="AM158" s="451">
        <v>0</v>
      </c>
      <c r="AN158" s="451">
        <v>0</v>
      </c>
      <c r="AO158" s="451">
        <v>793549</v>
      </c>
      <c r="AP158" s="451">
        <v>119045</v>
      </c>
      <c r="AQ158" s="324"/>
      <c r="AR158" s="310"/>
      <c r="AS158" s="310"/>
      <c r="AT158" s="310"/>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0"/>
      <c r="BS158" s="310"/>
      <c r="BT158" s="310"/>
      <c r="BU158" s="310"/>
      <c r="BV158" s="310"/>
      <c r="BW158" s="310"/>
      <c r="BX158" s="310"/>
      <c r="BY158" s="310"/>
      <c r="BZ158" s="310"/>
      <c r="CA158" s="310"/>
      <c r="CB158" s="310"/>
      <c r="CC158" s="310"/>
      <c r="CD158" s="310"/>
      <c r="CE158" s="310"/>
      <c r="CF158" s="310"/>
      <c r="CG158" s="310"/>
      <c r="CH158" s="310"/>
      <c r="CI158" s="310"/>
      <c r="CJ158" s="310"/>
      <c r="CK158" s="310"/>
      <c r="CL158" s="310"/>
      <c r="CM158" s="310"/>
      <c r="CN158" s="310"/>
      <c r="CO158" s="310"/>
      <c r="CP158" s="310"/>
      <c r="CQ158" s="310"/>
      <c r="CR158" s="310"/>
      <c r="CS158" s="310"/>
      <c r="CT158" s="310"/>
      <c r="CU158" s="310"/>
      <c r="CV158" s="310"/>
      <c r="CW158" s="310"/>
      <c r="CX158" s="310"/>
      <c r="CY158" s="310"/>
      <c r="CZ158" s="310"/>
      <c r="DA158" s="310"/>
      <c r="DB158" s="310"/>
      <c r="DC158" s="310"/>
      <c r="DD158" s="310"/>
      <c r="DE158" s="310"/>
      <c r="DF158" s="310"/>
      <c r="DG158" s="310"/>
      <c r="DH158" s="310"/>
      <c r="DI158" s="310"/>
      <c r="DJ158" s="310"/>
      <c r="DK158" s="310"/>
      <c r="DL158" s="310"/>
      <c r="DM158" s="310"/>
      <c r="DN158" s="310"/>
      <c r="DO158" s="310"/>
      <c r="DP158" s="310"/>
      <c r="DQ158" s="310"/>
      <c r="DR158" s="310"/>
      <c r="DS158" s="310"/>
      <c r="DT158" s="310"/>
      <c r="DU158" s="310"/>
      <c r="DV158" s="310"/>
      <c r="DW158" s="310"/>
      <c r="DX158" s="310"/>
      <c r="DY158" s="310"/>
      <c r="DZ158" s="310"/>
      <c r="EA158" s="310"/>
      <c r="EB158" s="310"/>
      <c r="EC158" s="310"/>
      <c r="ED158" s="310"/>
      <c r="EE158" s="310"/>
      <c r="EF158" s="310"/>
      <c r="EG158" s="310"/>
      <c r="EH158" s="310"/>
      <c r="EI158" s="310"/>
      <c r="EJ158" s="310"/>
      <c r="EK158" s="310"/>
      <c r="EL158" s="310"/>
      <c r="EM158" s="310"/>
      <c r="EN158" s="310"/>
      <c r="EO158" s="310"/>
      <c r="EP158" s="310"/>
      <c r="EQ158" s="310"/>
      <c r="ER158" s="310"/>
      <c r="ES158" s="310"/>
      <c r="ET158" s="310"/>
      <c r="EU158" s="310"/>
      <c r="EV158" s="310"/>
      <c r="EW158" s="310"/>
      <c r="EX158" s="310"/>
      <c r="EY158" s="310"/>
      <c r="EZ158" s="310"/>
      <c r="FA158" s="310"/>
      <c r="FB158" s="310"/>
      <c r="FC158" s="310"/>
      <c r="FD158" s="310"/>
      <c r="FE158" s="311"/>
      <c r="FF158" s="312"/>
    </row>
    <row r="159" spans="1:162" ht="12.75" x14ac:dyDescent="0.2">
      <c r="A159" s="446">
        <v>152</v>
      </c>
      <c r="B159" s="447" t="s">
        <v>187</v>
      </c>
      <c r="C159" s="448" t="s">
        <v>1104</v>
      </c>
      <c r="D159" s="449" t="s">
        <v>1099</v>
      </c>
      <c r="E159" s="450" t="s">
        <v>186</v>
      </c>
      <c r="F159" s="451">
        <v>51461019</v>
      </c>
      <c r="G159" s="451">
        <v>0</v>
      </c>
      <c r="H159" s="451">
        <v>0</v>
      </c>
      <c r="I159" s="451">
        <v>51461019</v>
      </c>
      <c r="J159" s="451">
        <v>482659</v>
      </c>
      <c r="K159" s="451">
        <v>0</v>
      </c>
      <c r="L159" s="451">
        <v>0</v>
      </c>
      <c r="M159" s="451">
        <v>482659</v>
      </c>
      <c r="N159" s="451">
        <v>674619</v>
      </c>
      <c r="O159" s="451">
        <v>0</v>
      </c>
      <c r="P159" s="451">
        <v>0</v>
      </c>
      <c r="Q159" s="451">
        <v>674619</v>
      </c>
      <c r="R159" s="451">
        <v>526775</v>
      </c>
      <c r="S159" s="451">
        <v>0</v>
      </c>
      <c r="T159" s="451">
        <v>0</v>
      </c>
      <c r="U159" s="451">
        <v>526775</v>
      </c>
      <c r="V159" s="451">
        <v>1721656</v>
      </c>
      <c r="W159" s="451">
        <v>0</v>
      </c>
      <c r="X159" s="451">
        <v>0</v>
      </c>
      <c r="Y159" s="451">
        <v>1721656</v>
      </c>
      <c r="Z159" s="451">
        <v>48055310</v>
      </c>
      <c r="AA159" s="451">
        <v>0</v>
      </c>
      <c r="AB159" s="451">
        <v>0</v>
      </c>
      <c r="AC159" s="451">
        <v>48055310</v>
      </c>
      <c r="AD159" s="451">
        <v>0</v>
      </c>
      <c r="AE159" s="451">
        <v>0</v>
      </c>
      <c r="AF159" s="451">
        <v>0</v>
      </c>
      <c r="AG159" s="451">
        <v>0</v>
      </c>
      <c r="AH159" s="451">
        <v>0</v>
      </c>
      <c r="AI159" s="451">
        <v>0</v>
      </c>
      <c r="AJ159" s="451">
        <v>0</v>
      </c>
      <c r="AK159" s="451">
        <v>0</v>
      </c>
      <c r="AL159" s="451">
        <v>0</v>
      </c>
      <c r="AM159" s="451">
        <v>0</v>
      </c>
      <c r="AN159" s="451">
        <v>0</v>
      </c>
      <c r="AO159" s="451">
        <v>4580133</v>
      </c>
      <c r="AP159" s="451">
        <v>3677031</v>
      </c>
      <c r="AQ159" s="324"/>
      <c r="AR159" s="310"/>
      <c r="AS159" s="310"/>
      <c r="AT159" s="310"/>
      <c r="AU159" s="310"/>
      <c r="AV159" s="310"/>
      <c r="AW159" s="310"/>
      <c r="AX159" s="310"/>
      <c r="AY159" s="310"/>
      <c r="AZ159" s="310"/>
      <c r="BA159" s="310"/>
      <c r="BB159" s="310"/>
      <c r="BC159" s="310"/>
      <c r="BD159" s="310"/>
      <c r="BE159" s="310"/>
      <c r="BF159" s="310"/>
      <c r="BG159" s="310"/>
      <c r="BH159" s="310"/>
      <c r="BI159" s="310"/>
      <c r="BJ159" s="310"/>
      <c r="BK159" s="310"/>
      <c r="BL159" s="310"/>
      <c r="BM159" s="310"/>
      <c r="BN159" s="310"/>
      <c r="BO159" s="310"/>
      <c r="BP159" s="310"/>
      <c r="BQ159" s="310"/>
      <c r="BR159" s="310"/>
      <c r="BS159" s="310"/>
      <c r="BT159" s="310"/>
      <c r="BU159" s="310"/>
      <c r="BV159" s="310"/>
      <c r="BW159" s="310"/>
      <c r="BX159" s="310"/>
      <c r="BY159" s="310"/>
      <c r="BZ159" s="310"/>
      <c r="CA159" s="310"/>
      <c r="CB159" s="310"/>
      <c r="CC159" s="310"/>
      <c r="CD159" s="310"/>
      <c r="CE159" s="310"/>
      <c r="CF159" s="310"/>
      <c r="CG159" s="310"/>
      <c r="CH159" s="310"/>
      <c r="CI159" s="310"/>
      <c r="CJ159" s="310"/>
      <c r="CK159" s="310"/>
      <c r="CL159" s="310"/>
      <c r="CM159" s="310"/>
      <c r="CN159" s="310"/>
      <c r="CO159" s="310"/>
      <c r="CP159" s="310"/>
      <c r="CQ159" s="310"/>
      <c r="CR159" s="310"/>
      <c r="CS159" s="310"/>
      <c r="CT159" s="310"/>
      <c r="CU159" s="310"/>
      <c r="CV159" s="310"/>
      <c r="CW159" s="310"/>
      <c r="CX159" s="310"/>
      <c r="CY159" s="310"/>
      <c r="CZ159" s="310"/>
      <c r="DA159" s="310"/>
      <c r="DB159" s="310"/>
      <c r="DC159" s="310"/>
      <c r="DD159" s="310"/>
      <c r="DE159" s="310"/>
      <c r="DF159" s="310"/>
      <c r="DG159" s="310"/>
      <c r="DH159" s="310"/>
      <c r="DI159" s="310"/>
      <c r="DJ159" s="310"/>
      <c r="DK159" s="310"/>
      <c r="DL159" s="310"/>
      <c r="DM159" s="310"/>
      <c r="DN159" s="310"/>
      <c r="DO159" s="310"/>
      <c r="DP159" s="310"/>
      <c r="DQ159" s="310"/>
      <c r="DR159" s="310"/>
      <c r="DS159" s="310"/>
      <c r="DT159" s="310"/>
      <c r="DU159" s="310"/>
      <c r="DV159" s="310"/>
      <c r="DW159" s="310"/>
      <c r="DX159" s="310"/>
      <c r="DY159" s="310"/>
      <c r="DZ159" s="310"/>
      <c r="EA159" s="310"/>
      <c r="EB159" s="310"/>
      <c r="EC159" s="310"/>
      <c r="ED159" s="310"/>
      <c r="EE159" s="310"/>
      <c r="EF159" s="310"/>
      <c r="EG159" s="310"/>
      <c r="EH159" s="310"/>
      <c r="EI159" s="310"/>
      <c r="EJ159" s="310"/>
      <c r="EK159" s="310"/>
      <c r="EL159" s="310"/>
      <c r="EM159" s="310"/>
      <c r="EN159" s="310"/>
      <c r="EO159" s="310"/>
      <c r="EP159" s="310"/>
      <c r="EQ159" s="310"/>
      <c r="ER159" s="310"/>
      <c r="ES159" s="310"/>
      <c r="ET159" s="310"/>
      <c r="EU159" s="310"/>
      <c r="EV159" s="310"/>
      <c r="EW159" s="310"/>
      <c r="EX159" s="310"/>
      <c r="EY159" s="310"/>
      <c r="EZ159" s="310"/>
      <c r="FA159" s="310"/>
      <c r="FB159" s="310"/>
      <c r="FC159" s="310"/>
      <c r="FD159" s="310"/>
      <c r="FE159" s="311"/>
      <c r="FF159" s="312"/>
    </row>
    <row r="160" spans="1:162" ht="12.75" x14ac:dyDescent="0.2">
      <c r="A160" s="446">
        <v>153</v>
      </c>
      <c r="B160" s="447" t="s">
        <v>189</v>
      </c>
      <c r="C160" s="448" t="s">
        <v>1093</v>
      </c>
      <c r="D160" s="449" t="s">
        <v>1103</v>
      </c>
      <c r="E160" s="450" t="s">
        <v>188</v>
      </c>
      <c r="F160" s="451">
        <v>32314860</v>
      </c>
      <c r="G160" s="451">
        <v>0</v>
      </c>
      <c r="H160" s="451">
        <v>0</v>
      </c>
      <c r="I160" s="451">
        <v>32314860</v>
      </c>
      <c r="J160" s="451">
        <v>0</v>
      </c>
      <c r="K160" s="451">
        <v>0</v>
      </c>
      <c r="L160" s="451">
        <v>0</v>
      </c>
      <c r="M160" s="451">
        <v>0</v>
      </c>
      <c r="N160" s="451">
        <v>177056.6</v>
      </c>
      <c r="O160" s="451">
        <v>0</v>
      </c>
      <c r="P160" s="451">
        <v>0</v>
      </c>
      <c r="Q160" s="451">
        <v>177056.6</v>
      </c>
      <c r="R160" s="451">
        <v>463182</v>
      </c>
      <c r="S160" s="451">
        <v>0</v>
      </c>
      <c r="T160" s="451">
        <v>0</v>
      </c>
      <c r="U160" s="451">
        <v>463182</v>
      </c>
      <c r="V160" s="451">
        <v>1141221</v>
      </c>
      <c r="W160" s="451">
        <v>0</v>
      </c>
      <c r="X160" s="451">
        <v>0</v>
      </c>
      <c r="Y160" s="451">
        <v>1141221</v>
      </c>
      <c r="Z160" s="451">
        <v>30533400</v>
      </c>
      <c r="AA160" s="451">
        <v>0</v>
      </c>
      <c r="AB160" s="451">
        <v>0</v>
      </c>
      <c r="AC160" s="451">
        <v>30533400</v>
      </c>
      <c r="AD160" s="451">
        <v>0</v>
      </c>
      <c r="AE160" s="451">
        <v>0</v>
      </c>
      <c r="AF160" s="451">
        <v>0</v>
      </c>
      <c r="AG160" s="451">
        <v>0</v>
      </c>
      <c r="AH160" s="451">
        <v>0</v>
      </c>
      <c r="AI160" s="451">
        <v>0</v>
      </c>
      <c r="AJ160" s="451">
        <v>0</v>
      </c>
      <c r="AK160" s="451">
        <v>0</v>
      </c>
      <c r="AL160" s="451">
        <v>0</v>
      </c>
      <c r="AM160" s="451">
        <v>0</v>
      </c>
      <c r="AN160" s="451">
        <v>0</v>
      </c>
      <c r="AO160" s="451">
        <v>823640.58</v>
      </c>
      <c r="AP160" s="451">
        <v>703411.57</v>
      </c>
      <c r="AQ160" s="324"/>
      <c r="AR160" s="310"/>
      <c r="AS160" s="310"/>
      <c r="AT160" s="310"/>
      <c r="AU160" s="310"/>
      <c r="AV160" s="310"/>
      <c r="AW160" s="310"/>
      <c r="AX160" s="310"/>
      <c r="AY160" s="310"/>
      <c r="AZ160" s="310"/>
      <c r="BA160" s="310"/>
      <c r="BB160" s="310"/>
      <c r="BC160" s="310"/>
      <c r="BD160" s="310"/>
      <c r="BE160" s="310"/>
      <c r="BF160" s="310"/>
      <c r="BG160" s="310"/>
      <c r="BH160" s="310"/>
      <c r="BI160" s="310"/>
      <c r="BJ160" s="310"/>
      <c r="BK160" s="310"/>
      <c r="BL160" s="310"/>
      <c r="BM160" s="310"/>
      <c r="BN160" s="310"/>
      <c r="BO160" s="310"/>
      <c r="BP160" s="310"/>
      <c r="BQ160" s="310"/>
      <c r="BR160" s="310"/>
      <c r="BS160" s="310"/>
      <c r="BT160" s="310"/>
      <c r="BU160" s="310"/>
      <c r="BV160" s="310"/>
      <c r="BW160" s="310"/>
      <c r="BX160" s="310"/>
      <c r="BY160" s="310"/>
      <c r="BZ160" s="310"/>
      <c r="CA160" s="310"/>
      <c r="CB160" s="310"/>
      <c r="CC160" s="310"/>
      <c r="CD160" s="310"/>
      <c r="CE160" s="310"/>
      <c r="CF160" s="310"/>
      <c r="CG160" s="310"/>
      <c r="CH160" s="310"/>
      <c r="CI160" s="310"/>
      <c r="CJ160" s="310"/>
      <c r="CK160" s="310"/>
      <c r="CL160" s="310"/>
      <c r="CM160" s="310"/>
      <c r="CN160" s="310"/>
      <c r="CO160" s="310"/>
      <c r="CP160" s="310"/>
      <c r="CQ160" s="310"/>
      <c r="CR160" s="310"/>
      <c r="CS160" s="310"/>
      <c r="CT160" s="310"/>
      <c r="CU160" s="310"/>
      <c r="CV160" s="310"/>
      <c r="CW160" s="310"/>
      <c r="CX160" s="310"/>
      <c r="CY160" s="310"/>
      <c r="CZ160" s="310"/>
      <c r="DA160" s="310"/>
      <c r="DB160" s="310"/>
      <c r="DC160" s="310"/>
      <c r="DD160" s="310"/>
      <c r="DE160" s="310"/>
      <c r="DF160" s="310"/>
      <c r="DG160" s="310"/>
      <c r="DH160" s="310"/>
      <c r="DI160" s="310"/>
      <c r="DJ160" s="310"/>
      <c r="DK160" s="310"/>
      <c r="DL160" s="310"/>
      <c r="DM160" s="310"/>
      <c r="DN160" s="310"/>
      <c r="DO160" s="310"/>
      <c r="DP160" s="310"/>
      <c r="DQ160" s="310"/>
      <c r="DR160" s="310"/>
      <c r="DS160" s="310"/>
      <c r="DT160" s="310"/>
      <c r="DU160" s="310"/>
      <c r="DV160" s="310"/>
      <c r="DW160" s="310"/>
      <c r="DX160" s="310"/>
      <c r="DY160" s="310"/>
      <c r="DZ160" s="310"/>
      <c r="EA160" s="310"/>
      <c r="EB160" s="310"/>
      <c r="EC160" s="310"/>
      <c r="ED160" s="310"/>
      <c r="EE160" s="310"/>
      <c r="EF160" s="310"/>
      <c r="EG160" s="310"/>
      <c r="EH160" s="310"/>
      <c r="EI160" s="310"/>
      <c r="EJ160" s="310"/>
      <c r="EK160" s="310"/>
      <c r="EL160" s="310"/>
      <c r="EM160" s="310"/>
      <c r="EN160" s="310"/>
      <c r="EO160" s="310"/>
      <c r="EP160" s="310"/>
      <c r="EQ160" s="310"/>
      <c r="ER160" s="310"/>
      <c r="ES160" s="310"/>
      <c r="ET160" s="310"/>
      <c r="EU160" s="310"/>
      <c r="EV160" s="310"/>
      <c r="EW160" s="310"/>
      <c r="EX160" s="310"/>
      <c r="EY160" s="310"/>
      <c r="EZ160" s="310"/>
      <c r="FA160" s="310"/>
      <c r="FB160" s="310"/>
      <c r="FC160" s="310"/>
      <c r="FD160" s="310"/>
      <c r="FE160" s="311"/>
      <c r="FF160" s="312"/>
    </row>
    <row r="161" spans="1:162" ht="12.75" x14ac:dyDescent="0.2">
      <c r="A161" s="446">
        <v>154</v>
      </c>
      <c r="B161" s="447" t="s">
        <v>191</v>
      </c>
      <c r="C161" s="448" t="s">
        <v>1093</v>
      </c>
      <c r="D161" s="449" t="s">
        <v>1096</v>
      </c>
      <c r="E161" s="450" t="s">
        <v>190</v>
      </c>
      <c r="F161" s="451">
        <v>40938983</v>
      </c>
      <c r="G161" s="451">
        <v>0</v>
      </c>
      <c r="H161" s="451">
        <v>0</v>
      </c>
      <c r="I161" s="451">
        <v>40938983</v>
      </c>
      <c r="J161" s="451">
        <v>215431</v>
      </c>
      <c r="K161" s="451">
        <v>0</v>
      </c>
      <c r="L161" s="451">
        <v>0</v>
      </c>
      <c r="M161" s="451">
        <v>215431</v>
      </c>
      <c r="N161" s="451">
        <v>88435</v>
      </c>
      <c r="O161" s="451">
        <v>0</v>
      </c>
      <c r="P161" s="451">
        <v>0</v>
      </c>
      <c r="Q161" s="451">
        <v>88435</v>
      </c>
      <c r="R161" s="451">
        <v>541203</v>
      </c>
      <c r="S161" s="451">
        <v>0</v>
      </c>
      <c r="T161" s="451">
        <v>0</v>
      </c>
      <c r="U161" s="451">
        <v>541203</v>
      </c>
      <c r="V161" s="451">
        <v>1736273</v>
      </c>
      <c r="W161" s="451">
        <v>0</v>
      </c>
      <c r="X161" s="451">
        <v>0</v>
      </c>
      <c r="Y161" s="451">
        <v>1736273</v>
      </c>
      <c r="Z161" s="451">
        <v>38357641</v>
      </c>
      <c r="AA161" s="451">
        <v>0</v>
      </c>
      <c r="AB161" s="451">
        <v>0</v>
      </c>
      <c r="AC161" s="451">
        <v>38357641</v>
      </c>
      <c r="AD161" s="451">
        <v>0</v>
      </c>
      <c r="AE161" s="451">
        <v>0</v>
      </c>
      <c r="AF161" s="451">
        <v>0</v>
      </c>
      <c r="AG161" s="451">
        <v>0</v>
      </c>
      <c r="AH161" s="451">
        <v>0</v>
      </c>
      <c r="AI161" s="451">
        <v>0</v>
      </c>
      <c r="AJ161" s="451">
        <v>0</v>
      </c>
      <c r="AK161" s="451">
        <v>0</v>
      </c>
      <c r="AL161" s="451">
        <v>0</v>
      </c>
      <c r="AM161" s="451">
        <v>0</v>
      </c>
      <c r="AN161" s="451">
        <v>0</v>
      </c>
      <c r="AO161" s="451">
        <v>988035</v>
      </c>
      <c r="AP161" s="451">
        <v>960880</v>
      </c>
      <c r="AQ161" s="324"/>
      <c r="AR161" s="310"/>
      <c r="AS161" s="310"/>
      <c r="AT161" s="310"/>
      <c r="AU161" s="310"/>
      <c r="AV161" s="310"/>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310"/>
      <c r="BU161" s="310"/>
      <c r="BV161" s="310"/>
      <c r="BW161" s="310"/>
      <c r="BX161" s="310"/>
      <c r="BY161" s="310"/>
      <c r="BZ161" s="310"/>
      <c r="CA161" s="310"/>
      <c r="CB161" s="310"/>
      <c r="CC161" s="310"/>
      <c r="CD161" s="310"/>
      <c r="CE161" s="310"/>
      <c r="CF161" s="310"/>
      <c r="CG161" s="310"/>
      <c r="CH161" s="310"/>
      <c r="CI161" s="310"/>
      <c r="CJ161" s="310"/>
      <c r="CK161" s="310"/>
      <c r="CL161" s="310"/>
      <c r="CM161" s="310"/>
      <c r="CN161" s="310"/>
      <c r="CO161" s="310"/>
      <c r="CP161" s="310"/>
      <c r="CQ161" s="310"/>
      <c r="CR161" s="310"/>
      <c r="CS161" s="310"/>
      <c r="CT161" s="310"/>
      <c r="CU161" s="310"/>
      <c r="CV161" s="310"/>
      <c r="CW161" s="310"/>
      <c r="CX161" s="310"/>
      <c r="CY161" s="310"/>
      <c r="CZ161" s="310"/>
      <c r="DA161" s="310"/>
      <c r="DB161" s="310"/>
      <c r="DC161" s="310"/>
      <c r="DD161" s="310"/>
      <c r="DE161" s="310"/>
      <c r="DF161" s="310"/>
      <c r="DG161" s="310"/>
      <c r="DH161" s="310"/>
      <c r="DI161" s="310"/>
      <c r="DJ161" s="310"/>
      <c r="DK161" s="310"/>
      <c r="DL161" s="310"/>
      <c r="DM161" s="310"/>
      <c r="DN161" s="310"/>
      <c r="DO161" s="310"/>
      <c r="DP161" s="310"/>
      <c r="DQ161" s="310"/>
      <c r="DR161" s="310"/>
      <c r="DS161" s="310"/>
      <c r="DT161" s="310"/>
      <c r="DU161" s="310"/>
      <c r="DV161" s="310"/>
      <c r="DW161" s="310"/>
      <c r="DX161" s="310"/>
      <c r="DY161" s="310"/>
      <c r="DZ161" s="310"/>
      <c r="EA161" s="310"/>
      <c r="EB161" s="310"/>
      <c r="EC161" s="310"/>
      <c r="ED161" s="310"/>
      <c r="EE161" s="310"/>
      <c r="EF161" s="310"/>
      <c r="EG161" s="310"/>
      <c r="EH161" s="310"/>
      <c r="EI161" s="310"/>
      <c r="EJ161" s="310"/>
      <c r="EK161" s="310"/>
      <c r="EL161" s="310"/>
      <c r="EM161" s="310"/>
      <c r="EN161" s="310"/>
      <c r="EO161" s="310"/>
      <c r="EP161" s="310"/>
      <c r="EQ161" s="310"/>
      <c r="ER161" s="310"/>
      <c r="ES161" s="310"/>
      <c r="ET161" s="310"/>
      <c r="EU161" s="310"/>
      <c r="EV161" s="310"/>
      <c r="EW161" s="310"/>
      <c r="EX161" s="310"/>
      <c r="EY161" s="310"/>
      <c r="EZ161" s="310"/>
      <c r="FA161" s="310"/>
      <c r="FB161" s="310"/>
      <c r="FC161" s="310"/>
      <c r="FD161" s="310"/>
      <c r="FE161" s="311"/>
      <c r="FF161" s="312"/>
    </row>
    <row r="162" spans="1:162" ht="12.75" x14ac:dyDescent="0.2">
      <c r="A162" s="446">
        <v>155</v>
      </c>
      <c r="B162" s="447" t="s">
        <v>193</v>
      </c>
      <c r="C162" s="448" t="s">
        <v>1100</v>
      </c>
      <c r="D162" s="449" t="s">
        <v>1095</v>
      </c>
      <c r="E162" s="450" t="s">
        <v>192</v>
      </c>
      <c r="F162" s="451">
        <v>162027486</v>
      </c>
      <c r="G162" s="451">
        <v>0</v>
      </c>
      <c r="H162" s="451">
        <v>29077964</v>
      </c>
      <c r="I162" s="451">
        <v>191105450</v>
      </c>
      <c r="J162" s="451">
        <v>1470</v>
      </c>
      <c r="K162" s="451">
        <v>0</v>
      </c>
      <c r="L162" s="451">
        <v>27387</v>
      </c>
      <c r="M162" s="451">
        <v>28857</v>
      </c>
      <c r="N162" s="451">
        <v>3128641</v>
      </c>
      <c r="O162" s="451">
        <v>0</v>
      </c>
      <c r="P162" s="451">
        <v>0</v>
      </c>
      <c r="Q162" s="451">
        <v>3128641</v>
      </c>
      <c r="R162" s="451">
        <v>3288502</v>
      </c>
      <c r="S162" s="451">
        <v>0</v>
      </c>
      <c r="T162" s="451">
        <v>0</v>
      </c>
      <c r="U162" s="451">
        <v>3288502</v>
      </c>
      <c r="V162" s="451">
        <v>11877007</v>
      </c>
      <c r="W162" s="451">
        <v>0</v>
      </c>
      <c r="X162" s="451">
        <v>0</v>
      </c>
      <c r="Y162" s="451">
        <v>11877007</v>
      </c>
      <c r="Z162" s="451">
        <v>143731866</v>
      </c>
      <c r="AA162" s="451">
        <v>0</v>
      </c>
      <c r="AB162" s="451">
        <v>29050577</v>
      </c>
      <c r="AC162" s="451">
        <v>172782443</v>
      </c>
      <c r="AD162" s="451">
        <v>0</v>
      </c>
      <c r="AE162" s="451">
        <v>0</v>
      </c>
      <c r="AF162" s="451">
        <v>0</v>
      </c>
      <c r="AG162" s="451">
        <v>0</v>
      </c>
      <c r="AH162" s="451">
        <v>0</v>
      </c>
      <c r="AI162" s="451">
        <v>63484</v>
      </c>
      <c r="AJ162" s="451">
        <v>0</v>
      </c>
      <c r="AK162" s="451">
        <v>33735438</v>
      </c>
      <c r="AL162" s="451">
        <v>0</v>
      </c>
      <c r="AM162" s="451">
        <v>0</v>
      </c>
      <c r="AN162" s="451">
        <v>0</v>
      </c>
      <c r="AO162" s="451">
        <v>63249820</v>
      </c>
      <c r="AP162" s="451">
        <v>11088641</v>
      </c>
      <c r="AQ162" s="324"/>
      <c r="AR162" s="310"/>
      <c r="AS162" s="310"/>
      <c r="AT162" s="310"/>
      <c r="AU162" s="310"/>
      <c r="AV162" s="310"/>
      <c r="AW162" s="310"/>
      <c r="AX162" s="310"/>
      <c r="AY162" s="310"/>
      <c r="AZ162" s="310"/>
      <c r="BA162" s="310"/>
      <c r="BB162" s="310"/>
      <c r="BC162" s="310"/>
      <c r="BD162" s="310"/>
      <c r="BE162" s="310"/>
      <c r="BF162" s="310"/>
      <c r="BG162" s="310"/>
      <c r="BH162" s="310"/>
      <c r="BI162" s="310"/>
      <c r="BJ162" s="310"/>
      <c r="BK162" s="310"/>
      <c r="BL162" s="310"/>
      <c r="BM162" s="310"/>
      <c r="BN162" s="310"/>
      <c r="BO162" s="310"/>
      <c r="BP162" s="310"/>
      <c r="BQ162" s="310"/>
      <c r="BR162" s="310"/>
      <c r="BS162" s="310"/>
      <c r="BT162" s="310"/>
      <c r="BU162" s="310"/>
      <c r="BV162" s="310"/>
      <c r="BW162" s="310"/>
      <c r="BX162" s="310"/>
      <c r="BY162" s="310"/>
      <c r="BZ162" s="310"/>
      <c r="CA162" s="310"/>
      <c r="CB162" s="310"/>
      <c r="CC162" s="310"/>
      <c r="CD162" s="310"/>
      <c r="CE162" s="310"/>
      <c r="CF162" s="310"/>
      <c r="CG162" s="310"/>
      <c r="CH162" s="310"/>
      <c r="CI162" s="310"/>
      <c r="CJ162" s="310"/>
      <c r="CK162" s="310"/>
      <c r="CL162" s="310"/>
      <c r="CM162" s="310"/>
      <c r="CN162" s="310"/>
      <c r="CO162" s="310"/>
      <c r="CP162" s="310"/>
      <c r="CQ162" s="310"/>
      <c r="CR162" s="310"/>
      <c r="CS162" s="310"/>
      <c r="CT162" s="310"/>
      <c r="CU162" s="310"/>
      <c r="CV162" s="310"/>
      <c r="CW162" s="310"/>
      <c r="CX162" s="310"/>
      <c r="CY162" s="310"/>
      <c r="CZ162" s="310"/>
      <c r="DA162" s="310"/>
      <c r="DB162" s="310"/>
      <c r="DC162" s="310"/>
      <c r="DD162" s="310"/>
      <c r="DE162" s="310"/>
      <c r="DF162" s="310"/>
      <c r="DG162" s="310"/>
      <c r="DH162" s="310"/>
      <c r="DI162" s="310"/>
      <c r="DJ162" s="310"/>
      <c r="DK162" s="310"/>
      <c r="DL162" s="310"/>
      <c r="DM162" s="310"/>
      <c r="DN162" s="310"/>
      <c r="DO162" s="310"/>
      <c r="DP162" s="310"/>
      <c r="DQ162" s="310"/>
      <c r="DR162" s="310"/>
      <c r="DS162" s="310"/>
      <c r="DT162" s="310"/>
      <c r="DU162" s="310"/>
      <c r="DV162" s="310"/>
      <c r="DW162" s="310"/>
      <c r="DX162" s="310"/>
      <c r="DY162" s="310"/>
      <c r="DZ162" s="310"/>
      <c r="EA162" s="310"/>
      <c r="EB162" s="310"/>
      <c r="EC162" s="310"/>
      <c r="ED162" s="310"/>
      <c r="EE162" s="310"/>
      <c r="EF162" s="310"/>
      <c r="EG162" s="310"/>
      <c r="EH162" s="310"/>
      <c r="EI162" s="310"/>
      <c r="EJ162" s="310"/>
      <c r="EK162" s="310"/>
      <c r="EL162" s="310"/>
      <c r="EM162" s="310"/>
      <c r="EN162" s="310"/>
      <c r="EO162" s="310"/>
      <c r="EP162" s="310"/>
      <c r="EQ162" s="310"/>
      <c r="ER162" s="310"/>
      <c r="ES162" s="310"/>
      <c r="ET162" s="310"/>
      <c r="EU162" s="310"/>
      <c r="EV162" s="310"/>
      <c r="EW162" s="310"/>
      <c r="EX162" s="310"/>
      <c r="EY162" s="310"/>
      <c r="EZ162" s="310"/>
      <c r="FA162" s="310"/>
      <c r="FB162" s="310"/>
      <c r="FC162" s="310"/>
      <c r="FD162" s="310"/>
      <c r="FE162" s="311"/>
      <c r="FF162" s="312"/>
    </row>
    <row r="163" spans="1:162" ht="12.75" x14ac:dyDescent="0.2">
      <c r="A163" s="446">
        <v>156</v>
      </c>
      <c r="B163" s="447" t="s">
        <v>195</v>
      </c>
      <c r="C163" s="448" t="s">
        <v>794</v>
      </c>
      <c r="D163" s="449" t="s">
        <v>1097</v>
      </c>
      <c r="E163" s="450" t="s">
        <v>724</v>
      </c>
      <c r="F163" s="451">
        <v>68709095.400000006</v>
      </c>
      <c r="G163" s="451">
        <v>0</v>
      </c>
      <c r="H163" s="451">
        <v>0</v>
      </c>
      <c r="I163" s="451">
        <v>68709095.400000006</v>
      </c>
      <c r="J163" s="451">
        <v>3464523.33</v>
      </c>
      <c r="K163" s="451">
        <v>0</v>
      </c>
      <c r="L163" s="451">
        <v>0</v>
      </c>
      <c r="M163" s="451">
        <v>3464523.33</v>
      </c>
      <c r="N163" s="451">
        <v>-471000</v>
      </c>
      <c r="O163" s="451">
        <v>0</v>
      </c>
      <c r="P163" s="451">
        <v>0</v>
      </c>
      <c r="Q163" s="451">
        <v>-471000</v>
      </c>
      <c r="R163" s="451">
        <v>785282.17</v>
      </c>
      <c r="S163" s="451">
        <v>0</v>
      </c>
      <c r="T163" s="451">
        <v>0</v>
      </c>
      <c r="U163" s="451">
        <v>785282.17</v>
      </c>
      <c r="V163" s="451">
        <v>3083483.72</v>
      </c>
      <c r="W163" s="451">
        <v>0</v>
      </c>
      <c r="X163" s="451">
        <v>0</v>
      </c>
      <c r="Y163" s="451">
        <v>3083483.72</v>
      </c>
      <c r="Z163" s="451">
        <v>61846806</v>
      </c>
      <c r="AA163" s="451">
        <v>0</v>
      </c>
      <c r="AB163" s="451">
        <v>0</v>
      </c>
      <c r="AC163" s="451">
        <v>61846806</v>
      </c>
      <c r="AD163" s="451">
        <v>0</v>
      </c>
      <c r="AE163" s="451">
        <v>0</v>
      </c>
      <c r="AF163" s="451">
        <v>0</v>
      </c>
      <c r="AG163" s="451">
        <v>0</v>
      </c>
      <c r="AH163" s="451">
        <v>0</v>
      </c>
      <c r="AI163" s="451">
        <v>0</v>
      </c>
      <c r="AJ163" s="451">
        <v>0</v>
      </c>
      <c r="AK163" s="451">
        <v>0</v>
      </c>
      <c r="AL163" s="451">
        <v>0</v>
      </c>
      <c r="AM163" s="451">
        <v>0</v>
      </c>
      <c r="AN163" s="451">
        <v>0</v>
      </c>
      <c r="AO163" s="451">
        <v>10091918.5</v>
      </c>
      <c r="AP163" s="451">
        <v>1663950.99</v>
      </c>
      <c r="AQ163" s="324"/>
      <c r="AR163" s="310"/>
      <c r="AS163" s="310"/>
      <c r="AT163" s="310"/>
      <c r="AU163" s="310"/>
      <c r="AV163" s="310"/>
      <c r="AW163" s="310"/>
      <c r="AX163" s="310"/>
      <c r="AY163" s="310"/>
      <c r="AZ163" s="310"/>
      <c r="BA163" s="310"/>
      <c r="BB163" s="310"/>
      <c r="BC163" s="310"/>
      <c r="BD163" s="310"/>
      <c r="BE163" s="310"/>
      <c r="BF163" s="310"/>
      <c r="BG163" s="310"/>
      <c r="BH163" s="310"/>
      <c r="BI163" s="310"/>
      <c r="BJ163" s="310"/>
      <c r="BK163" s="310"/>
      <c r="BL163" s="310"/>
      <c r="BM163" s="310"/>
      <c r="BN163" s="310"/>
      <c r="BO163" s="310"/>
      <c r="BP163" s="310"/>
      <c r="BQ163" s="310"/>
      <c r="BR163" s="310"/>
      <c r="BS163" s="310"/>
      <c r="BT163" s="310"/>
      <c r="BU163" s="310"/>
      <c r="BV163" s="310"/>
      <c r="BW163" s="310"/>
      <c r="BX163" s="310"/>
      <c r="BY163" s="310"/>
      <c r="BZ163" s="310"/>
      <c r="CA163" s="310"/>
      <c r="CB163" s="310"/>
      <c r="CC163" s="310"/>
      <c r="CD163" s="310"/>
      <c r="CE163" s="310"/>
      <c r="CF163" s="310"/>
      <c r="CG163" s="310"/>
      <c r="CH163" s="310"/>
      <c r="CI163" s="310"/>
      <c r="CJ163" s="310"/>
      <c r="CK163" s="310"/>
      <c r="CL163" s="310"/>
      <c r="CM163" s="310"/>
      <c r="CN163" s="310"/>
      <c r="CO163" s="310"/>
      <c r="CP163" s="310"/>
      <c r="CQ163" s="310"/>
      <c r="CR163" s="310"/>
      <c r="CS163" s="310"/>
      <c r="CT163" s="310"/>
      <c r="CU163" s="310"/>
      <c r="CV163" s="310"/>
      <c r="CW163" s="310"/>
      <c r="CX163" s="310"/>
      <c r="CY163" s="310"/>
      <c r="CZ163" s="310"/>
      <c r="DA163" s="310"/>
      <c r="DB163" s="310"/>
      <c r="DC163" s="310"/>
      <c r="DD163" s="310"/>
      <c r="DE163" s="310"/>
      <c r="DF163" s="310"/>
      <c r="DG163" s="310"/>
      <c r="DH163" s="310"/>
      <c r="DI163" s="310"/>
      <c r="DJ163" s="310"/>
      <c r="DK163" s="310"/>
      <c r="DL163" s="310"/>
      <c r="DM163" s="310"/>
      <c r="DN163" s="310"/>
      <c r="DO163" s="310"/>
      <c r="DP163" s="310"/>
      <c r="DQ163" s="310"/>
      <c r="DR163" s="310"/>
      <c r="DS163" s="310"/>
      <c r="DT163" s="310"/>
      <c r="DU163" s="310"/>
      <c r="DV163" s="310"/>
      <c r="DW163" s="310"/>
      <c r="DX163" s="310"/>
      <c r="DY163" s="310"/>
      <c r="DZ163" s="310"/>
      <c r="EA163" s="310"/>
      <c r="EB163" s="310"/>
      <c r="EC163" s="310"/>
      <c r="ED163" s="310"/>
      <c r="EE163" s="310"/>
      <c r="EF163" s="310"/>
      <c r="EG163" s="310"/>
      <c r="EH163" s="310"/>
      <c r="EI163" s="310"/>
      <c r="EJ163" s="310"/>
      <c r="EK163" s="310"/>
      <c r="EL163" s="310"/>
      <c r="EM163" s="310"/>
      <c r="EN163" s="310"/>
      <c r="EO163" s="310"/>
      <c r="EP163" s="310"/>
      <c r="EQ163" s="310"/>
      <c r="ER163" s="310"/>
      <c r="ES163" s="310"/>
      <c r="ET163" s="310"/>
      <c r="EU163" s="310"/>
      <c r="EV163" s="310"/>
      <c r="EW163" s="310"/>
      <c r="EX163" s="310"/>
      <c r="EY163" s="310"/>
      <c r="EZ163" s="310"/>
      <c r="FA163" s="310"/>
      <c r="FB163" s="310"/>
      <c r="FC163" s="310"/>
      <c r="FD163" s="310"/>
      <c r="FE163" s="311"/>
      <c r="FF163" s="312"/>
    </row>
    <row r="164" spans="1:162" ht="12.75" x14ac:dyDescent="0.2">
      <c r="A164" s="446">
        <v>157</v>
      </c>
      <c r="B164" s="447" t="s">
        <v>197</v>
      </c>
      <c r="C164" s="448" t="s">
        <v>1093</v>
      </c>
      <c r="D164" s="449" t="s">
        <v>1094</v>
      </c>
      <c r="E164" s="450" t="s">
        <v>196</v>
      </c>
      <c r="F164" s="451">
        <v>56190623</v>
      </c>
      <c r="G164" s="451">
        <v>0</v>
      </c>
      <c r="H164" s="451">
        <v>0</v>
      </c>
      <c r="I164" s="451">
        <v>56190623</v>
      </c>
      <c r="J164" s="451">
        <v>467896</v>
      </c>
      <c r="K164" s="451">
        <v>0</v>
      </c>
      <c r="L164" s="451">
        <v>0</v>
      </c>
      <c r="M164" s="451">
        <v>467896</v>
      </c>
      <c r="N164" s="451">
        <v>-475742</v>
      </c>
      <c r="O164" s="451">
        <v>0</v>
      </c>
      <c r="P164" s="451">
        <v>0</v>
      </c>
      <c r="Q164" s="451">
        <v>-475742</v>
      </c>
      <c r="R164" s="451">
        <v>731183</v>
      </c>
      <c r="S164" s="451">
        <v>0</v>
      </c>
      <c r="T164" s="451">
        <v>0</v>
      </c>
      <c r="U164" s="451">
        <v>731183</v>
      </c>
      <c r="V164" s="451">
        <v>2146657</v>
      </c>
      <c r="W164" s="451">
        <v>0</v>
      </c>
      <c r="X164" s="451">
        <v>0</v>
      </c>
      <c r="Y164" s="451">
        <v>2146657</v>
      </c>
      <c r="Z164" s="451">
        <v>53320629</v>
      </c>
      <c r="AA164" s="451">
        <v>0</v>
      </c>
      <c r="AB164" s="451">
        <v>0</v>
      </c>
      <c r="AC164" s="451">
        <v>53320629</v>
      </c>
      <c r="AD164" s="451">
        <v>0</v>
      </c>
      <c r="AE164" s="451">
        <v>0</v>
      </c>
      <c r="AF164" s="451">
        <v>0</v>
      </c>
      <c r="AG164" s="451">
        <v>0</v>
      </c>
      <c r="AH164" s="451">
        <v>0</v>
      </c>
      <c r="AI164" s="451">
        <v>0</v>
      </c>
      <c r="AJ164" s="451">
        <v>0</v>
      </c>
      <c r="AK164" s="451">
        <v>0</v>
      </c>
      <c r="AL164" s="451">
        <v>0</v>
      </c>
      <c r="AM164" s="451">
        <v>0</v>
      </c>
      <c r="AN164" s="451">
        <v>0</v>
      </c>
      <c r="AO164" s="451">
        <v>2956398</v>
      </c>
      <c r="AP164" s="451">
        <v>601870</v>
      </c>
      <c r="AQ164" s="324"/>
      <c r="AR164" s="310"/>
      <c r="AS164" s="310"/>
      <c r="AT164" s="310"/>
      <c r="AU164" s="310"/>
      <c r="AV164" s="310"/>
      <c r="AW164" s="310"/>
      <c r="AX164" s="310"/>
      <c r="AY164" s="310"/>
      <c r="AZ164" s="310"/>
      <c r="BA164" s="310"/>
      <c r="BB164" s="310"/>
      <c r="BC164" s="310"/>
      <c r="BD164" s="310"/>
      <c r="BE164" s="310"/>
      <c r="BF164" s="310"/>
      <c r="BG164" s="310"/>
      <c r="BH164" s="310"/>
      <c r="BI164" s="310"/>
      <c r="BJ164" s="310"/>
      <c r="BK164" s="310"/>
      <c r="BL164" s="310"/>
      <c r="BM164" s="310"/>
      <c r="BN164" s="310"/>
      <c r="BO164" s="310"/>
      <c r="BP164" s="310"/>
      <c r="BQ164" s="310"/>
      <c r="BR164" s="310"/>
      <c r="BS164" s="310"/>
      <c r="BT164" s="310"/>
      <c r="BU164" s="310"/>
      <c r="BV164" s="310"/>
      <c r="BW164" s="310"/>
      <c r="BX164" s="310"/>
      <c r="BY164" s="310"/>
      <c r="BZ164" s="310"/>
      <c r="CA164" s="310"/>
      <c r="CB164" s="310"/>
      <c r="CC164" s="310"/>
      <c r="CD164" s="310"/>
      <c r="CE164" s="310"/>
      <c r="CF164" s="310"/>
      <c r="CG164" s="310"/>
      <c r="CH164" s="310"/>
      <c r="CI164" s="310"/>
      <c r="CJ164" s="310"/>
      <c r="CK164" s="310"/>
      <c r="CL164" s="310"/>
      <c r="CM164" s="310"/>
      <c r="CN164" s="310"/>
      <c r="CO164" s="310"/>
      <c r="CP164" s="310"/>
      <c r="CQ164" s="310"/>
      <c r="CR164" s="310"/>
      <c r="CS164" s="310"/>
      <c r="CT164" s="310"/>
      <c r="CU164" s="310"/>
      <c r="CV164" s="310"/>
      <c r="CW164" s="310"/>
      <c r="CX164" s="310"/>
      <c r="CY164" s="310"/>
      <c r="CZ164" s="310"/>
      <c r="DA164" s="310"/>
      <c r="DB164" s="310"/>
      <c r="DC164" s="310"/>
      <c r="DD164" s="310"/>
      <c r="DE164" s="310"/>
      <c r="DF164" s="310"/>
      <c r="DG164" s="310"/>
      <c r="DH164" s="310"/>
      <c r="DI164" s="310"/>
      <c r="DJ164" s="310"/>
      <c r="DK164" s="310"/>
      <c r="DL164" s="310"/>
      <c r="DM164" s="310"/>
      <c r="DN164" s="310"/>
      <c r="DO164" s="310"/>
      <c r="DP164" s="310"/>
      <c r="DQ164" s="310"/>
      <c r="DR164" s="310"/>
      <c r="DS164" s="310"/>
      <c r="DT164" s="310"/>
      <c r="DU164" s="310"/>
      <c r="DV164" s="310"/>
      <c r="DW164" s="310"/>
      <c r="DX164" s="310"/>
      <c r="DY164" s="310"/>
      <c r="DZ164" s="310"/>
      <c r="EA164" s="310"/>
      <c r="EB164" s="310"/>
      <c r="EC164" s="310"/>
      <c r="ED164" s="310"/>
      <c r="EE164" s="310"/>
      <c r="EF164" s="310"/>
      <c r="EG164" s="310"/>
      <c r="EH164" s="310"/>
      <c r="EI164" s="310"/>
      <c r="EJ164" s="310"/>
      <c r="EK164" s="310"/>
      <c r="EL164" s="310"/>
      <c r="EM164" s="310"/>
      <c r="EN164" s="310"/>
      <c r="EO164" s="310"/>
      <c r="EP164" s="310"/>
      <c r="EQ164" s="310"/>
      <c r="ER164" s="310"/>
      <c r="ES164" s="310"/>
      <c r="ET164" s="310"/>
      <c r="EU164" s="310"/>
      <c r="EV164" s="310"/>
      <c r="EW164" s="310"/>
      <c r="EX164" s="310"/>
      <c r="EY164" s="310"/>
      <c r="EZ164" s="310"/>
      <c r="FA164" s="310"/>
      <c r="FB164" s="310"/>
      <c r="FC164" s="310"/>
      <c r="FD164" s="310"/>
      <c r="FE164" s="311"/>
      <c r="FF164" s="312"/>
    </row>
    <row r="165" spans="1:162" ht="12.75" x14ac:dyDescent="0.2">
      <c r="A165" s="446">
        <v>158</v>
      </c>
      <c r="B165" s="447" t="s">
        <v>199</v>
      </c>
      <c r="C165" s="448" t="s">
        <v>1093</v>
      </c>
      <c r="D165" s="449" t="s">
        <v>1097</v>
      </c>
      <c r="E165" s="450" t="s">
        <v>198</v>
      </c>
      <c r="F165" s="451">
        <v>13340097</v>
      </c>
      <c r="G165" s="451">
        <v>0</v>
      </c>
      <c r="H165" s="451">
        <v>0</v>
      </c>
      <c r="I165" s="451">
        <v>13340097</v>
      </c>
      <c r="J165" s="451">
        <v>0</v>
      </c>
      <c r="K165" s="451">
        <v>0</v>
      </c>
      <c r="L165" s="451">
        <v>0</v>
      </c>
      <c r="M165" s="451">
        <v>0</v>
      </c>
      <c r="N165" s="451">
        <v>-69880</v>
      </c>
      <c r="O165" s="451">
        <v>0</v>
      </c>
      <c r="P165" s="451">
        <v>0</v>
      </c>
      <c r="Q165" s="451">
        <v>-69880</v>
      </c>
      <c r="R165" s="451">
        <v>74694</v>
      </c>
      <c r="S165" s="451">
        <v>0</v>
      </c>
      <c r="T165" s="451">
        <v>0</v>
      </c>
      <c r="U165" s="451">
        <v>74694</v>
      </c>
      <c r="V165" s="451">
        <v>195813</v>
      </c>
      <c r="W165" s="451">
        <v>0</v>
      </c>
      <c r="X165" s="451">
        <v>0</v>
      </c>
      <c r="Y165" s="451">
        <v>195813</v>
      </c>
      <c r="Z165" s="451">
        <v>13139470</v>
      </c>
      <c r="AA165" s="451">
        <v>0</v>
      </c>
      <c r="AB165" s="451">
        <v>0</v>
      </c>
      <c r="AC165" s="451">
        <v>13139470</v>
      </c>
      <c r="AD165" s="451">
        <v>164760</v>
      </c>
      <c r="AE165" s="451">
        <v>0</v>
      </c>
      <c r="AF165" s="451">
        <v>0</v>
      </c>
      <c r="AG165" s="451">
        <v>164760</v>
      </c>
      <c r="AH165" s="451">
        <v>0</v>
      </c>
      <c r="AI165" s="451">
        <v>0</v>
      </c>
      <c r="AJ165" s="451">
        <v>0</v>
      </c>
      <c r="AK165" s="451">
        <v>0</v>
      </c>
      <c r="AL165" s="451">
        <v>0</v>
      </c>
      <c r="AM165" s="451">
        <v>0</v>
      </c>
      <c r="AN165" s="451">
        <v>164760</v>
      </c>
      <c r="AO165" s="451">
        <v>601399</v>
      </c>
      <c r="AP165" s="451">
        <v>297608.19</v>
      </c>
      <c r="AQ165" s="324"/>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310"/>
      <c r="BV165" s="310"/>
      <c r="BW165" s="310"/>
      <c r="BX165" s="310"/>
      <c r="BY165" s="310"/>
      <c r="BZ165" s="310"/>
      <c r="CA165" s="310"/>
      <c r="CB165" s="310"/>
      <c r="CC165" s="310"/>
      <c r="CD165" s="310"/>
      <c r="CE165" s="310"/>
      <c r="CF165" s="310"/>
      <c r="CG165" s="310"/>
      <c r="CH165" s="310"/>
      <c r="CI165" s="310"/>
      <c r="CJ165" s="310"/>
      <c r="CK165" s="310"/>
      <c r="CL165" s="310"/>
      <c r="CM165" s="310"/>
      <c r="CN165" s="310"/>
      <c r="CO165" s="310"/>
      <c r="CP165" s="310"/>
      <c r="CQ165" s="310"/>
      <c r="CR165" s="310"/>
      <c r="CS165" s="310"/>
      <c r="CT165" s="310"/>
      <c r="CU165" s="310"/>
      <c r="CV165" s="310"/>
      <c r="CW165" s="310"/>
      <c r="CX165" s="310"/>
      <c r="CY165" s="310"/>
      <c r="CZ165" s="310"/>
      <c r="DA165" s="310"/>
      <c r="DB165" s="310"/>
      <c r="DC165" s="310"/>
      <c r="DD165" s="310"/>
      <c r="DE165" s="310"/>
      <c r="DF165" s="310"/>
      <c r="DG165" s="310"/>
      <c r="DH165" s="310"/>
      <c r="DI165" s="310"/>
      <c r="DJ165" s="310"/>
      <c r="DK165" s="310"/>
      <c r="DL165" s="310"/>
      <c r="DM165" s="310"/>
      <c r="DN165" s="310"/>
      <c r="DO165" s="310"/>
      <c r="DP165" s="310"/>
      <c r="DQ165" s="310"/>
      <c r="DR165" s="310"/>
      <c r="DS165" s="310"/>
      <c r="DT165" s="310"/>
      <c r="DU165" s="310"/>
      <c r="DV165" s="310"/>
      <c r="DW165" s="310"/>
      <c r="DX165" s="310"/>
      <c r="DY165" s="310"/>
      <c r="DZ165" s="310"/>
      <c r="EA165" s="310"/>
      <c r="EB165" s="310"/>
      <c r="EC165" s="310"/>
      <c r="ED165" s="310"/>
      <c r="EE165" s="310"/>
      <c r="EF165" s="310"/>
      <c r="EG165" s="310"/>
      <c r="EH165" s="310"/>
      <c r="EI165" s="310"/>
      <c r="EJ165" s="310"/>
      <c r="EK165" s="310"/>
      <c r="EL165" s="310"/>
      <c r="EM165" s="310"/>
      <c r="EN165" s="310"/>
      <c r="EO165" s="310"/>
      <c r="EP165" s="310"/>
      <c r="EQ165" s="310"/>
      <c r="ER165" s="310"/>
      <c r="ES165" s="310"/>
      <c r="ET165" s="310"/>
      <c r="EU165" s="310"/>
      <c r="EV165" s="310"/>
      <c r="EW165" s="310"/>
      <c r="EX165" s="310"/>
      <c r="EY165" s="310"/>
      <c r="EZ165" s="310"/>
      <c r="FA165" s="310"/>
      <c r="FB165" s="310"/>
      <c r="FC165" s="310"/>
      <c r="FD165" s="310"/>
      <c r="FE165" s="311"/>
      <c r="FF165" s="312"/>
    </row>
    <row r="166" spans="1:162" ht="12.75" x14ac:dyDescent="0.2">
      <c r="A166" s="446">
        <v>159</v>
      </c>
      <c r="B166" s="447" t="s">
        <v>201</v>
      </c>
      <c r="C166" s="448" t="s">
        <v>1093</v>
      </c>
      <c r="D166" s="449" t="s">
        <v>1103</v>
      </c>
      <c r="E166" s="450" t="s">
        <v>1117</v>
      </c>
      <c r="F166" s="451">
        <v>14624439</v>
      </c>
      <c r="G166" s="451">
        <v>0</v>
      </c>
      <c r="H166" s="451">
        <v>0</v>
      </c>
      <c r="I166" s="451">
        <v>14624439</v>
      </c>
      <c r="J166" s="451">
        <v>96384</v>
      </c>
      <c r="K166" s="451">
        <v>0</v>
      </c>
      <c r="L166" s="451">
        <v>0</v>
      </c>
      <c r="M166" s="451">
        <v>96384</v>
      </c>
      <c r="N166" s="451">
        <v>0</v>
      </c>
      <c r="O166" s="451">
        <v>0</v>
      </c>
      <c r="P166" s="451">
        <v>0</v>
      </c>
      <c r="Q166" s="451">
        <v>0</v>
      </c>
      <c r="R166" s="451">
        <v>141244</v>
      </c>
      <c r="S166" s="451">
        <v>0</v>
      </c>
      <c r="T166" s="451">
        <v>0</v>
      </c>
      <c r="U166" s="451">
        <v>141244</v>
      </c>
      <c r="V166" s="451">
        <v>459287</v>
      </c>
      <c r="W166" s="451">
        <v>0</v>
      </c>
      <c r="X166" s="451">
        <v>0</v>
      </c>
      <c r="Y166" s="451">
        <v>459287</v>
      </c>
      <c r="Z166" s="451">
        <v>13927524</v>
      </c>
      <c r="AA166" s="451">
        <v>0</v>
      </c>
      <c r="AB166" s="451">
        <v>0</v>
      </c>
      <c r="AC166" s="451">
        <v>13927524</v>
      </c>
      <c r="AD166" s="451">
        <v>0</v>
      </c>
      <c r="AE166" s="451">
        <v>0</v>
      </c>
      <c r="AF166" s="451">
        <v>0</v>
      </c>
      <c r="AG166" s="451">
        <v>0</v>
      </c>
      <c r="AH166" s="451">
        <v>0</v>
      </c>
      <c r="AI166" s="451">
        <v>0</v>
      </c>
      <c r="AJ166" s="451">
        <v>0</v>
      </c>
      <c r="AK166" s="451">
        <v>0</v>
      </c>
      <c r="AL166" s="451">
        <v>0</v>
      </c>
      <c r="AM166" s="451">
        <v>0</v>
      </c>
      <c r="AN166" s="451">
        <v>0</v>
      </c>
      <c r="AO166" s="451">
        <v>326329</v>
      </c>
      <c r="AP166" s="451">
        <v>138352</v>
      </c>
      <c r="AQ166" s="324"/>
      <c r="AR166" s="310"/>
      <c r="AS166" s="310"/>
      <c r="AT166" s="310"/>
      <c r="AU166" s="310"/>
      <c r="AV166" s="310"/>
      <c r="AW166" s="310"/>
      <c r="AX166" s="310"/>
      <c r="AY166" s="310"/>
      <c r="AZ166" s="310"/>
      <c r="BA166" s="310"/>
      <c r="BB166" s="310"/>
      <c r="BC166" s="310"/>
      <c r="BD166" s="310"/>
      <c r="BE166" s="310"/>
      <c r="BF166" s="310"/>
      <c r="BG166" s="310"/>
      <c r="BH166" s="310"/>
      <c r="BI166" s="310"/>
      <c r="BJ166" s="310"/>
      <c r="BK166" s="310"/>
      <c r="BL166" s="310"/>
      <c r="BM166" s="310"/>
      <c r="BN166" s="310"/>
      <c r="BO166" s="310"/>
      <c r="BP166" s="310"/>
      <c r="BQ166" s="310"/>
      <c r="BR166" s="310"/>
      <c r="BS166" s="310"/>
      <c r="BT166" s="310"/>
      <c r="BU166" s="310"/>
      <c r="BV166" s="310"/>
      <c r="BW166" s="310"/>
      <c r="BX166" s="310"/>
      <c r="BY166" s="310"/>
      <c r="BZ166" s="310"/>
      <c r="CA166" s="310"/>
      <c r="CB166" s="310"/>
      <c r="CC166" s="310"/>
      <c r="CD166" s="310"/>
      <c r="CE166" s="310"/>
      <c r="CF166" s="310"/>
      <c r="CG166" s="310"/>
      <c r="CH166" s="310"/>
      <c r="CI166" s="310"/>
      <c r="CJ166" s="310"/>
      <c r="CK166" s="310"/>
      <c r="CL166" s="310"/>
      <c r="CM166" s="310"/>
      <c r="CN166" s="310"/>
      <c r="CO166" s="310"/>
      <c r="CP166" s="310"/>
      <c r="CQ166" s="310"/>
      <c r="CR166" s="310"/>
      <c r="CS166" s="310"/>
      <c r="CT166" s="310"/>
      <c r="CU166" s="310"/>
      <c r="CV166" s="310"/>
      <c r="CW166" s="310"/>
      <c r="CX166" s="310"/>
      <c r="CY166" s="310"/>
      <c r="CZ166" s="310"/>
      <c r="DA166" s="310"/>
      <c r="DB166" s="310"/>
      <c r="DC166" s="310"/>
      <c r="DD166" s="310"/>
      <c r="DE166" s="310"/>
      <c r="DF166" s="310"/>
      <c r="DG166" s="310"/>
      <c r="DH166" s="310"/>
      <c r="DI166" s="310"/>
      <c r="DJ166" s="310"/>
      <c r="DK166" s="310"/>
      <c r="DL166" s="310"/>
      <c r="DM166" s="310"/>
      <c r="DN166" s="310"/>
      <c r="DO166" s="310"/>
      <c r="DP166" s="310"/>
      <c r="DQ166" s="310"/>
      <c r="DR166" s="310"/>
      <c r="DS166" s="310"/>
      <c r="DT166" s="310"/>
      <c r="DU166" s="310"/>
      <c r="DV166" s="310"/>
      <c r="DW166" s="310"/>
      <c r="DX166" s="310"/>
      <c r="DY166" s="310"/>
      <c r="DZ166" s="310"/>
      <c r="EA166" s="310"/>
      <c r="EB166" s="310"/>
      <c r="EC166" s="310"/>
      <c r="ED166" s="310"/>
      <c r="EE166" s="310"/>
      <c r="EF166" s="310"/>
      <c r="EG166" s="310"/>
      <c r="EH166" s="310"/>
      <c r="EI166" s="310"/>
      <c r="EJ166" s="310"/>
      <c r="EK166" s="310"/>
      <c r="EL166" s="310"/>
      <c r="EM166" s="310"/>
      <c r="EN166" s="310"/>
      <c r="EO166" s="310"/>
      <c r="EP166" s="310"/>
      <c r="EQ166" s="310"/>
      <c r="ER166" s="310"/>
      <c r="ES166" s="310"/>
      <c r="ET166" s="310"/>
      <c r="EU166" s="310"/>
      <c r="EV166" s="310"/>
      <c r="EW166" s="310"/>
      <c r="EX166" s="310"/>
      <c r="EY166" s="310"/>
      <c r="EZ166" s="310"/>
      <c r="FA166" s="310"/>
      <c r="FB166" s="310"/>
      <c r="FC166" s="310"/>
      <c r="FD166" s="310"/>
      <c r="FE166" s="311"/>
      <c r="FF166" s="312"/>
    </row>
    <row r="167" spans="1:162" ht="12.75" x14ac:dyDescent="0.2">
      <c r="A167" s="446">
        <v>160</v>
      </c>
      <c r="B167" s="447" t="s">
        <v>203</v>
      </c>
      <c r="C167" s="448" t="s">
        <v>1100</v>
      </c>
      <c r="D167" s="449" t="s">
        <v>1095</v>
      </c>
      <c r="E167" s="450" t="s">
        <v>202</v>
      </c>
      <c r="F167" s="451">
        <v>314377478</v>
      </c>
      <c r="G167" s="451">
        <v>0</v>
      </c>
      <c r="H167" s="451">
        <v>4385577</v>
      </c>
      <c r="I167" s="451">
        <v>318763055</v>
      </c>
      <c r="J167" s="451">
        <v>4811495</v>
      </c>
      <c r="K167" s="451">
        <v>0</v>
      </c>
      <c r="L167" s="451">
        <v>134967</v>
      </c>
      <c r="M167" s="451">
        <v>4946462</v>
      </c>
      <c r="N167" s="451">
        <v>-1221743</v>
      </c>
      <c r="O167" s="451">
        <v>0</v>
      </c>
      <c r="P167" s="451">
        <v>0</v>
      </c>
      <c r="Q167" s="451">
        <v>-1221743</v>
      </c>
      <c r="R167" s="451">
        <v>31489116</v>
      </c>
      <c r="S167" s="451">
        <v>0</v>
      </c>
      <c r="T167" s="451">
        <v>296370</v>
      </c>
      <c r="U167" s="451">
        <v>31785486</v>
      </c>
      <c r="V167" s="451">
        <v>78997573</v>
      </c>
      <c r="W167" s="451">
        <v>0</v>
      </c>
      <c r="X167" s="451">
        <v>732383</v>
      </c>
      <c r="Y167" s="451">
        <v>79729956</v>
      </c>
      <c r="Z167" s="451">
        <v>200301037</v>
      </c>
      <c r="AA167" s="451">
        <v>0</v>
      </c>
      <c r="AB167" s="451">
        <v>3221857</v>
      </c>
      <c r="AC167" s="451">
        <v>203522894</v>
      </c>
      <c r="AD167" s="451">
        <v>0</v>
      </c>
      <c r="AE167" s="451">
        <v>0</v>
      </c>
      <c r="AF167" s="451">
        <v>0</v>
      </c>
      <c r="AG167" s="451">
        <v>0</v>
      </c>
      <c r="AH167" s="451">
        <v>0</v>
      </c>
      <c r="AI167" s="451">
        <v>-55613</v>
      </c>
      <c r="AJ167" s="451">
        <v>0</v>
      </c>
      <c r="AK167" s="451">
        <v>5808966.2400000002</v>
      </c>
      <c r="AL167" s="451">
        <v>0</v>
      </c>
      <c r="AM167" s="451">
        <v>0</v>
      </c>
      <c r="AN167" s="451">
        <v>0</v>
      </c>
      <c r="AO167" s="451">
        <v>18471889</v>
      </c>
      <c r="AP167" s="451">
        <v>9293126</v>
      </c>
      <c r="AQ167" s="324"/>
      <c r="AR167" s="310"/>
      <c r="AS167" s="310"/>
      <c r="AT167" s="310"/>
      <c r="AU167" s="310"/>
      <c r="AV167" s="310"/>
      <c r="AW167" s="310"/>
      <c r="AX167" s="310"/>
      <c r="AY167" s="310"/>
      <c r="AZ167" s="310"/>
      <c r="BA167" s="310"/>
      <c r="BB167" s="310"/>
      <c r="BC167" s="310"/>
      <c r="BD167" s="310"/>
      <c r="BE167" s="310"/>
      <c r="BF167" s="310"/>
      <c r="BG167" s="310"/>
      <c r="BH167" s="310"/>
      <c r="BI167" s="310"/>
      <c r="BJ167" s="310"/>
      <c r="BK167" s="310"/>
      <c r="BL167" s="310"/>
      <c r="BM167" s="310"/>
      <c r="BN167" s="310"/>
      <c r="BO167" s="310"/>
      <c r="BP167" s="310"/>
      <c r="BQ167" s="310"/>
      <c r="BR167" s="310"/>
      <c r="BS167" s="310"/>
      <c r="BT167" s="310"/>
      <c r="BU167" s="310"/>
      <c r="BV167" s="310"/>
      <c r="BW167" s="310"/>
      <c r="BX167" s="310"/>
      <c r="BY167" s="310"/>
      <c r="BZ167" s="310"/>
      <c r="CA167" s="310"/>
      <c r="CB167" s="310"/>
      <c r="CC167" s="310"/>
      <c r="CD167" s="310"/>
      <c r="CE167" s="310"/>
      <c r="CF167" s="310"/>
      <c r="CG167" s="310"/>
      <c r="CH167" s="310"/>
      <c r="CI167" s="310"/>
      <c r="CJ167" s="310"/>
      <c r="CK167" s="310"/>
      <c r="CL167" s="310"/>
      <c r="CM167" s="310"/>
      <c r="CN167" s="310"/>
      <c r="CO167" s="310"/>
      <c r="CP167" s="310"/>
      <c r="CQ167" s="310"/>
      <c r="CR167" s="310"/>
      <c r="CS167" s="310"/>
      <c r="CT167" s="310"/>
      <c r="CU167" s="310"/>
      <c r="CV167" s="310"/>
      <c r="CW167" s="310"/>
      <c r="CX167" s="310"/>
      <c r="CY167" s="310"/>
      <c r="CZ167" s="310"/>
      <c r="DA167" s="310"/>
      <c r="DB167" s="310"/>
      <c r="DC167" s="310"/>
      <c r="DD167" s="310"/>
      <c r="DE167" s="310"/>
      <c r="DF167" s="310"/>
      <c r="DG167" s="310"/>
      <c r="DH167" s="310"/>
      <c r="DI167" s="310"/>
      <c r="DJ167" s="310"/>
      <c r="DK167" s="310"/>
      <c r="DL167" s="310"/>
      <c r="DM167" s="310"/>
      <c r="DN167" s="310"/>
      <c r="DO167" s="310"/>
      <c r="DP167" s="310"/>
      <c r="DQ167" s="310"/>
      <c r="DR167" s="310"/>
      <c r="DS167" s="310"/>
      <c r="DT167" s="310"/>
      <c r="DU167" s="310"/>
      <c r="DV167" s="310"/>
      <c r="DW167" s="310"/>
      <c r="DX167" s="310"/>
      <c r="DY167" s="310"/>
      <c r="DZ167" s="310"/>
      <c r="EA167" s="310"/>
      <c r="EB167" s="310"/>
      <c r="EC167" s="310"/>
      <c r="ED167" s="310"/>
      <c r="EE167" s="310"/>
      <c r="EF167" s="310"/>
      <c r="EG167" s="310"/>
      <c r="EH167" s="310"/>
      <c r="EI167" s="310"/>
      <c r="EJ167" s="310"/>
      <c r="EK167" s="310"/>
      <c r="EL167" s="310"/>
      <c r="EM167" s="310"/>
      <c r="EN167" s="310"/>
      <c r="EO167" s="310"/>
      <c r="EP167" s="310"/>
      <c r="EQ167" s="310"/>
      <c r="ER167" s="310"/>
      <c r="ES167" s="310"/>
      <c r="ET167" s="310"/>
      <c r="EU167" s="310"/>
      <c r="EV167" s="310"/>
      <c r="EW167" s="310"/>
      <c r="EX167" s="310"/>
      <c r="EY167" s="310"/>
      <c r="EZ167" s="310"/>
      <c r="FA167" s="310"/>
      <c r="FB167" s="310"/>
      <c r="FC167" s="310"/>
      <c r="FD167" s="310"/>
      <c r="FE167" s="311"/>
      <c r="FF167" s="312"/>
    </row>
    <row r="168" spans="1:162" ht="12.75" x14ac:dyDescent="0.2">
      <c r="A168" s="446">
        <v>161</v>
      </c>
      <c r="B168" s="447" t="s">
        <v>205</v>
      </c>
      <c r="C168" s="448" t="s">
        <v>1093</v>
      </c>
      <c r="D168" s="449" t="s">
        <v>1096</v>
      </c>
      <c r="E168" s="450" t="s">
        <v>204</v>
      </c>
      <c r="F168" s="451">
        <v>28335096</v>
      </c>
      <c r="G168" s="451">
        <v>0</v>
      </c>
      <c r="H168" s="451">
        <v>0</v>
      </c>
      <c r="I168" s="451">
        <v>28335096</v>
      </c>
      <c r="J168" s="451">
        <v>481957</v>
      </c>
      <c r="K168" s="451">
        <v>0</v>
      </c>
      <c r="L168" s="451">
        <v>0</v>
      </c>
      <c r="M168" s="451">
        <v>481957</v>
      </c>
      <c r="N168" s="451">
        <v>-119365</v>
      </c>
      <c r="O168" s="451">
        <v>0</v>
      </c>
      <c r="P168" s="451">
        <v>0</v>
      </c>
      <c r="Q168" s="451">
        <v>-119365</v>
      </c>
      <c r="R168" s="451">
        <v>363484</v>
      </c>
      <c r="S168" s="451">
        <v>0</v>
      </c>
      <c r="T168" s="451">
        <v>0</v>
      </c>
      <c r="U168" s="451">
        <v>363484</v>
      </c>
      <c r="V168" s="451">
        <v>1007104</v>
      </c>
      <c r="W168" s="451">
        <v>0</v>
      </c>
      <c r="X168" s="451">
        <v>0</v>
      </c>
      <c r="Y168" s="451">
        <v>1007104</v>
      </c>
      <c r="Z168" s="451">
        <v>26601916</v>
      </c>
      <c r="AA168" s="451">
        <v>0</v>
      </c>
      <c r="AB168" s="451">
        <v>0</v>
      </c>
      <c r="AC168" s="451">
        <v>26601916</v>
      </c>
      <c r="AD168" s="451">
        <v>0</v>
      </c>
      <c r="AE168" s="451">
        <v>0</v>
      </c>
      <c r="AF168" s="451">
        <v>0</v>
      </c>
      <c r="AG168" s="451">
        <v>0</v>
      </c>
      <c r="AH168" s="451">
        <v>0</v>
      </c>
      <c r="AI168" s="451">
        <v>0</v>
      </c>
      <c r="AJ168" s="451">
        <v>0</v>
      </c>
      <c r="AK168" s="451">
        <v>0</v>
      </c>
      <c r="AL168" s="451">
        <v>0</v>
      </c>
      <c r="AM168" s="451">
        <v>0</v>
      </c>
      <c r="AN168" s="451">
        <v>0</v>
      </c>
      <c r="AO168" s="451">
        <v>625822</v>
      </c>
      <c r="AP168" s="451">
        <v>40313</v>
      </c>
      <c r="AQ168" s="324"/>
      <c r="AR168" s="310"/>
      <c r="AS168" s="310"/>
      <c r="AT168" s="310"/>
      <c r="AU168" s="310"/>
      <c r="AV168" s="310"/>
      <c r="AW168" s="310"/>
      <c r="AX168" s="310"/>
      <c r="AY168" s="310"/>
      <c r="AZ168" s="310"/>
      <c r="BA168" s="310"/>
      <c r="BB168" s="310"/>
      <c r="BC168" s="310"/>
      <c r="BD168" s="310"/>
      <c r="BE168" s="310"/>
      <c r="BF168" s="310"/>
      <c r="BG168" s="310"/>
      <c r="BH168" s="310"/>
      <c r="BI168" s="310"/>
      <c r="BJ168" s="310"/>
      <c r="BK168" s="310"/>
      <c r="BL168" s="310"/>
      <c r="BM168" s="310"/>
      <c r="BN168" s="310"/>
      <c r="BO168" s="310"/>
      <c r="BP168" s="310"/>
      <c r="BQ168" s="310"/>
      <c r="BR168" s="310"/>
      <c r="BS168" s="310"/>
      <c r="BT168" s="310"/>
      <c r="BU168" s="310"/>
      <c r="BV168" s="310"/>
      <c r="BW168" s="310"/>
      <c r="BX168" s="310"/>
      <c r="BY168" s="310"/>
      <c r="BZ168" s="310"/>
      <c r="CA168" s="310"/>
      <c r="CB168" s="310"/>
      <c r="CC168" s="310"/>
      <c r="CD168" s="310"/>
      <c r="CE168" s="310"/>
      <c r="CF168" s="310"/>
      <c r="CG168" s="310"/>
      <c r="CH168" s="310"/>
      <c r="CI168" s="310"/>
      <c r="CJ168" s="310"/>
      <c r="CK168" s="310"/>
      <c r="CL168" s="310"/>
      <c r="CM168" s="310"/>
      <c r="CN168" s="310"/>
      <c r="CO168" s="310"/>
      <c r="CP168" s="310"/>
      <c r="CQ168" s="310"/>
      <c r="CR168" s="310"/>
      <c r="CS168" s="310"/>
      <c r="CT168" s="310"/>
      <c r="CU168" s="310"/>
      <c r="CV168" s="310"/>
      <c r="CW168" s="310"/>
      <c r="CX168" s="310"/>
      <c r="CY168" s="310"/>
      <c r="CZ168" s="310"/>
      <c r="DA168" s="310"/>
      <c r="DB168" s="310"/>
      <c r="DC168" s="310"/>
      <c r="DD168" s="310"/>
      <c r="DE168" s="310"/>
      <c r="DF168" s="310"/>
      <c r="DG168" s="310"/>
      <c r="DH168" s="310"/>
      <c r="DI168" s="310"/>
      <c r="DJ168" s="310"/>
      <c r="DK168" s="310"/>
      <c r="DL168" s="310"/>
      <c r="DM168" s="310"/>
      <c r="DN168" s="310"/>
      <c r="DO168" s="310"/>
      <c r="DP168" s="310"/>
      <c r="DQ168" s="310"/>
      <c r="DR168" s="310"/>
      <c r="DS168" s="310"/>
      <c r="DT168" s="310"/>
      <c r="DU168" s="310"/>
      <c r="DV168" s="310"/>
      <c r="DW168" s="310"/>
      <c r="DX168" s="310"/>
      <c r="DY168" s="310"/>
      <c r="DZ168" s="310"/>
      <c r="EA168" s="310"/>
      <c r="EB168" s="310"/>
      <c r="EC168" s="310"/>
      <c r="ED168" s="310"/>
      <c r="EE168" s="310"/>
      <c r="EF168" s="310"/>
      <c r="EG168" s="310"/>
      <c r="EH168" s="310"/>
      <c r="EI168" s="310"/>
      <c r="EJ168" s="310"/>
      <c r="EK168" s="310"/>
      <c r="EL168" s="310"/>
      <c r="EM168" s="310"/>
      <c r="EN168" s="310"/>
      <c r="EO168" s="310"/>
      <c r="EP168" s="310"/>
      <c r="EQ168" s="310"/>
      <c r="ER168" s="310"/>
      <c r="ES168" s="310"/>
      <c r="ET168" s="310"/>
      <c r="EU168" s="310"/>
      <c r="EV168" s="310"/>
      <c r="EW168" s="310"/>
      <c r="EX168" s="310"/>
      <c r="EY168" s="310"/>
      <c r="EZ168" s="310"/>
      <c r="FA168" s="310"/>
      <c r="FB168" s="310"/>
      <c r="FC168" s="310"/>
      <c r="FD168" s="310"/>
      <c r="FE168" s="311"/>
      <c r="FF168" s="312"/>
    </row>
    <row r="169" spans="1:162" ht="12.75" x14ac:dyDescent="0.2">
      <c r="A169" s="446">
        <v>162</v>
      </c>
      <c r="B169" s="447" t="s">
        <v>207</v>
      </c>
      <c r="C169" s="448" t="s">
        <v>794</v>
      </c>
      <c r="D169" s="449" t="s">
        <v>1094</v>
      </c>
      <c r="E169" s="450" t="s">
        <v>725</v>
      </c>
      <c r="F169" s="451">
        <v>86241874</v>
      </c>
      <c r="G169" s="451">
        <v>0</v>
      </c>
      <c r="H169" s="451">
        <v>0</v>
      </c>
      <c r="I169" s="451">
        <v>86241874</v>
      </c>
      <c r="J169" s="451">
        <v>960629</v>
      </c>
      <c r="K169" s="451">
        <v>0</v>
      </c>
      <c r="L169" s="451">
        <v>0</v>
      </c>
      <c r="M169" s="451">
        <v>960629</v>
      </c>
      <c r="N169" s="451">
        <v>107065</v>
      </c>
      <c r="O169" s="451">
        <v>0</v>
      </c>
      <c r="P169" s="451">
        <v>0</v>
      </c>
      <c r="Q169" s="451">
        <v>107065</v>
      </c>
      <c r="R169" s="451">
        <v>2408299</v>
      </c>
      <c r="S169" s="451">
        <v>0</v>
      </c>
      <c r="T169" s="451">
        <v>0</v>
      </c>
      <c r="U169" s="451">
        <v>2408299</v>
      </c>
      <c r="V169" s="451">
        <v>6828050</v>
      </c>
      <c r="W169" s="451">
        <v>0</v>
      </c>
      <c r="X169" s="451">
        <v>0</v>
      </c>
      <c r="Y169" s="451">
        <v>6828050</v>
      </c>
      <c r="Z169" s="451">
        <v>75937831</v>
      </c>
      <c r="AA169" s="451">
        <v>0</v>
      </c>
      <c r="AB169" s="451">
        <v>0</v>
      </c>
      <c r="AC169" s="451">
        <v>75937831</v>
      </c>
      <c r="AD169" s="451">
        <v>0</v>
      </c>
      <c r="AE169" s="451">
        <v>0</v>
      </c>
      <c r="AF169" s="451">
        <v>0</v>
      </c>
      <c r="AG169" s="451">
        <v>0</v>
      </c>
      <c r="AH169" s="451">
        <v>0</v>
      </c>
      <c r="AI169" s="451">
        <v>0</v>
      </c>
      <c r="AJ169" s="451">
        <v>0</v>
      </c>
      <c r="AK169" s="451">
        <v>0</v>
      </c>
      <c r="AL169" s="451">
        <v>0</v>
      </c>
      <c r="AM169" s="451">
        <v>0</v>
      </c>
      <c r="AN169" s="451">
        <v>0</v>
      </c>
      <c r="AO169" s="451">
        <v>5199355</v>
      </c>
      <c r="AP169" s="451">
        <v>1312370</v>
      </c>
      <c r="AQ169" s="324"/>
      <c r="AR169" s="310"/>
      <c r="AS169" s="310"/>
      <c r="AT169" s="310"/>
      <c r="AU169" s="310"/>
      <c r="AV169" s="310"/>
      <c r="AW169" s="310"/>
      <c r="AX169" s="310"/>
      <c r="AY169" s="310"/>
      <c r="AZ169" s="310"/>
      <c r="BA169" s="310"/>
      <c r="BB169" s="310"/>
      <c r="BC169" s="310"/>
      <c r="BD169" s="310"/>
      <c r="BE169" s="310"/>
      <c r="BF169" s="310"/>
      <c r="BG169" s="310"/>
      <c r="BH169" s="310"/>
      <c r="BI169" s="310"/>
      <c r="BJ169" s="310"/>
      <c r="BK169" s="310"/>
      <c r="BL169" s="310"/>
      <c r="BM169" s="310"/>
      <c r="BN169" s="310"/>
      <c r="BO169" s="310"/>
      <c r="BP169" s="310"/>
      <c r="BQ169" s="310"/>
      <c r="BR169" s="310"/>
      <c r="BS169" s="310"/>
      <c r="BT169" s="310"/>
      <c r="BU169" s="310"/>
      <c r="BV169" s="310"/>
      <c r="BW169" s="310"/>
      <c r="BX169" s="310"/>
      <c r="BY169" s="310"/>
      <c r="BZ169" s="310"/>
      <c r="CA169" s="310"/>
      <c r="CB169" s="310"/>
      <c r="CC169" s="310"/>
      <c r="CD169" s="310"/>
      <c r="CE169" s="310"/>
      <c r="CF169" s="310"/>
      <c r="CG169" s="310"/>
      <c r="CH169" s="310"/>
      <c r="CI169" s="310"/>
      <c r="CJ169" s="310"/>
      <c r="CK169" s="310"/>
      <c r="CL169" s="310"/>
      <c r="CM169" s="310"/>
      <c r="CN169" s="310"/>
      <c r="CO169" s="310"/>
      <c r="CP169" s="310"/>
      <c r="CQ169" s="310"/>
      <c r="CR169" s="310"/>
      <c r="CS169" s="310"/>
      <c r="CT169" s="310"/>
      <c r="CU169" s="310"/>
      <c r="CV169" s="310"/>
      <c r="CW169" s="310"/>
      <c r="CX169" s="310"/>
      <c r="CY169" s="310"/>
      <c r="CZ169" s="310"/>
      <c r="DA169" s="310"/>
      <c r="DB169" s="310"/>
      <c r="DC169" s="310"/>
      <c r="DD169" s="310"/>
      <c r="DE169" s="310"/>
      <c r="DF169" s="310"/>
      <c r="DG169" s="310"/>
      <c r="DH169" s="310"/>
      <c r="DI169" s="310"/>
      <c r="DJ169" s="310"/>
      <c r="DK169" s="310"/>
      <c r="DL169" s="310"/>
      <c r="DM169" s="310"/>
      <c r="DN169" s="310"/>
      <c r="DO169" s="310"/>
      <c r="DP169" s="310"/>
      <c r="DQ169" s="310"/>
      <c r="DR169" s="310"/>
      <c r="DS169" s="310"/>
      <c r="DT169" s="310"/>
      <c r="DU169" s="310"/>
      <c r="DV169" s="310"/>
      <c r="DW169" s="310"/>
      <c r="DX169" s="310"/>
      <c r="DY169" s="310"/>
      <c r="DZ169" s="310"/>
      <c r="EA169" s="310"/>
      <c r="EB169" s="310"/>
      <c r="EC169" s="310"/>
      <c r="ED169" s="310"/>
      <c r="EE169" s="310"/>
      <c r="EF169" s="310"/>
      <c r="EG169" s="310"/>
      <c r="EH169" s="310"/>
      <c r="EI169" s="310"/>
      <c r="EJ169" s="310"/>
      <c r="EK169" s="310"/>
      <c r="EL169" s="310"/>
      <c r="EM169" s="310"/>
      <c r="EN169" s="310"/>
      <c r="EO169" s="310"/>
      <c r="EP169" s="310"/>
      <c r="EQ169" s="310"/>
      <c r="ER169" s="310"/>
      <c r="ES169" s="310"/>
      <c r="ET169" s="310"/>
      <c r="EU169" s="310"/>
      <c r="EV169" s="310"/>
      <c r="EW169" s="310"/>
      <c r="EX169" s="310"/>
      <c r="EY169" s="310"/>
      <c r="EZ169" s="310"/>
      <c r="FA169" s="310"/>
      <c r="FB169" s="310"/>
      <c r="FC169" s="310"/>
      <c r="FD169" s="310"/>
      <c r="FE169" s="311"/>
      <c r="FF169" s="312"/>
    </row>
    <row r="170" spans="1:162" ht="12.75" x14ac:dyDescent="0.2">
      <c r="A170" s="446">
        <v>163</v>
      </c>
      <c r="B170" s="447" t="s">
        <v>209</v>
      </c>
      <c r="C170" s="448" t="s">
        <v>1093</v>
      </c>
      <c r="D170" s="449" t="s">
        <v>1096</v>
      </c>
      <c r="E170" s="450" t="s">
        <v>208</v>
      </c>
      <c r="F170" s="451">
        <v>12674338.6</v>
      </c>
      <c r="G170" s="451">
        <v>0</v>
      </c>
      <c r="H170" s="451">
        <v>0</v>
      </c>
      <c r="I170" s="451">
        <v>12674338.6</v>
      </c>
      <c r="J170" s="451">
        <v>37137</v>
      </c>
      <c r="K170" s="451">
        <v>0</v>
      </c>
      <c r="L170" s="451">
        <v>0</v>
      </c>
      <c r="M170" s="451">
        <v>37137</v>
      </c>
      <c r="N170" s="451">
        <v>68442</v>
      </c>
      <c r="O170" s="451">
        <v>0</v>
      </c>
      <c r="P170" s="451">
        <v>0</v>
      </c>
      <c r="Q170" s="451">
        <v>68442</v>
      </c>
      <c r="R170" s="451">
        <v>110181</v>
      </c>
      <c r="S170" s="451">
        <v>0</v>
      </c>
      <c r="T170" s="451">
        <v>0</v>
      </c>
      <c r="U170" s="451">
        <v>110181</v>
      </c>
      <c r="V170" s="451">
        <v>281546</v>
      </c>
      <c r="W170" s="451">
        <v>0</v>
      </c>
      <c r="X170" s="451">
        <v>0</v>
      </c>
      <c r="Y170" s="451">
        <v>281546</v>
      </c>
      <c r="Z170" s="451">
        <v>12177033</v>
      </c>
      <c r="AA170" s="451">
        <v>0</v>
      </c>
      <c r="AB170" s="451">
        <v>0</v>
      </c>
      <c r="AC170" s="451">
        <v>12177033</v>
      </c>
      <c r="AD170" s="451">
        <v>0</v>
      </c>
      <c r="AE170" s="451">
        <v>0</v>
      </c>
      <c r="AF170" s="451">
        <v>0</v>
      </c>
      <c r="AG170" s="451">
        <v>0</v>
      </c>
      <c r="AH170" s="451">
        <v>0</v>
      </c>
      <c r="AI170" s="451">
        <v>0</v>
      </c>
      <c r="AJ170" s="451">
        <v>0</v>
      </c>
      <c r="AK170" s="451">
        <v>0</v>
      </c>
      <c r="AL170" s="451">
        <v>0</v>
      </c>
      <c r="AM170" s="451">
        <v>0</v>
      </c>
      <c r="AN170" s="451">
        <v>0</v>
      </c>
      <c r="AO170" s="451">
        <v>809219</v>
      </c>
      <c r="AP170" s="451">
        <v>469574.69</v>
      </c>
      <c r="AQ170" s="324"/>
      <c r="AR170" s="310"/>
      <c r="AS170" s="310"/>
      <c r="AT170" s="310"/>
      <c r="AU170" s="310"/>
      <c r="AV170" s="310"/>
      <c r="AW170" s="310"/>
      <c r="AX170" s="310"/>
      <c r="AY170" s="310"/>
      <c r="AZ170" s="310"/>
      <c r="BA170" s="310"/>
      <c r="BB170" s="310"/>
      <c r="BC170" s="310"/>
      <c r="BD170" s="310"/>
      <c r="BE170" s="310"/>
      <c r="BF170" s="310"/>
      <c r="BG170" s="310"/>
      <c r="BH170" s="310"/>
      <c r="BI170" s="310"/>
      <c r="BJ170" s="310"/>
      <c r="BK170" s="310"/>
      <c r="BL170" s="310"/>
      <c r="BM170" s="310"/>
      <c r="BN170" s="310"/>
      <c r="BO170" s="310"/>
      <c r="BP170" s="310"/>
      <c r="BQ170" s="310"/>
      <c r="BR170" s="310"/>
      <c r="BS170" s="310"/>
      <c r="BT170" s="310"/>
      <c r="BU170" s="310"/>
      <c r="BV170" s="310"/>
      <c r="BW170" s="310"/>
      <c r="BX170" s="310"/>
      <c r="BY170" s="310"/>
      <c r="BZ170" s="310"/>
      <c r="CA170" s="310"/>
      <c r="CB170" s="310"/>
      <c r="CC170" s="310"/>
      <c r="CD170" s="310"/>
      <c r="CE170" s="310"/>
      <c r="CF170" s="310"/>
      <c r="CG170" s="310"/>
      <c r="CH170" s="310"/>
      <c r="CI170" s="310"/>
      <c r="CJ170" s="310"/>
      <c r="CK170" s="310"/>
      <c r="CL170" s="310"/>
      <c r="CM170" s="310"/>
      <c r="CN170" s="310"/>
      <c r="CO170" s="310"/>
      <c r="CP170" s="310"/>
      <c r="CQ170" s="310"/>
      <c r="CR170" s="310"/>
      <c r="CS170" s="310"/>
      <c r="CT170" s="310"/>
      <c r="CU170" s="310"/>
      <c r="CV170" s="310"/>
      <c r="CW170" s="310"/>
      <c r="CX170" s="310"/>
      <c r="CY170" s="310"/>
      <c r="CZ170" s="310"/>
      <c r="DA170" s="310"/>
      <c r="DB170" s="310"/>
      <c r="DC170" s="310"/>
      <c r="DD170" s="310"/>
      <c r="DE170" s="310"/>
      <c r="DF170" s="310"/>
      <c r="DG170" s="310"/>
      <c r="DH170" s="310"/>
      <c r="DI170" s="310"/>
      <c r="DJ170" s="310"/>
      <c r="DK170" s="310"/>
      <c r="DL170" s="310"/>
      <c r="DM170" s="310"/>
      <c r="DN170" s="310"/>
      <c r="DO170" s="310"/>
      <c r="DP170" s="310"/>
      <c r="DQ170" s="310"/>
      <c r="DR170" s="310"/>
      <c r="DS170" s="310"/>
      <c r="DT170" s="310"/>
      <c r="DU170" s="310"/>
      <c r="DV170" s="310"/>
      <c r="DW170" s="310"/>
      <c r="DX170" s="310"/>
      <c r="DY170" s="310"/>
      <c r="DZ170" s="310"/>
      <c r="EA170" s="310"/>
      <c r="EB170" s="310"/>
      <c r="EC170" s="310"/>
      <c r="ED170" s="310"/>
      <c r="EE170" s="310"/>
      <c r="EF170" s="310"/>
      <c r="EG170" s="310"/>
      <c r="EH170" s="310"/>
      <c r="EI170" s="310"/>
      <c r="EJ170" s="310"/>
      <c r="EK170" s="310"/>
      <c r="EL170" s="310"/>
      <c r="EM170" s="310"/>
      <c r="EN170" s="310"/>
      <c r="EO170" s="310"/>
      <c r="EP170" s="310"/>
      <c r="EQ170" s="310"/>
      <c r="ER170" s="310"/>
      <c r="ES170" s="310"/>
      <c r="ET170" s="310"/>
      <c r="EU170" s="310"/>
      <c r="EV170" s="310"/>
      <c r="EW170" s="310"/>
      <c r="EX170" s="310"/>
      <c r="EY170" s="310"/>
      <c r="EZ170" s="310"/>
      <c r="FA170" s="310"/>
      <c r="FB170" s="310"/>
      <c r="FC170" s="310"/>
      <c r="FD170" s="310"/>
      <c r="FE170" s="311"/>
      <c r="FF170" s="312"/>
    </row>
    <row r="171" spans="1:162" ht="12.75" x14ac:dyDescent="0.2">
      <c r="A171" s="446">
        <v>164</v>
      </c>
      <c r="B171" s="447" t="s">
        <v>211</v>
      </c>
      <c r="C171" s="448" t="s">
        <v>1093</v>
      </c>
      <c r="D171" s="449" t="s">
        <v>1102</v>
      </c>
      <c r="E171" s="450" t="s">
        <v>210</v>
      </c>
      <c r="F171" s="451">
        <v>33204008</v>
      </c>
      <c r="G171" s="451">
        <v>0</v>
      </c>
      <c r="H171" s="451">
        <v>0</v>
      </c>
      <c r="I171" s="451">
        <v>33204008</v>
      </c>
      <c r="J171" s="451">
        <v>165866</v>
      </c>
      <c r="K171" s="451">
        <v>0</v>
      </c>
      <c r="L171" s="451">
        <v>0</v>
      </c>
      <c r="M171" s="451">
        <v>165866</v>
      </c>
      <c r="N171" s="451">
        <v>409902</v>
      </c>
      <c r="O171" s="451">
        <v>0</v>
      </c>
      <c r="P171" s="451">
        <v>0</v>
      </c>
      <c r="Q171" s="451">
        <v>409902</v>
      </c>
      <c r="R171" s="451">
        <v>1700000</v>
      </c>
      <c r="S171" s="451">
        <v>0</v>
      </c>
      <c r="T171" s="451">
        <v>0</v>
      </c>
      <c r="U171" s="451">
        <v>1700000</v>
      </c>
      <c r="V171" s="451">
        <v>0</v>
      </c>
      <c r="W171" s="451">
        <v>0</v>
      </c>
      <c r="X171" s="451">
        <v>0</v>
      </c>
      <c r="Y171" s="451">
        <v>0</v>
      </c>
      <c r="Z171" s="451">
        <v>30928240</v>
      </c>
      <c r="AA171" s="451">
        <v>0</v>
      </c>
      <c r="AB171" s="451">
        <v>0</v>
      </c>
      <c r="AC171" s="451">
        <v>30928240</v>
      </c>
      <c r="AD171" s="451">
        <v>0</v>
      </c>
      <c r="AE171" s="451">
        <v>0</v>
      </c>
      <c r="AF171" s="451">
        <v>0</v>
      </c>
      <c r="AG171" s="451">
        <v>0</v>
      </c>
      <c r="AH171" s="451">
        <v>0</v>
      </c>
      <c r="AI171" s="451">
        <v>0</v>
      </c>
      <c r="AJ171" s="451">
        <v>0</v>
      </c>
      <c r="AK171" s="451">
        <v>0</v>
      </c>
      <c r="AL171" s="451">
        <v>0</v>
      </c>
      <c r="AM171" s="451">
        <v>0</v>
      </c>
      <c r="AN171" s="451">
        <v>0</v>
      </c>
      <c r="AO171" s="451">
        <v>1192918</v>
      </c>
      <c r="AP171" s="451">
        <v>668394</v>
      </c>
      <c r="AQ171" s="324"/>
      <c r="AR171" s="310"/>
      <c r="AS171" s="310"/>
      <c r="AT171" s="310"/>
      <c r="AU171" s="310"/>
      <c r="AV171" s="310"/>
      <c r="AW171" s="310"/>
      <c r="AX171" s="310"/>
      <c r="AY171" s="310"/>
      <c r="AZ171" s="310"/>
      <c r="BA171" s="310"/>
      <c r="BB171" s="310"/>
      <c r="BC171" s="310"/>
      <c r="BD171" s="310"/>
      <c r="BE171" s="310"/>
      <c r="BF171" s="310"/>
      <c r="BG171" s="310"/>
      <c r="BH171" s="310"/>
      <c r="BI171" s="310"/>
      <c r="BJ171" s="310"/>
      <c r="BK171" s="310"/>
      <c r="BL171" s="310"/>
      <c r="BM171" s="310"/>
      <c r="BN171" s="310"/>
      <c r="BO171" s="310"/>
      <c r="BP171" s="310"/>
      <c r="BQ171" s="310"/>
      <c r="BR171" s="310"/>
      <c r="BS171" s="310"/>
      <c r="BT171" s="310"/>
      <c r="BU171" s="310"/>
      <c r="BV171" s="310"/>
      <c r="BW171" s="310"/>
      <c r="BX171" s="310"/>
      <c r="BY171" s="310"/>
      <c r="BZ171" s="310"/>
      <c r="CA171" s="310"/>
      <c r="CB171" s="310"/>
      <c r="CC171" s="310"/>
      <c r="CD171" s="310"/>
      <c r="CE171" s="310"/>
      <c r="CF171" s="310"/>
      <c r="CG171" s="310"/>
      <c r="CH171" s="310"/>
      <c r="CI171" s="310"/>
      <c r="CJ171" s="310"/>
      <c r="CK171" s="310"/>
      <c r="CL171" s="310"/>
      <c r="CM171" s="310"/>
      <c r="CN171" s="310"/>
      <c r="CO171" s="310"/>
      <c r="CP171" s="310"/>
      <c r="CQ171" s="310"/>
      <c r="CR171" s="310"/>
      <c r="CS171" s="310"/>
      <c r="CT171" s="310"/>
      <c r="CU171" s="310"/>
      <c r="CV171" s="310"/>
      <c r="CW171" s="310"/>
      <c r="CX171" s="310"/>
      <c r="CY171" s="310"/>
      <c r="CZ171" s="310"/>
      <c r="DA171" s="310"/>
      <c r="DB171" s="310"/>
      <c r="DC171" s="310"/>
      <c r="DD171" s="310"/>
      <c r="DE171" s="310"/>
      <c r="DF171" s="310"/>
      <c r="DG171" s="310"/>
      <c r="DH171" s="310"/>
      <c r="DI171" s="310"/>
      <c r="DJ171" s="310"/>
      <c r="DK171" s="310"/>
      <c r="DL171" s="310"/>
      <c r="DM171" s="310"/>
      <c r="DN171" s="310"/>
      <c r="DO171" s="310"/>
      <c r="DP171" s="310"/>
      <c r="DQ171" s="310"/>
      <c r="DR171" s="310"/>
      <c r="DS171" s="310"/>
      <c r="DT171" s="310"/>
      <c r="DU171" s="310"/>
      <c r="DV171" s="310"/>
      <c r="DW171" s="310"/>
      <c r="DX171" s="310"/>
      <c r="DY171" s="310"/>
      <c r="DZ171" s="310"/>
      <c r="EA171" s="310"/>
      <c r="EB171" s="310"/>
      <c r="EC171" s="310"/>
      <c r="ED171" s="310"/>
      <c r="EE171" s="310"/>
      <c r="EF171" s="310"/>
      <c r="EG171" s="310"/>
      <c r="EH171" s="310"/>
      <c r="EI171" s="310"/>
      <c r="EJ171" s="310"/>
      <c r="EK171" s="310"/>
      <c r="EL171" s="310"/>
      <c r="EM171" s="310"/>
      <c r="EN171" s="310"/>
      <c r="EO171" s="310"/>
      <c r="EP171" s="310"/>
      <c r="EQ171" s="310"/>
      <c r="ER171" s="310"/>
      <c r="ES171" s="310"/>
      <c r="ET171" s="310"/>
      <c r="EU171" s="310"/>
      <c r="EV171" s="310"/>
      <c r="EW171" s="310"/>
      <c r="EX171" s="310"/>
      <c r="EY171" s="310"/>
      <c r="EZ171" s="310"/>
      <c r="FA171" s="310"/>
      <c r="FB171" s="310"/>
      <c r="FC171" s="310"/>
      <c r="FD171" s="310"/>
      <c r="FE171" s="311"/>
      <c r="FF171" s="312"/>
    </row>
    <row r="172" spans="1:162" ht="12.75" x14ac:dyDescent="0.2">
      <c r="A172" s="446">
        <v>165</v>
      </c>
      <c r="B172" s="447" t="s">
        <v>213</v>
      </c>
      <c r="C172" s="448" t="s">
        <v>1098</v>
      </c>
      <c r="D172" s="449" t="s">
        <v>1099</v>
      </c>
      <c r="E172" s="450" t="s">
        <v>212</v>
      </c>
      <c r="F172" s="451">
        <v>83768757.599999994</v>
      </c>
      <c r="G172" s="451">
        <v>0</v>
      </c>
      <c r="H172" s="451">
        <v>0</v>
      </c>
      <c r="I172" s="451">
        <v>83768757.599999994</v>
      </c>
      <c r="J172" s="451">
        <v>252221</v>
      </c>
      <c r="K172" s="451">
        <v>0</v>
      </c>
      <c r="L172" s="451">
        <v>0</v>
      </c>
      <c r="M172" s="451">
        <v>252221</v>
      </c>
      <c r="N172" s="451">
        <v>-1546000</v>
      </c>
      <c r="O172" s="451">
        <v>0</v>
      </c>
      <c r="P172" s="451">
        <v>0</v>
      </c>
      <c r="Q172" s="451">
        <v>-1546000</v>
      </c>
      <c r="R172" s="451">
        <v>1374336</v>
      </c>
      <c r="S172" s="451">
        <v>0</v>
      </c>
      <c r="T172" s="451">
        <v>0</v>
      </c>
      <c r="U172" s="451">
        <v>1374336</v>
      </c>
      <c r="V172" s="451">
        <v>4105104</v>
      </c>
      <c r="W172" s="451">
        <v>0</v>
      </c>
      <c r="X172" s="451">
        <v>0</v>
      </c>
      <c r="Y172" s="451">
        <v>4105104</v>
      </c>
      <c r="Z172" s="451">
        <v>79583097</v>
      </c>
      <c r="AA172" s="451">
        <v>0</v>
      </c>
      <c r="AB172" s="451">
        <v>0</v>
      </c>
      <c r="AC172" s="451">
        <v>79583097</v>
      </c>
      <c r="AD172" s="451">
        <v>0</v>
      </c>
      <c r="AE172" s="451">
        <v>0</v>
      </c>
      <c r="AF172" s="451">
        <v>0</v>
      </c>
      <c r="AG172" s="451">
        <v>0</v>
      </c>
      <c r="AH172" s="451">
        <v>0</v>
      </c>
      <c r="AI172" s="451">
        <v>0</v>
      </c>
      <c r="AJ172" s="451">
        <v>0</v>
      </c>
      <c r="AK172" s="451">
        <v>0</v>
      </c>
      <c r="AL172" s="451">
        <v>0</v>
      </c>
      <c r="AM172" s="451">
        <v>0</v>
      </c>
      <c r="AN172" s="451">
        <v>0</v>
      </c>
      <c r="AO172" s="451">
        <v>2250369</v>
      </c>
      <c r="AP172" s="451">
        <v>1816799</v>
      </c>
      <c r="AQ172" s="324"/>
      <c r="AR172" s="310"/>
      <c r="AS172" s="310"/>
      <c r="AT172" s="310"/>
      <c r="AU172" s="310"/>
      <c r="AV172" s="310"/>
      <c r="AW172" s="310"/>
      <c r="AX172" s="310"/>
      <c r="AY172" s="310"/>
      <c r="AZ172" s="310"/>
      <c r="BA172" s="310"/>
      <c r="BB172" s="310"/>
      <c r="BC172" s="310"/>
      <c r="BD172" s="310"/>
      <c r="BE172" s="310"/>
      <c r="BF172" s="310"/>
      <c r="BG172" s="310"/>
      <c r="BH172" s="310"/>
      <c r="BI172" s="310"/>
      <c r="BJ172" s="310"/>
      <c r="BK172" s="310"/>
      <c r="BL172" s="310"/>
      <c r="BM172" s="310"/>
      <c r="BN172" s="310"/>
      <c r="BO172" s="310"/>
      <c r="BP172" s="310"/>
      <c r="BQ172" s="310"/>
      <c r="BR172" s="310"/>
      <c r="BS172" s="310"/>
      <c r="BT172" s="310"/>
      <c r="BU172" s="310"/>
      <c r="BV172" s="310"/>
      <c r="BW172" s="310"/>
      <c r="BX172" s="310"/>
      <c r="BY172" s="310"/>
      <c r="BZ172" s="310"/>
      <c r="CA172" s="310"/>
      <c r="CB172" s="310"/>
      <c r="CC172" s="310"/>
      <c r="CD172" s="310"/>
      <c r="CE172" s="310"/>
      <c r="CF172" s="310"/>
      <c r="CG172" s="310"/>
      <c r="CH172" s="310"/>
      <c r="CI172" s="310"/>
      <c r="CJ172" s="310"/>
      <c r="CK172" s="310"/>
      <c r="CL172" s="310"/>
      <c r="CM172" s="310"/>
      <c r="CN172" s="310"/>
      <c r="CO172" s="310"/>
      <c r="CP172" s="310"/>
      <c r="CQ172" s="310"/>
      <c r="CR172" s="310"/>
      <c r="CS172" s="310"/>
      <c r="CT172" s="310"/>
      <c r="CU172" s="310"/>
      <c r="CV172" s="310"/>
      <c r="CW172" s="310"/>
      <c r="CX172" s="310"/>
      <c r="CY172" s="310"/>
      <c r="CZ172" s="310"/>
      <c r="DA172" s="310"/>
      <c r="DB172" s="310"/>
      <c r="DC172" s="310"/>
      <c r="DD172" s="310"/>
      <c r="DE172" s="310"/>
      <c r="DF172" s="310"/>
      <c r="DG172" s="310"/>
      <c r="DH172" s="310"/>
      <c r="DI172" s="310"/>
      <c r="DJ172" s="310"/>
      <c r="DK172" s="310"/>
      <c r="DL172" s="310"/>
      <c r="DM172" s="310"/>
      <c r="DN172" s="310"/>
      <c r="DO172" s="310"/>
      <c r="DP172" s="310"/>
      <c r="DQ172" s="310"/>
      <c r="DR172" s="310"/>
      <c r="DS172" s="310"/>
      <c r="DT172" s="310"/>
      <c r="DU172" s="310"/>
      <c r="DV172" s="310"/>
      <c r="DW172" s="310"/>
      <c r="DX172" s="310"/>
      <c r="DY172" s="310"/>
      <c r="DZ172" s="310"/>
      <c r="EA172" s="310"/>
      <c r="EB172" s="310"/>
      <c r="EC172" s="310"/>
      <c r="ED172" s="310"/>
      <c r="EE172" s="310"/>
      <c r="EF172" s="310"/>
      <c r="EG172" s="310"/>
      <c r="EH172" s="310"/>
      <c r="EI172" s="310"/>
      <c r="EJ172" s="310"/>
      <c r="EK172" s="310"/>
      <c r="EL172" s="310"/>
      <c r="EM172" s="310"/>
      <c r="EN172" s="310"/>
      <c r="EO172" s="310"/>
      <c r="EP172" s="310"/>
      <c r="EQ172" s="310"/>
      <c r="ER172" s="310"/>
      <c r="ES172" s="310"/>
      <c r="ET172" s="310"/>
      <c r="EU172" s="310"/>
      <c r="EV172" s="310"/>
      <c r="EW172" s="310"/>
      <c r="EX172" s="310"/>
      <c r="EY172" s="310"/>
      <c r="EZ172" s="310"/>
      <c r="FA172" s="310"/>
      <c r="FB172" s="310"/>
      <c r="FC172" s="310"/>
      <c r="FD172" s="310"/>
      <c r="FE172" s="311"/>
      <c r="FF172" s="312"/>
    </row>
    <row r="173" spans="1:162" ht="12.75" x14ac:dyDescent="0.2">
      <c r="A173" s="446">
        <v>166</v>
      </c>
      <c r="B173" s="447" t="s">
        <v>215</v>
      </c>
      <c r="C173" s="448" t="s">
        <v>1093</v>
      </c>
      <c r="D173" s="449" t="s">
        <v>1102</v>
      </c>
      <c r="E173" s="450" t="s">
        <v>214</v>
      </c>
      <c r="F173" s="451">
        <v>14532870.300000001</v>
      </c>
      <c r="G173" s="451">
        <v>0</v>
      </c>
      <c r="H173" s="451">
        <v>0</v>
      </c>
      <c r="I173" s="451">
        <v>14532870.300000001</v>
      </c>
      <c r="J173" s="451">
        <v>92920</v>
      </c>
      <c r="K173" s="451">
        <v>0</v>
      </c>
      <c r="L173" s="451">
        <v>0</v>
      </c>
      <c r="M173" s="451">
        <v>92920</v>
      </c>
      <c r="N173" s="451">
        <v>25950</v>
      </c>
      <c r="O173" s="451">
        <v>0</v>
      </c>
      <c r="P173" s="451">
        <v>0</v>
      </c>
      <c r="Q173" s="451">
        <v>25950</v>
      </c>
      <c r="R173" s="451">
        <v>2000</v>
      </c>
      <c r="S173" s="451">
        <v>0</v>
      </c>
      <c r="T173" s="451">
        <v>0</v>
      </c>
      <c r="U173" s="451">
        <v>2000</v>
      </c>
      <c r="V173" s="451">
        <v>13000</v>
      </c>
      <c r="W173" s="451">
        <v>0</v>
      </c>
      <c r="X173" s="451">
        <v>0</v>
      </c>
      <c r="Y173" s="451">
        <v>13000</v>
      </c>
      <c r="Z173" s="451">
        <v>14399000</v>
      </c>
      <c r="AA173" s="451">
        <v>0</v>
      </c>
      <c r="AB173" s="451">
        <v>0</v>
      </c>
      <c r="AC173" s="451">
        <v>14399000</v>
      </c>
      <c r="AD173" s="451">
        <v>40779</v>
      </c>
      <c r="AE173" s="451">
        <v>0</v>
      </c>
      <c r="AF173" s="451">
        <v>0</v>
      </c>
      <c r="AG173" s="451">
        <v>40779</v>
      </c>
      <c r="AH173" s="451">
        <v>0</v>
      </c>
      <c r="AI173" s="451">
        <v>0</v>
      </c>
      <c r="AJ173" s="451">
        <v>0</v>
      </c>
      <c r="AK173" s="451">
        <v>0</v>
      </c>
      <c r="AL173" s="451">
        <v>0</v>
      </c>
      <c r="AM173" s="451">
        <v>0</v>
      </c>
      <c r="AN173" s="451">
        <v>40779</v>
      </c>
      <c r="AO173" s="451">
        <v>394800</v>
      </c>
      <c r="AP173" s="451">
        <v>-262861.64</v>
      </c>
      <c r="AQ173" s="324"/>
      <c r="AR173" s="310"/>
      <c r="AS173" s="310"/>
      <c r="AT173" s="310"/>
      <c r="AU173" s="310"/>
      <c r="AV173" s="310"/>
      <c r="AW173" s="310"/>
      <c r="AX173" s="310"/>
      <c r="AY173" s="310"/>
      <c r="AZ173" s="310"/>
      <c r="BA173" s="310"/>
      <c r="BB173" s="310"/>
      <c r="BC173" s="310"/>
      <c r="BD173" s="310"/>
      <c r="BE173" s="310"/>
      <c r="BF173" s="310"/>
      <c r="BG173" s="310"/>
      <c r="BH173" s="310"/>
      <c r="BI173" s="310"/>
      <c r="BJ173" s="310"/>
      <c r="BK173" s="310"/>
      <c r="BL173" s="310"/>
      <c r="BM173" s="310"/>
      <c r="BN173" s="310"/>
      <c r="BO173" s="310"/>
      <c r="BP173" s="310"/>
      <c r="BQ173" s="310"/>
      <c r="BR173" s="310"/>
      <c r="BS173" s="310"/>
      <c r="BT173" s="310"/>
      <c r="BU173" s="310"/>
      <c r="BV173" s="310"/>
      <c r="BW173" s="310"/>
      <c r="BX173" s="310"/>
      <c r="BY173" s="310"/>
      <c r="BZ173" s="310"/>
      <c r="CA173" s="310"/>
      <c r="CB173" s="310"/>
      <c r="CC173" s="310"/>
      <c r="CD173" s="310"/>
      <c r="CE173" s="310"/>
      <c r="CF173" s="310"/>
      <c r="CG173" s="310"/>
      <c r="CH173" s="310"/>
      <c r="CI173" s="310"/>
      <c r="CJ173" s="310"/>
      <c r="CK173" s="310"/>
      <c r="CL173" s="310"/>
      <c r="CM173" s="310"/>
      <c r="CN173" s="310"/>
      <c r="CO173" s="310"/>
      <c r="CP173" s="310"/>
      <c r="CQ173" s="310"/>
      <c r="CR173" s="310"/>
      <c r="CS173" s="310"/>
      <c r="CT173" s="310"/>
      <c r="CU173" s="310"/>
      <c r="CV173" s="310"/>
      <c r="CW173" s="310"/>
      <c r="CX173" s="310"/>
      <c r="CY173" s="310"/>
      <c r="CZ173" s="310"/>
      <c r="DA173" s="310"/>
      <c r="DB173" s="310"/>
      <c r="DC173" s="310"/>
      <c r="DD173" s="310"/>
      <c r="DE173" s="310"/>
      <c r="DF173" s="310"/>
      <c r="DG173" s="310"/>
      <c r="DH173" s="310"/>
      <c r="DI173" s="310"/>
      <c r="DJ173" s="310"/>
      <c r="DK173" s="310"/>
      <c r="DL173" s="310"/>
      <c r="DM173" s="310"/>
      <c r="DN173" s="310"/>
      <c r="DO173" s="310"/>
      <c r="DP173" s="310"/>
      <c r="DQ173" s="310"/>
      <c r="DR173" s="310"/>
      <c r="DS173" s="310"/>
      <c r="DT173" s="310"/>
      <c r="DU173" s="310"/>
      <c r="DV173" s="310"/>
      <c r="DW173" s="310"/>
      <c r="DX173" s="310"/>
      <c r="DY173" s="310"/>
      <c r="DZ173" s="310"/>
      <c r="EA173" s="310"/>
      <c r="EB173" s="310"/>
      <c r="EC173" s="310"/>
      <c r="ED173" s="310"/>
      <c r="EE173" s="310"/>
      <c r="EF173" s="310"/>
      <c r="EG173" s="310"/>
      <c r="EH173" s="310"/>
      <c r="EI173" s="310"/>
      <c r="EJ173" s="310"/>
      <c r="EK173" s="310"/>
      <c r="EL173" s="310"/>
      <c r="EM173" s="310"/>
      <c r="EN173" s="310"/>
      <c r="EO173" s="310"/>
      <c r="EP173" s="310"/>
      <c r="EQ173" s="310"/>
      <c r="ER173" s="310"/>
      <c r="ES173" s="310"/>
      <c r="ET173" s="310"/>
      <c r="EU173" s="310"/>
      <c r="EV173" s="310"/>
      <c r="EW173" s="310"/>
      <c r="EX173" s="310"/>
      <c r="EY173" s="310"/>
      <c r="EZ173" s="310"/>
      <c r="FA173" s="310"/>
      <c r="FB173" s="310"/>
      <c r="FC173" s="310"/>
      <c r="FD173" s="310"/>
      <c r="FE173" s="311"/>
      <c r="FF173" s="312"/>
    </row>
    <row r="174" spans="1:162" ht="12.75" x14ac:dyDescent="0.2">
      <c r="A174" s="446">
        <v>167</v>
      </c>
      <c r="B174" s="447" t="s">
        <v>217</v>
      </c>
      <c r="C174" s="448" t="s">
        <v>1093</v>
      </c>
      <c r="D174" s="449" t="s">
        <v>1097</v>
      </c>
      <c r="E174" s="450" t="s">
        <v>216</v>
      </c>
      <c r="F174" s="451">
        <v>21040678.199999999</v>
      </c>
      <c r="G174" s="451">
        <v>0</v>
      </c>
      <c r="H174" s="451">
        <v>0</v>
      </c>
      <c r="I174" s="451">
        <v>21040678.199999999</v>
      </c>
      <c r="J174" s="451">
        <v>95339.49</v>
      </c>
      <c r="K174" s="451">
        <v>0</v>
      </c>
      <c r="L174" s="451">
        <v>0</v>
      </c>
      <c r="M174" s="451">
        <v>95339.49</v>
      </c>
      <c r="N174" s="451">
        <v>45074</v>
      </c>
      <c r="O174" s="451">
        <v>0</v>
      </c>
      <c r="P174" s="451">
        <v>0</v>
      </c>
      <c r="Q174" s="451">
        <v>45074</v>
      </c>
      <c r="R174" s="451">
        <v>392915</v>
      </c>
      <c r="S174" s="451">
        <v>0</v>
      </c>
      <c r="T174" s="451">
        <v>0</v>
      </c>
      <c r="U174" s="451">
        <v>392915</v>
      </c>
      <c r="V174" s="451">
        <v>543103</v>
      </c>
      <c r="W174" s="451">
        <v>0</v>
      </c>
      <c r="X174" s="451">
        <v>0</v>
      </c>
      <c r="Y174" s="451">
        <v>543103</v>
      </c>
      <c r="Z174" s="451">
        <v>19964247</v>
      </c>
      <c r="AA174" s="451">
        <v>0</v>
      </c>
      <c r="AB174" s="451">
        <v>0</v>
      </c>
      <c r="AC174" s="451">
        <v>19964247</v>
      </c>
      <c r="AD174" s="451">
        <v>40761.5</v>
      </c>
      <c r="AE174" s="451">
        <v>0</v>
      </c>
      <c r="AF174" s="451">
        <v>0</v>
      </c>
      <c r="AG174" s="451">
        <v>40761.5</v>
      </c>
      <c r="AH174" s="451">
        <v>0</v>
      </c>
      <c r="AI174" s="451">
        <v>0</v>
      </c>
      <c r="AJ174" s="451">
        <v>0</v>
      </c>
      <c r="AK174" s="451">
        <v>0</v>
      </c>
      <c r="AL174" s="451">
        <v>0</v>
      </c>
      <c r="AM174" s="451">
        <v>0</v>
      </c>
      <c r="AN174" s="451">
        <v>40761.5</v>
      </c>
      <c r="AO174" s="451">
        <v>1070848.32</v>
      </c>
      <c r="AP174" s="451">
        <v>45074.68</v>
      </c>
      <c r="AQ174" s="324"/>
      <c r="AR174" s="310"/>
      <c r="AS174" s="310"/>
      <c r="AT174" s="310"/>
      <c r="AU174" s="310"/>
      <c r="AV174" s="310"/>
      <c r="AW174" s="310"/>
      <c r="AX174" s="310"/>
      <c r="AY174" s="310"/>
      <c r="AZ174" s="310"/>
      <c r="BA174" s="310"/>
      <c r="BB174" s="310"/>
      <c r="BC174" s="310"/>
      <c r="BD174" s="310"/>
      <c r="BE174" s="310"/>
      <c r="BF174" s="310"/>
      <c r="BG174" s="310"/>
      <c r="BH174" s="310"/>
      <c r="BI174" s="310"/>
      <c r="BJ174" s="310"/>
      <c r="BK174" s="310"/>
      <c r="BL174" s="310"/>
      <c r="BM174" s="310"/>
      <c r="BN174" s="310"/>
      <c r="BO174" s="310"/>
      <c r="BP174" s="310"/>
      <c r="BQ174" s="310"/>
      <c r="BR174" s="310"/>
      <c r="BS174" s="310"/>
      <c r="BT174" s="310"/>
      <c r="BU174" s="310"/>
      <c r="BV174" s="310"/>
      <c r="BW174" s="310"/>
      <c r="BX174" s="310"/>
      <c r="BY174" s="310"/>
      <c r="BZ174" s="310"/>
      <c r="CA174" s="310"/>
      <c r="CB174" s="310"/>
      <c r="CC174" s="310"/>
      <c r="CD174" s="310"/>
      <c r="CE174" s="310"/>
      <c r="CF174" s="310"/>
      <c r="CG174" s="310"/>
      <c r="CH174" s="310"/>
      <c r="CI174" s="310"/>
      <c r="CJ174" s="310"/>
      <c r="CK174" s="310"/>
      <c r="CL174" s="310"/>
      <c r="CM174" s="310"/>
      <c r="CN174" s="310"/>
      <c r="CO174" s="310"/>
      <c r="CP174" s="310"/>
      <c r="CQ174" s="310"/>
      <c r="CR174" s="310"/>
      <c r="CS174" s="310"/>
      <c r="CT174" s="310"/>
      <c r="CU174" s="310"/>
      <c r="CV174" s="310"/>
      <c r="CW174" s="310"/>
      <c r="CX174" s="310"/>
      <c r="CY174" s="310"/>
      <c r="CZ174" s="310"/>
      <c r="DA174" s="310"/>
      <c r="DB174" s="310"/>
      <c r="DC174" s="310"/>
      <c r="DD174" s="310"/>
      <c r="DE174" s="310"/>
      <c r="DF174" s="310"/>
      <c r="DG174" s="310"/>
      <c r="DH174" s="310"/>
      <c r="DI174" s="310"/>
      <c r="DJ174" s="310"/>
      <c r="DK174" s="310"/>
      <c r="DL174" s="310"/>
      <c r="DM174" s="310"/>
      <c r="DN174" s="310"/>
      <c r="DO174" s="310"/>
      <c r="DP174" s="310"/>
      <c r="DQ174" s="310"/>
      <c r="DR174" s="310"/>
      <c r="DS174" s="310"/>
      <c r="DT174" s="310"/>
      <c r="DU174" s="310"/>
      <c r="DV174" s="310"/>
      <c r="DW174" s="310"/>
      <c r="DX174" s="310"/>
      <c r="DY174" s="310"/>
      <c r="DZ174" s="310"/>
      <c r="EA174" s="310"/>
      <c r="EB174" s="310"/>
      <c r="EC174" s="310"/>
      <c r="ED174" s="310"/>
      <c r="EE174" s="310"/>
      <c r="EF174" s="310"/>
      <c r="EG174" s="310"/>
      <c r="EH174" s="310"/>
      <c r="EI174" s="310"/>
      <c r="EJ174" s="310"/>
      <c r="EK174" s="310"/>
      <c r="EL174" s="310"/>
      <c r="EM174" s="310"/>
      <c r="EN174" s="310"/>
      <c r="EO174" s="310"/>
      <c r="EP174" s="310"/>
      <c r="EQ174" s="310"/>
      <c r="ER174" s="310"/>
      <c r="ES174" s="310"/>
      <c r="ET174" s="310"/>
      <c r="EU174" s="310"/>
      <c r="EV174" s="310"/>
      <c r="EW174" s="310"/>
      <c r="EX174" s="310"/>
      <c r="EY174" s="310"/>
      <c r="EZ174" s="310"/>
      <c r="FA174" s="310"/>
      <c r="FB174" s="310"/>
      <c r="FC174" s="310"/>
      <c r="FD174" s="310"/>
      <c r="FE174" s="311"/>
      <c r="FF174" s="312"/>
    </row>
    <row r="175" spans="1:162" ht="12.75" x14ac:dyDescent="0.2">
      <c r="A175" s="446">
        <v>168</v>
      </c>
      <c r="B175" s="447" t="s">
        <v>219</v>
      </c>
      <c r="C175" s="448" t="s">
        <v>1093</v>
      </c>
      <c r="D175" s="449" t="s">
        <v>1094</v>
      </c>
      <c r="E175" s="450" t="s">
        <v>218</v>
      </c>
      <c r="F175" s="451">
        <v>41850376</v>
      </c>
      <c r="G175" s="451">
        <v>0</v>
      </c>
      <c r="H175" s="451">
        <v>0</v>
      </c>
      <c r="I175" s="451">
        <v>41850376</v>
      </c>
      <c r="J175" s="451">
        <v>366979</v>
      </c>
      <c r="K175" s="451">
        <v>0</v>
      </c>
      <c r="L175" s="451">
        <v>0</v>
      </c>
      <c r="M175" s="451">
        <v>366979</v>
      </c>
      <c r="N175" s="451">
        <v>16217</v>
      </c>
      <c r="O175" s="451">
        <v>0</v>
      </c>
      <c r="P175" s="451">
        <v>0</v>
      </c>
      <c r="Q175" s="451">
        <v>16217</v>
      </c>
      <c r="R175" s="451">
        <v>377867</v>
      </c>
      <c r="S175" s="451">
        <v>0</v>
      </c>
      <c r="T175" s="451">
        <v>0</v>
      </c>
      <c r="U175" s="451">
        <v>377867</v>
      </c>
      <c r="V175" s="451">
        <v>1006923</v>
      </c>
      <c r="W175" s="451">
        <v>0</v>
      </c>
      <c r="X175" s="451">
        <v>0</v>
      </c>
      <c r="Y175" s="451">
        <v>1006923</v>
      </c>
      <c r="Z175" s="451">
        <v>40082390</v>
      </c>
      <c r="AA175" s="451">
        <v>0</v>
      </c>
      <c r="AB175" s="451">
        <v>0</v>
      </c>
      <c r="AC175" s="451">
        <v>40082390</v>
      </c>
      <c r="AD175" s="451">
        <v>0</v>
      </c>
      <c r="AE175" s="451">
        <v>0</v>
      </c>
      <c r="AF175" s="451">
        <v>0</v>
      </c>
      <c r="AG175" s="451">
        <v>0</v>
      </c>
      <c r="AH175" s="451">
        <v>0</v>
      </c>
      <c r="AI175" s="451">
        <v>0</v>
      </c>
      <c r="AJ175" s="451">
        <v>0</v>
      </c>
      <c r="AK175" s="451">
        <v>0</v>
      </c>
      <c r="AL175" s="451">
        <v>0</v>
      </c>
      <c r="AM175" s="451">
        <v>0</v>
      </c>
      <c r="AN175" s="451">
        <v>0</v>
      </c>
      <c r="AO175" s="451">
        <v>1994035</v>
      </c>
      <c r="AP175" s="451">
        <v>1572042</v>
      </c>
      <c r="AQ175" s="324"/>
      <c r="AR175" s="310"/>
      <c r="AS175" s="310"/>
      <c r="AT175" s="310"/>
      <c r="AU175" s="310"/>
      <c r="AV175" s="310"/>
      <c r="AW175" s="310"/>
      <c r="AX175" s="310"/>
      <c r="AY175" s="310"/>
      <c r="AZ175" s="310"/>
      <c r="BA175" s="310"/>
      <c r="BB175" s="310"/>
      <c r="BC175" s="310"/>
      <c r="BD175" s="310"/>
      <c r="BE175" s="310"/>
      <c r="BF175" s="310"/>
      <c r="BG175" s="310"/>
      <c r="BH175" s="310"/>
      <c r="BI175" s="310"/>
      <c r="BJ175" s="310"/>
      <c r="BK175" s="310"/>
      <c r="BL175" s="310"/>
      <c r="BM175" s="310"/>
      <c r="BN175" s="310"/>
      <c r="BO175" s="310"/>
      <c r="BP175" s="310"/>
      <c r="BQ175" s="310"/>
      <c r="BR175" s="310"/>
      <c r="BS175" s="310"/>
      <c r="BT175" s="310"/>
      <c r="BU175" s="310"/>
      <c r="BV175" s="310"/>
      <c r="BW175" s="310"/>
      <c r="BX175" s="310"/>
      <c r="BY175" s="310"/>
      <c r="BZ175" s="310"/>
      <c r="CA175" s="310"/>
      <c r="CB175" s="310"/>
      <c r="CC175" s="310"/>
      <c r="CD175" s="310"/>
      <c r="CE175" s="310"/>
      <c r="CF175" s="310"/>
      <c r="CG175" s="310"/>
      <c r="CH175" s="310"/>
      <c r="CI175" s="310"/>
      <c r="CJ175" s="310"/>
      <c r="CK175" s="310"/>
      <c r="CL175" s="310"/>
      <c r="CM175" s="310"/>
      <c r="CN175" s="310"/>
      <c r="CO175" s="310"/>
      <c r="CP175" s="310"/>
      <c r="CQ175" s="310"/>
      <c r="CR175" s="310"/>
      <c r="CS175" s="310"/>
      <c r="CT175" s="310"/>
      <c r="CU175" s="310"/>
      <c r="CV175" s="310"/>
      <c r="CW175" s="310"/>
      <c r="CX175" s="310"/>
      <c r="CY175" s="310"/>
      <c r="CZ175" s="310"/>
      <c r="DA175" s="310"/>
      <c r="DB175" s="310"/>
      <c r="DC175" s="310"/>
      <c r="DD175" s="310"/>
      <c r="DE175" s="310"/>
      <c r="DF175" s="310"/>
      <c r="DG175" s="310"/>
      <c r="DH175" s="310"/>
      <c r="DI175" s="310"/>
      <c r="DJ175" s="310"/>
      <c r="DK175" s="310"/>
      <c r="DL175" s="310"/>
      <c r="DM175" s="310"/>
      <c r="DN175" s="310"/>
      <c r="DO175" s="310"/>
      <c r="DP175" s="310"/>
      <c r="DQ175" s="310"/>
      <c r="DR175" s="310"/>
      <c r="DS175" s="310"/>
      <c r="DT175" s="310"/>
      <c r="DU175" s="310"/>
      <c r="DV175" s="310"/>
      <c r="DW175" s="310"/>
      <c r="DX175" s="310"/>
      <c r="DY175" s="310"/>
      <c r="DZ175" s="310"/>
      <c r="EA175" s="310"/>
      <c r="EB175" s="310"/>
      <c r="EC175" s="310"/>
      <c r="ED175" s="310"/>
      <c r="EE175" s="310"/>
      <c r="EF175" s="310"/>
      <c r="EG175" s="310"/>
      <c r="EH175" s="310"/>
      <c r="EI175" s="310"/>
      <c r="EJ175" s="310"/>
      <c r="EK175" s="310"/>
      <c r="EL175" s="310"/>
      <c r="EM175" s="310"/>
      <c r="EN175" s="310"/>
      <c r="EO175" s="310"/>
      <c r="EP175" s="310"/>
      <c r="EQ175" s="310"/>
      <c r="ER175" s="310"/>
      <c r="ES175" s="310"/>
      <c r="ET175" s="310"/>
      <c r="EU175" s="310"/>
      <c r="EV175" s="310"/>
      <c r="EW175" s="310"/>
      <c r="EX175" s="310"/>
      <c r="EY175" s="310"/>
      <c r="EZ175" s="310"/>
      <c r="FA175" s="310"/>
      <c r="FB175" s="310"/>
      <c r="FC175" s="310"/>
      <c r="FD175" s="310"/>
      <c r="FE175" s="311"/>
      <c r="FF175" s="312"/>
    </row>
    <row r="176" spans="1:162" ht="12.75" x14ac:dyDescent="0.2">
      <c r="A176" s="446">
        <v>169</v>
      </c>
      <c r="B176" s="447" t="s">
        <v>221</v>
      </c>
      <c r="C176" s="448" t="s">
        <v>794</v>
      </c>
      <c r="D176" s="449" t="s">
        <v>1105</v>
      </c>
      <c r="E176" s="450" t="s">
        <v>726</v>
      </c>
      <c r="F176" s="451">
        <v>41093581</v>
      </c>
      <c r="G176" s="451">
        <v>0</v>
      </c>
      <c r="H176" s="451">
        <v>0</v>
      </c>
      <c r="I176" s="451">
        <v>41093581</v>
      </c>
      <c r="J176" s="451">
        <v>466091</v>
      </c>
      <c r="K176" s="451">
        <v>0</v>
      </c>
      <c r="L176" s="451">
        <v>0</v>
      </c>
      <c r="M176" s="451">
        <v>466091</v>
      </c>
      <c r="N176" s="451">
        <v>315908</v>
      </c>
      <c r="O176" s="451">
        <v>0</v>
      </c>
      <c r="P176" s="451">
        <v>0</v>
      </c>
      <c r="Q176" s="451">
        <v>315908</v>
      </c>
      <c r="R176" s="451">
        <v>1800000</v>
      </c>
      <c r="S176" s="451">
        <v>0</v>
      </c>
      <c r="T176" s="451">
        <v>0</v>
      </c>
      <c r="U176" s="451">
        <v>1800000</v>
      </c>
      <c r="V176" s="451">
        <v>2700000</v>
      </c>
      <c r="W176" s="451">
        <v>0</v>
      </c>
      <c r="X176" s="451">
        <v>0</v>
      </c>
      <c r="Y176" s="451">
        <v>2700000</v>
      </c>
      <c r="Z176" s="451">
        <v>35811582</v>
      </c>
      <c r="AA176" s="451">
        <v>0</v>
      </c>
      <c r="AB176" s="451">
        <v>0</v>
      </c>
      <c r="AC176" s="451">
        <v>35811582</v>
      </c>
      <c r="AD176" s="451">
        <v>0</v>
      </c>
      <c r="AE176" s="451">
        <v>0</v>
      </c>
      <c r="AF176" s="451">
        <v>0</v>
      </c>
      <c r="AG176" s="451">
        <v>0</v>
      </c>
      <c r="AH176" s="451">
        <v>0</v>
      </c>
      <c r="AI176" s="451">
        <v>0</v>
      </c>
      <c r="AJ176" s="451">
        <v>0</v>
      </c>
      <c r="AK176" s="451">
        <v>0</v>
      </c>
      <c r="AL176" s="451">
        <v>0</v>
      </c>
      <c r="AM176" s="451">
        <v>0</v>
      </c>
      <c r="AN176" s="451">
        <v>0</v>
      </c>
      <c r="AO176" s="451">
        <v>6767589.9900000002</v>
      </c>
      <c r="AP176" s="451">
        <v>1329907.24</v>
      </c>
      <c r="AQ176" s="324"/>
      <c r="AR176" s="310"/>
      <c r="AS176" s="310"/>
      <c r="AT176" s="310"/>
      <c r="AU176" s="310"/>
      <c r="AV176" s="310"/>
      <c r="AW176" s="310"/>
      <c r="AX176" s="310"/>
      <c r="AY176" s="310"/>
      <c r="AZ176" s="310"/>
      <c r="BA176" s="310"/>
      <c r="BB176" s="310"/>
      <c r="BC176" s="310"/>
      <c r="BD176" s="310"/>
      <c r="BE176" s="310"/>
      <c r="BF176" s="310"/>
      <c r="BG176" s="310"/>
      <c r="BH176" s="310"/>
      <c r="BI176" s="310"/>
      <c r="BJ176" s="310"/>
      <c r="BK176" s="310"/>
      <c r="BL176" s="310"/>
      <c r="BM176" s="310"/>
      <c r="BN176" s="310"/>
      <c r="BO176" s="310"/>
      <c r="BP176" s="310"/>
      <c r="BQ176" s="310"/>
      <c r="BR176" s="310"/>
      <c r="BS176" s="310"/>
      <c r="BT176" s="310"/>
      <c r="BU176" s="310"/>
      <c r="BV176" s="310"/>
      <c r="BW176" s="310"/>
      <c r="BX176" s="310"/>
      <c r="BY176" s="310"/>
      <c r="BZ176" s="310"/>
      <c r="CA176" s="310"/>
      <c r="CB176" s="310"/>
      <c r="CC176" s="310"/>
      <c r="CD176" s="310"/>
      <c r="CE176" s="310"/>
      <c r="CF176" s="310"/>
      <c r="CG176" s="310"/>
      <c r="CH176" s="310"/>
      <c r="CI176" s="310"/>
      <c r="CJ176" s="310"/>
      <c r="CK176" s="310"/>
      <c r="CL176" s="310"/>
      <c r="CM176" s="310"/>
      <c r="CN176" s="310"/>
      <c r="CO176" s="310"/>
      <c r="CP176" s="310"/>
      <c r="CQ176" s="310"/>
      <c r="CR176" s="310"/>
      <c r="CS176" s="310"/>
      <c r="CT176" s="310"/>
      <c r="CU176" s="310"/>
      <c r="CV176" s="310"/>
      <c r="CW176" s="310"/>
      <c r="CX176" s="310"/>
      <c r="CY176" s="310"/>
      <c r="CZ176" s="310"/>
      <c r="DA176" s="310"/>
      <c r="DB176" s="310"/>
      <c r="DC176" s="310"/>
      <c r="DD176" s="310"/>
      <c r="DE176" s="310"/>
      <c r="DF176" s="310"/>
      <c r="DG176" s="310"/>
      <c r="DH176" s="310"/>
      <c r="DI176" s="310"/>
      <c r="DJ176" s="310"/>
      <c r="DK176" s="310"/>
      <c r="DL176" s="310"/>
      <c r="DM176" s="310"/>
      <c r="DN176" s="310"/>
      <c r="DO176" s="310"/>
      <c r="DP176" s="310"/>
      <c r="DQ176" s="310"/>
      <c r="DR176" s="310"/>
      <c r="DS176" s="310"/>
      <c r="DT176" s="310"/>
      <c r="DU176" s="310"/>
      <c r="DV176" s="310"/>
      <c r="DW176" s="310"/>
      <c r="DX176" s="310"/>
      <c r="DY176" s="310"/>
      <c r="DZ176" s="310"/>
      <c r="EA176" s="310"/>
      <c r="EB176" s="310"/>
      <c r="EC176" s="310"/>
      <c r="ED176" s="310"/>
      <c r="EE176" s="310"/>
      <c r="EF176" s="310"/>
      <c r="EG176" s="310"/>
      <c r="EH176" s="310"/>
      <c r="EI176" s="310"/>
      <c r="EJ176" s="310"/>
      <c r="EK176" s="310"/>
      <c r="EL176" s="310"/>
      <c r="EM176" s="310"/>
      <c r="EN176" s="310"/>
      <c r="EO176" s="310"/>
      <c r="EP176" s="310"/>
      <c r="EQ176" s="310"/>
      <c r="ER176" s="310"/>
      <c r="ES176" s="310"/>
      <c r="ET176" s="310"/>
      <c r="EU176" s="310"/>
      <c r="EV176" s="310"/>
      <c r="EW176" s="310"/>
      <c r="EX176" s="310"/>
      <c r="EY176" s="310"/>
      <c r="EZ176" s="310"/>
      <c r="FA176" s="310"/>
      <c r="FB176" s="310"/>
      <c r="FC176" s="310"/>
      <c r="FD176" s="310"/>
      <c r="FE176" s="311"/>
      <c r="FF176" s="312"/>
    </row>
    <row r="177" spans="1:162" ht="12.75" x14ac:dyDescent="0.2">
      <c r="A177" s="446">
        <v>170</v>
      </c>
      <c r="B177" s="447" t="s">
        <v>223</v>
      </c>
      <c r="C177" s="448" t="s">
        <v>794</v>
      </c>
      <c r="D177" s="449" t="s">
        <v>1094</v>
      </c>
      <c r="E177" s="450" t="s">
        <v>727</v>
      </c>
      <c r="F177" s="451">
        <v>149612595</v>
      </c>
      <c r="G177" s="451">
        <v>0</v>
      </c>
      <c r="H177" s="451">
        <v>0</v>
      </c>
      <c r="I177" s="451">
        <v>149612595</v>
      </c>
      <c r="J177" s="451">
        <v>1148351</v>
      </c>
      <c r="K177" s="451">
        <v>0</v>
      </c>
      <c r="L177" s="451">
        <v>0</v>
      </c>
      <c r="M177" s="451">
        <v>1148351</v>
      </c>
      <c r="N177" s="451">
        <v>1090000</v>
      </c>
      <c r="O177" s="451">
        <v>0</v>
      </c>
      <c r="P177" s="451">
        <v>0</v>
      </c>
      <c r="Q177" s="451">
        <v>1090000</v>
      </c>
      <c r="R177" s="451">
        <v>5874000</v>
      </c>
      <c r="S177" s="451">
        <v>0</v>
      </c>
      <c r="T177" s="451">
        <v>0</v>
      </c>
      <c r="U177" s="451">
        <v>5874000</v>
      </c>
      <c r="V177" s="451">
        <v>17326000</v>
      </c>
      <c r="W177" s="451">
        <v>0</v>
      </c>
      <c r="X177" s="451">
        <v>0</v>
      </c>
      <c r="Y177" s="451">
        <v>17326000</v>
      </c>
      <c r="Z177" s="451">
        <v>124174244</v>
      </c>
      <c r="AA177" s="451">
        <v>0</v>
      </c>
      <c r="AB177" s="451">
        <v>0</v>
      </c>
      <c r="AC177" s="451">
        <v>124174244</v>
      </c>
      <c r="AD177" s="451">
        <v>0</v>
      </c>
      <c r="AE177" s="451">
        <v>0</v>
      </c>
      <c r="AF177" s="451">
        <v>0</v>
      </c>
      <c r="AG177" s="451">
        <v>0</v>
      </c>
      <c r="AH177" s="451">
        <v>0</v>
      </c>
      <c r="AI177" s="451">
        <v>0</v>
      </c>
      <c r="AJ177" s="451">
        <v>0</v>
      </c>
      <c r="AK177" s="451">
        <v>0</v>
      </c>
      <c r="AL177" s="451">
        <v>0</v>
      </c>
      <c r="AM177" s="451">
        <v>0</v>
      </c>
      <c r="AN177" s="451">
        <v>0</v>
      </c>
      <c r="AO177" s="451">
        <v>894722</v>
      </c>
      <c r="AP177" s="451">
        <v>1975705</v>
      </c>
      <c r="AQ177" s="324"/>
      <c r="AR177" s="310"/>
      <c r="AS177" s="310"/>
      <c r="AT177" s="310"/>
      <c r="AU177" s="310"/>
      <c r="AV177" s="310"/>
      <c r="AW177" s="310"/>
      <c r="AX177" s="310"/>
      <c r="AY177" s="310"/>
      <c r="AZ177" s="310"/>
      <c r="BA177" s="310"/>
      <c r="BB177" s="310"/>
      <c r="BC177" s="310"/>
      <c r="BD177" s="310"/>
      <c r="BE177" s="310"/>
      <c r="BF177" s="310"/>
      <c r="BG177" s="310"/>
      <c r="BH177" s="310"/>
      <c r="BI177" s="310"/>
      <c r="BJ177" s="310"/>
      <c r="BK177" s="310"/>
      <c r="BL177" s="310"/>
      <c r="BM177" s="310"/>
      <c r="BN177" s="310"/>
      <c r="BO177" s="310"/>
      <c r="BP177" s="310"/>
      <c r="BQ177" s="310"/>
      <c r="BR177" s="310"/>
      <c r="BS177" s="310"/>
      <c r="BT177" s="310"/>
      <c r="BU177" s="310"/>
      <c r="BV177" s="310"/>
      <c r="BW177" s="310"/>
      <c r="BX177" s="310"/>
      <c r="BY177" s="310"/>
      <c r="BZ177" s="310"/>
      <c r="CA177" s="310"/>
      <c r="CB177" s="310"/>
      <c r="CC177" s="310"/>
      <c r="CD177" s="310"/>
      <c r="CE177" s="310"/>
      <c r="CF177" s="310"/>
      <c r="CG177" s="310"/>
      <c r="CH177" s="310"/>
      <c r="CI177" s="310"/>
      <c r="CJ177" s="310"/>
      <c r="CK177" s="310"/>
      <c r="CL177" s="310"/>
      <c r="CM177" s="310"/>
      <c r="CN177" s="310"/>
      <c r="CO177" s="310"/>
      <c r="CP177" s="310"/>
      <c r="CQ177" s="310"/>
      <c r="CR177" s="310"/>
      <c r="CS177" s="310"/>
      <c r="CT177" s="310"/>
      <c r="CU177" s="310"/>
      <c r="CV177" s="310"/>
      <c r="CW177" s="310"/>
      <c r="CX177" s="310"/>
      <c r="CY177" s="310"/>
      <c r="CZ177" s="310"/>
      <c r="DA177" s="310"/>
      <c r="DB177" s="310"/>
      <c r="DC177" s="310"/>
      <c r="DD177" s="310"/>
      <c r="DE177" s="310"/>
      <c r="DF177" s="310"/>
      <c r="DG177" s="310"/>
      <c r="DH177" s="310"/>
      <c r="DI177" s="310"/>
      <c r="DJ177" s="310"/>
      <c r="DK177" s="310"/>
      <c r="DL177" s="310"/>
      <c r="DM177" s="310"/>
      <c r="DN177" s="310"/>
      <c r="DO177" s="310"/>
      <c r="DP177" s="310"/>
      <c r="DQ177" s="310"/>
      <c r="DR177" s="310"/>
      <c r="DS177" s="310"/>
      <c r="DT177" s="310"/>
      <c r="DU177" s="310"/>
      <c r="DV177" s="310"/>
      <c r="DW177" s="310"/>
      <c r="DX177" s="310"/>
      <c r="DY177" s="310"/>
      <c r="DZ177" s="310"/>
      <c r="EA177" s="310"/>
      <c r="EB177" s="310"/>
      <c r="EC177" s="310"/>
      <c r="ED177" s="310"/>
      <c r="EE177" s="310"/>
      <c r="EF177" s="310"/>
      <c r="EG177" s="310"/>
      <c r="EH177" s="310"/>
      <c r="EI177" s="310"/>
      <c r="EJ177" s="310"/>
      <c r="EK177" s="310"/>
      <c r="EL177" s="310"/>
      <c r="EM177" s="310"/>
      <c r="EN177" s="310"/>
      <c r="EO177" s="310"/>
      <c r="EP177" s="310"/>
      <c r="EQ177" s="310"/>
      <c r="ER177" s="310"/>
      <c r="ES177" s="310"/>
      <c r="ET177" s="310"/>
      <c r="EU177" s="310"/>
      <c r="EV177" s="310"/>
      <c r="EW177" s="310"/>
      <c r="EX177" s="310"/>
      <c r="EY177" s="310"/>
      <c r="EZ177" s="310"/>
      <c r="FA177" s="310"/>
      <c r="FB177" s="310"/>
      <c r="FC177" s="310"/>
      <c r="FD177" s="310"/>
      <c r="FE177" s="311"/>
      <c r="FF177" s="312"/>
    </row>
    <row r="178" spans="1:162" ht="12.75" x14ac:dyDescent="0.2">
      <c r="A178" s="446">
        <v>171</v>
      </c>
      <c r="B178" s="447" t="s">
        <v>225</v>
      </c>
      <c r="C178" s="448" t="s">
        <v>1093</v>
      </c>
      <c r="D178" s="449" t="s">
        <v>1094</v>
      </c>
      <c r="E178" s="450" t="s">
        <v>224</v>
      </c>
      <c r="F178" s="451">
        <v>36637536.200000003</v>
      </c>
      <c r="G178" s="451">
        <v>0</v>
      </c>
      <c r="H178" s="451">
        <v>0</v>
      </c>
      <c r="I178" s="451">
        <v>36637536.200000003</v>
      </c>
      <c r="J178" s="451">
        <v>90701.27</v>
      </c>
      <c r="K178" s="451">
        <v>0</v>
      </c>
      <c r="L178" s="451">
        <v>0</v>
      </c>
      <c r="M178" s="451">
        <v>90701.27</v>
      </c>
      <c r="N178" s="451">
        <v>50000</v>
      </c>
      <c r="O178" s="451">
        <v>0</v>
      </c>
      <c r="P178" s="451">
        <v>0</v>
      </c>
      <c r="Q178" s="451">
        <v>50000</v>
      </c>
      <c r="R178" s="451">
        <v>439984</v>
      </c>
      <c r="S178" s="451">
        <v>0</v>
      </c>
      <c r="T178" s="451">
        <v>0</v>
      </c>
      <c r="U178" s="451">
        <v>439984</v>
      </c>
      <c r="V178" s="451">
        <v>1219063</v>
      </c>
      <c r="W178" s="451">
        <v>0</v>
      </c>
      <c r="X178" s="451">
        <v>0</v>
      </c>
      <c r="Y178" s="451">
        <v>1219063</v>
      </c>
      <c r="Z178" s="451">
        <v>34837788</v>
      </c>
      <c r="AA178" s="451">
        <v>0</v>
      </c>
      <c r="AB178" s="451">
        <v>0</v>
      </c>
      <c r="AC178" s="451">
        <v>34837788</v>
      </c>
      <c r="AD178" s="451">
        <v>0</v>
      </c>
      <c r="AE178" s="451">
        <v>0</v>
      </c>
      <c r="AF178" s="451">
        <v>0</v>
      </c>
      <c r="AG178" s="451">
        <v>0</v>
      </c>
      <c r="AH178" s="451">
        <v>0</v>
      </c>
      <c r="AI178" s="451">
        <v>0</v>
      </c>
      <c r="AJ178" s="451">
        <v>0</v>
      </c>
      <c r="AK178" s="451">
        <v>0</v>
      </c>
      <c r="AL178" s="451">
        <v>0</v>
      </c>
      <c r="AM178" s="451">
        <v>0</v>
      </c>
      <c r="AN178" s="451">
        <v>0</v>
      </c>
      <c r="AO178" s="451">
        <v>1148428.55</v>
      </c>
      <c r="AP178" s="451">
        <v>2540731</v>
      </c>
      <c r="AQ178" s="324"/>
      <c r="AR178" s="310"/>
      <c r="AS178" s="310"/>
      <c r="AT178" s="310"/>
      <c r="AU178" s="310"/>
      <c r="AV178" s="310"/>
      <c r="AW178" s="310"/>
      <c r="AX178" s="310"/>
      <c r="AY178" s="310"/>
      <c r="AZ178" s="310"/>
      <c r="BA178" s="310"/>
      <c r="BB178" s="310"/>
      <c r="BC178" s="310"/>
      <c r="BD178" s="310"/>
      <c r="BE178" s="310"/>
      <c r="BF178" s="310"/>
      <c r="BG178" s="310"/>
      <c r="BH178" s="310"/>
      <c r="BI178" s="310"/>
      <c r="BJ178" s="310"/>
      <c r="BK178" s="310"/>
      <c r="BL178" s="310"/>
      <c r="BM178" s="310"/>
      <c r="BN178" s="310"/>
      <c r="BO178" s="310"/>
      <c r="BP178" s="310"/>
      <c r="BQ178" s="310"/>
      <c r="BR178" s="310"/>
      <c r="BS178" s="310"/>
      <c r="BT178" s="310"/>
      <c r="BU178" s="310"/>
      <c r="BV178" s="310"/>
      <c r="BW178" s="310"/>
      <c r="BX178" s="310"/>
      <c r="BY178" s="310"/>
      <c r="BZ178" s="310"/>
      <c r="CA178" s="310"/>
      <c r="CB178" s="310"/>
      <c r="CC178" s="310"/>
      <c r="CD178" s="310"/>
      <c r="CE178" s="310"/>
      <c r="CF178" s="310"/>
      <c r="CG178" s="310"/>
      <c r="CH178" s="310"/>
      <c r="CI178" s="310"/>
      <c r="CJ178" s="310"/>
      <c r="CK178" s="310"/>
      <c r="CL178" s="310"/>
      <c r="CM178" s="310"/>
      <c r="CN178" s="310"/>
      <c r="CO178" s="310"/>
      <c r="CP178" s="310"/>
      <c r="CQ178" s="310"/>
      <c r="CR178" s="310"/>
      <c r="CS178" s="310"/>
      <c r="CT178" s="310"/>
      <c r="CU178" s="310"/>
      <c r="CV178" s="310"/>
      <c r="CW178" s="310"/>
      <c r="CX178" s="310"/>
      <c r="CY178" s="310"/>
      <c r="CZ178" s="310"/>
      <c r="DA178" s="310"/>
      <c r="DB178" s="310"/>
      <c r="DC178" s="310"/>
      <c r="DD178" s="310"/>
      <c r="DE178" s="310"/>
      <c r="DF178" s="310"/>
      <c r="DG178" s="310"/>
      <c r="DH178" s="310"/>
      <c r="DI178" s="310"/>
      <c r="DJ178" s="310"/>
      <c r="DK178" s="310"/>
      <c r="DL178" s="310"/>
      <c r="DM178" s="310"/>
      <c r="DN178" s="310"/>
      <c r="DO178" s="310"/>
      <c r="DP178" s="310"/>
      <c r="DQ178" s="310"/>
      <c r="DR178" s="310"/>
      <c r="DS178" s="310"/>
      <c r="DT178" s="310"/>
      <c r="DU178" s="310"/>
      <c r="DV178" s="310"/>
      <c r="DW178" s="310"/>
      <c r="DX178" s="310"/>
      <c r="DY178" s="310"/>
      <c r="DZ178" s="310"/>
      <c r="EA178" s="310"/>
      <c r="EB178" s="310"/>
      <c r="EC178" s="310"/>
      <c r="ED178" s="310"/>
      <c r="EE178" s="310"/>
      <c r="EF178" s="310"/>
      <c r="EG178" s="310"/>
      <c r="EH178" s="310"/>
      <c r="EI178" s="310"/>
      <c r="EJ178" s="310"/>
      <c r="EK178" s="310"/>
      <c r="EL178" s="310"/>
      <c r="EM178" s="310"/>
      <c r="EN178" s="310"/>
      <c r="EO178" s="310"/>
      <c r="EP178" s="310"/>
      <c r="EQ178" s="310"/>
      <c r="ER178" s="310"/>
      <c r="ES178" s="310"/>
      <c r="ET178" s="310"/>
      <c r="EU178" s="310"/>
      <c r="EV178" s="310"/>
      <c r="EW178" s="310"/>
      <c r="EX178" s="310"/>
      <c r="EY178" s="310"/>
      <c r="EZ178" s="310"/>
      <c r="FA178" s="310"/>
      <c r="FB178" s="310"/>
      <c r="FC178" s="310"/>
      <c r="FD178" s="310"/>
      <c r="FE178" s="311"/>
      <c r="FF178" s="312"/>
    </row>
    <row r="179" spans="1:162" ht="12.75" x14ac:dyDescent="0.2">
      <c r="A179" s="446">
        <v>172</v>
      </c>
      <c r="B179" s="447" t="s">
        <v>227</v>
      </c>
      <c r="C179" s="448" t="s">
        <v>1093</v>
      </c>
      <c r="D179" s="449" t="s">
        <v>1094</v>
      </c>
      <c r="E179" s="450" t="s">
        <v>226</v>
      </c>
      <c r="F179" s="451">
        <v>62326206</v>
      </c>
      <c r="G179" s="451">
        <v>0</v>
      </c>
      <c r="H179" s="451">
        <v>0</v>
      </c>
      <c r="I179" s="451">
        <v>62326206</v>
      </c>
      <c r="J179" s="451">
        <v>270273</v>
      </c>
      <c r="K179" s="451">
        <v>0</v>
      </c>
      <c r="L179" s="451">
        <v>0</v>
      </c>
      <c r="M179" s="451">
        <v>270273</v>
      </c>
      <c r="N179" s="451">
        <v>52560</v>
      </c>
      <c r="O179" s="451">
        <v>0</v>
      </c>
      <c r="P179" s="451">
        <v>0</v>
      </c>
      <c r="Q179" s="451">
        <v>52560</v>
      </c>
      <c r="R179" s="451">
        <v>1901824</v>
      </c>
      <c r="S179" s="451">
        <v>0</v>
      </c>
      <c r="T179" s="451">
        <v>0</v>
      </c>
      <c r="U179" s="451">
        <v>1901824</v>
      </c>
      <c r="V179" s="451">
        <v>5247671</v>
      </c>
      <c r="W179" s="451">
        <v>0</v>
      </c>
      <c r="X179" s="451">
        <v>0</v>
      </c>
      <c r="Y179" s="451">
        <v>5247671</v>
      </c>
      <c r="Z179" s="451">
        <v>54853878</v>
      </c>
      <c r="AA179" s="451">
        <v>0</v>
      </c>
      <c r="AB179" s="451">
        <v>0</v>
      </c>
      <c r="AC179" s="451">
        <v>54853878</v>
      </c>
      <c r="AD179" s="451">
        <v>278</v>
      </c>
      <c r="AE179" s="451">
        <v>0</v>
      </c>
      <c r="AF179" s="451">
        <v>0</v>
      </c>
      <c r="AG179" s="451">
        <v>278</v>
      </c>
      <c r="AH179" s="451">
        <v>0</v>
      </c>
      <c r="AI179" s="451">
        <v>0</v>
      </c>
      <c r="AJ179" s="451">
        <v>0</v>
      </c>
      <c r="AK179" s="451">
        <v>0</v>
      </c>
      <c r="AL179" s="451">
        <v>0</v>
      </c>
      <c r="AM179" s="451">
        <v>0</v>
      </c>
      <c r="AN179" s="451">
        <v>278</v>
      </c>
      <c r="AO179" s="451">
        <v>1570508</v>
      </c>
      <c r="AP179" s="451">
        <v>234700</v>
      </c>
      <c r="AQ179" s="324"/>
      <c r="AR179" s="310"/>
      <c r="AS179" s="310"/>
      <c r="AT179" s="310"/>
      <c r="AU179" s="310"/>
      <c r="AV179" s="310"/>
      <c r="AW179" s="310"/>
      <c r="AX179" s="310"/>
      <c r="AY179" s="310"/>
      <c r="AZ179" s="310"/>
      <c r="BA179" s="310"/>
      <c r="BB179" s="310"/>
      <c r="BC179" s="310"/>
      <c r="BD179" s="310"/>
      <c r="BE179" s="310"/>
      <c r="BF179" s="310"/>
      <c r="BG179" s="310"/>
      <c r="BH179" s="310"/>
      <c r="BI179" s="310"/>
      <c r="BJ179" s="310"/>
      <c r="BK179" s="310"/>
      <c r="BL179" s="310"/>
      <c r="BM179" s="310"/>
      <c r="BN179" s="310"/>
      <c r="BO179" s="310"/>
      <c r="BP179" s="310"/>
      <c r="BQ179" s="310"/>
      <c r="BR179" s="310"/>
      <c r="BS179" s="310"/>
      <c r="BT179" s="310"/>
      <c r="BU179" s="310"/>
      <c r="BV179" s="310"/>
      <c r="BW179" s="310"/>
      <c r="BX179" s="310"/>
      <c r="BY179" s="310"/>
      <c r="BZ179" s="310"/>
      <c r="CA179" s="310"/>
      <c r="CB179" s="310"/>
      <c r="CC179" s="310"/>
      <c r="CD179" s="310"/>
      <c r="CE179" s="310"/>
      <c r="CF179" s="310"/>
      <c r="CG179" s="310"/>
      <c r="CH179" s="310"/>
      <c r="CI179" s="310"/>
      <c r="CJ179" s="310"/>
      <c r="CK179" s="310"/>
      <c r="CL179" s="310"/>
      <c r="CM179" s="310"/>
      <c r="CN179" s="310"/>
      <c r="CO179" s="310"/>
      <c r="CP179" s="310"/>
      <c r="CQ179" s="310"/>
      <c r="CR179" s="310"/>
      <c r="CS179" s="310"/>
      <c r="CT179" s="310"/>
      <c r="CU179" s="310"/>
      <c r="CV179" s="310"/>
      <c r="CW179" s="310"/>
      <c r="CX179" s="310"/>
      <c r="CY179" s="310"/>
      <c r="CZ179" s="310"/>
      <c r="DA179" s="310"/>
      <c r="DB179" s="310"/>
      <c r="DC179" s="310"/>
      <c r="DD179" s="310"/>
      <c r="DE179" s="310"/>
      <c r="DF179" s="310"/>
      <c r="DG179" s="310"/>
      <c r="DH179" s="310"/>
      <c r="DI179" s="310"/>
      <c r="DJ179" s="310"/>
      <c r="DK179" s="310"/>
      <c r="DL179" s="310"/>
      <c r="DM179" s="310"/>
      <c r="DN179" s="310"/>
      <c r="DO179" s="310"/>
      <c r="DP179" s="310"/>
      <c r="DQ179" s="310"/>
      <c r="DR179" s="310"/>
      <c r="DS179" s="310"/>
      <c r="DT179" s="310"/>
      <c r="DU179" s="310"/>
      <c r="DV179" s="310"/>
      <c r="DW179" s="310"/>
      <c r="DX179" s="310"/>
      <c r="DY179" s="310"/>
      <c r="DZ179" s="310"/>
      <c r="EA179" s="310"/>
      <c r="EB179" s="310"/>
      <c r="EC179" s="310"/>
      <c r="ED179" s="310"/>
      <c r="EE179" s="310"/>
      <c r="EF179" s="310"/>
      <c r="EG179" s="310"/>
      <c r="EH179" s="310"/>
      <c r="EI179" s="310"/>
      <c r="EJ179" s="310"/>
      <c r="EK179" s="310"/>
      <c r="EL179" s="310"/>
      <c r="EM179" s="310"/>
      <c r="EN179" s="310"/>
      <c r="EO179" s="310"/>
      <c r="EP179" s="310"/>
      <c r="EQ179" s="310"/>
      <c r="ER179" s="310"/>
      <c r="ES179" s="310"/>
      <c r="ET179" s="310"/>
      <c r="EU179" s="310"/>
      <c r="EV179" s="310"/>
      <c r="EW179" s="310"/>
      <c r="EX179" s="310"/>
      <c r="EY179" s="310"/>
      <c r="EZ179" s="310"/>
      <c r="FA179" s="310"/>
      <c r="FB179" s="310"/>
      <c r="FC179" s="310"/>
      <c r="FD179" s="310"/>
      <c r="FE179" s="311"/>
      <c r="FF179" s="312"/>
    </row>
    <row r="180" spans="1:162" ht="12.75" x14ac:dyDescent="0.2">
      <c r="A180" s="446">
        <v>173</v>
      </c>
      <c r="B180" s="447" t="s">
        <v>229</v>
      </c>
      <c r="C180" s="448" t="s">
        <v>1093</v>
      </c>
      <c r="D180" s="449" t="s">
        <v>1096</v>
      </c>
      <c r="E180" s="450" t="s">
        <v>728</v>
      </c>
      <c r="F180" s="451">
        <v>38799401</v>
      </c>
      <c r="G180" s="451">
        <v>0</v>
      </c>
      <c r="H180" s="451">
        <v>0</v>
      </c>
      <c r="I180" s="451">
        <v>38799401</v>
      </c>
      <c r="J180" s="451">
        <v>0</v>
      </c>
      <c r="K180" s="451">
        <v>0</v>
      </c>
      <c r="L180" s="451">
        <v>0</v>
      </c>
      <c r="M180" s="451">
        <v>0</v>
      </c>
      <c r="N180" s="451">
        <v>448935</v>
      </c>
      <c r="O180" s="451">
        <v>0</v>
      </c>
      <c r="P180" s="451">
        <v>0</v>
      </c>
      <c r="Q180" s="451">
        <v>448935</v>
      </c>
      <c r="R180" s="451">
        <v>441999</v>
      </c>
      <c r="S180" s="451">
        <v>0</v>
      </c>
      <c r="T180" s="451">
        <v>0</v>
      </c>
      <c r="U180" s="451">
        <v>441999</v>
      </c>
      <c r="V180" s="451">
        <v>1224645</v>
      </c>
      <c r="W180" s="451">
        <v>0</v>
      </c>
      <c r="X180" s="451">
        <v>0</v>
      </c>
      <c r="Y180" s="451">
        <v>1224645</v>
      </c>
      <c r="Z180" s="451">
        <v>36683822</v>
      </c>
      <c r="AA180" s="451">
        <v>0</v>
      </c>
      <c r="AB180" s="451">
        <v>0</v>
      </c>
      <c r="AC180" s="451">
        <v>36683822</v>
      </c>
      <c r="AD180" s="451">
        <v>0</v>
      </c>
      <c r="AE180" s="451">
        <v>0</v>
      </c>
      <c r="AF180" s="451">
        <v>0</v>
      </c>
      <c r="AG180" s="451">
        <v>0</v>
      </c>
      <c r="AH180" s="451">
        <v>0</v>
      </c>
      <c r="AI180" s="451">
        <v>0</v>
      </c>
      <c r="AJ180" s="451">
        <v>0</v>
      </c>
      <c r="AK180" s="451">
        <v>0</v>
      </c>
      <c r="AL180" s="451">
        <v>0</v>
      </c>
      <c r="AM180" s="451">
        <v>0</v>
      </c>
      <c r="AN180" s="451">
        <v>0</v>
      </c>
      <c r="AO180" s="451">
        <v>1340757</v>
      </c>
      <c r="AP180" s="451">
        <v>241758</v>
      </c>
      <c r="AQ180" s="324"/>
      <c r="AR180" s="310"/>
      <c r="AS180" s="310"/>
      <c r="AT180" s="310"/>
      <c r="AU180" s="310"/>
      <c r="AV180" s="310"/>
      <c r="AW180" s="310"/>
      <c r="AX180" s="310"/>
      <c r="AY180" s="310"/>
      <c r="AZ180" s="310"/>
      <c r="BA180" s="310"/>
      <c r="BB180" s="310"/>
      <c r="BC180" s="310"/>
      <c r="BD180" s="310"/>
      <c r="BE180" s="310"/>
      <c r="BF180" s="310"/>
      <c r="BG180" s="310"/>
      <c r="BH180" s="310"/>
      <c r="BI180" s="310"/>
      <c r="BJ180" s="310"/>
      <c r="BK180" s="310"/>
      <c r="BL180" s="310"/>
      <c r="BM180" s="310"/>
      <c r="BN180" s="310"/>
      <c r="BO180" s="310"/>
      <c r="BP180" s="310"/>
      <c r="BQ180" s="310"/>
      <c r="BR180" s="310"/>
      <c r="BS180" s="310"/>
      <c r="BT180" s="310"/>
      <c r="BU180" s="310"/>
      <c r="BV180" s="310"/>
      <c r="BW180" s="310"/>
      <c r="BX180" s="310"/>
      <c r="BY180" s="310"/>
      <c r="BZ180" s="310"/>
      <c r="CA180" s="310"/>
      <c r="CB180" s="310"/>
      <c r="CC180" s="310"/>
      <c r="CD180" s="310"/>
      <c r="CE180" s="310"/>
      <c r="CF180" s="310"/>
      <c r="CG180" s="310"/>
      <c r="CH180" s="310"/>
      <c r="CI180" s="310"/>
      <c r="CJ180" s="310"/>
      <c r="CK180" s="310"/>
      <c r="CL180" s="310"/>
      <c r="CM180" s="310"/>
      <c r="CN180" s="310"/>
      <c r="CO180" s="310"/>
      <c r="CP180" s="310"/>
      <c r="CQ180" s="310"/>
      <c r="CR180" s="310"/>
      <c r="CS180" s="310"/>
      <c r="CT180" s="310"/>
      <c r="CU180" s="310"/>
      <c r="CV180" s="310"/>
      <c r="CW180" s="310"/>
      <c r="CX180" s="310"/>
      <c r="CY180" s="310"/>
      <c r="CZ180" s="310"/>
      <c r="DA180" s="310"/>
      <c r="DB180" s="310"/>
      <c r="DC180" s="310"/>
      <c r="DD180" s="310"/>
      <c r="DE180" s="310"/>
      <c r="DF180" s="310"/>
      <c r="DG180" s="310"/>
      <c r="DH180" s="310"/>
      <c r="DI180" s="310"/>
      <c r="DJ180" s="310"/>
      <c r="DK180" s="310"/>
      <c r="DL180" s="310"/>
      <c r="DM180" s="310"/>
      <c r="DN180" s="310"/>
      <c r="DO180" s="310"/>
      <c r="DP180" s="310"/>
      <c r="DQ180" s="310"/>
      <c r="DR180" s="310"/>
      <c r="DS180" s="310"/>
      <c r="DT180" s="310"/>
      <c r="DU180" s="310"/>
      <c r="DV180" s="310"/>
      <c r="DW180" s="310"/>
      <c r="DX180" s="310"/>
      <c r="DY180" s="310"/>
      <c r="DZ180" s="310"/>
      <c r="EA180" s="310"/>
      <c r="EB180" s="310"/>
      <c r="EC180" s="310"/>
      <c r="ED180" s="310"/>
      <c r="EE180" s="310"/>
      <c r="EF180" s="310"/>
      <c r="EG180" s="310"/>
      <c r="EH180" s="310"/>
      <c r="EI180" s="310"/>
      <c r="EJ180" s="310"/>
      <c r="EK180" s="310"/>
      <c r="EL180" s="310"/>
      <c r="EM180" s="310"/>
      <c r="EN180" s="310"/>
      <c r="EO180" s="310"/>
      <c r="EP180" s="310"/>
      <c r="EQ180" s="310"/>
      <c r="ER180" s="310"/>
      <c r="ES180" s="310"/>
      <c r="ET180" s="310"/>
      <c r="EU180" s="310"/>
      <c r="EV180" s="310"/>
      <c r="EW180" s="310"/>
      <c r="EX180" s="310"/>
      <c r="EY180" s="310"/>
      <c r="EZ180" s="310"/>
      <c r="FA180" s="310"/>
      <c r="FB180" s="310"/>
      <c r="FC180" s="310"/>
      <c r="FD180" s="310"/>
      <c r="FE180" s="311"/>
      <c r="FF180" s="312"/>
    </row>
    <row r="181" spans="1:162" ht="12.75" x14ac:dyDescent="0.2">
      <c r="A181" s="446">
        <v>174</v>
      </c>
      <c r="B181" s="447" t="s">
        <v>231</v>
      </c>
      <c r="C181" s="448" t="s">
        <v>1100</v>
      </c>
      <c r="D181" s="449" t="s">
        <v>1105</v>
      </c>
      <c r="E181" s="450" t="s">
        <v>1118</v>
      </c>
      <c r="F181" s="451">
        <v>141613545</v>
      </c>
      <c r="G181" s="451">
        <v>6890981</v>
      </c>
      <c r="H181" s="451">
        <v>325196</v>
      </c>
      <c r="I181" s="451">
        <v>148829722</v>
      </c>
      <c r="J181" s="451">
        <v>640507</v>
      </c>
      <c r="K181" s="451">
        <v>8332</v>
      </c>
      <c r="L181" s="451">
        <v>0</v>
      </c>
      <c r="M181" s="451">
        <v>648839</v>
      </c>
      <c r="N181" s="451">
        <v>1127564</v>
      </c>
      <c r="O181" s="451">
        <v>0</v>
      </c>
      <c r="P181" s="451">
        <v>0</v>
      </c>
      <c r="Q181" s="451">
        <v>1127564</v>
      </c>
      <c r="R181" s="451">
        <v>2821409</v>
      </c>
      <c r="S181" s="451">
        <v>0</v>
      </c>
      <c r="T181" s="451">
        <v>0</v>
      </c>
      <c r="U181" s="451">
        <v>2821409</v>
      </c>
      <c r="V181" s="451">
        <v>13775116</v>
      </c>
      <c r="W181" s="451">
        <v>0</v>
      </c>
      <c r="X181" s="451">
        <v>0</v>
      </c>
      <c r="Y181" s="451">
        <v>13775116</v>
      </c>
      <c r="Z181" s="451">
        <v>123248949</v>
      </c>
      <c r="AA181" s="451">
        <v>6882649</v>
      </c>
      <c r="AB181" s="451">
        <v>325196</v>
      </c>
      <c r="AC181" s="451">
        <v>130456794</v>
      </c>
      <c r="AD181" s="451">
        <v>0</v>
      </c>
      <c r="AE181" s="451">
        <v>0</v>
      </c>
      <c r="AF181" s="451">
        <v>0</v>
      </c>
      <c r="AG181" s="451">
        <v>0</v>
      </c>
      <c r="AH181" s="451">
        <v>-1639</v>
      </c>
      <c r="AI181" s="451">
        <v>0</v>
      </c>
      <c r="AJ181" s="451">
        <v>5748039</v>
      </c>
      <c r="AK181" s="451">
        <v>66571.12</v>
      </c>
      <c r="AL181" s="451">
        <v>1132971</v>
      </c>
      <c r="AM181" s="451">
        <v>258624.88</v>
      </c>
      <c r="AN181" s="451">
        <v>0</v>
      </c>
      <c r="AO181" s="451">
        <v>8309817</v>
      </c>
      <c r="AP181" s="451">
        <v>6476341</v>
      </c>
      <c r="AQ181" s="324"/>
      <c r="AR181" s="310"/>
      <c r="AS181" s="310"/>
      <c r="AT181" s="310"/>
      <c r="AU181" s="310"/>
      <c r="AV181" s="310"/>
      <c r="AW181" s="310"/>
      <c r="AX181" s="310"/>
      <c r="AY181" s="310"/>
      <c r="AZ181" s="310"/>
      <c r="BA181" s="310"/>
      <c r="BB181" s="310"/>
      <c r="BC181" s="310"/>
      <c r="BD181" s="310"/>
      <c r="BE181" s="310"/>
      <c r="BF181" s="310"/>
      <c r="BG181" s="310"/>
      <c r="BH181" s="310"/>
      <c r="BI181" s="310"/>
      <c r="BJ181" s="310"/>
      <c r="BK181" s="310"/>
      <c r="BL181" s="310"/>
      <c r="BM181" s="310"/>
      <c r="BN181" s="310"/>
      <c r="BO181" s="310"/>
      <c r="BP181" s="310"/>
      <c r="BQ181" s="310"/>
      <c r="BR181" s="310"/>
      <c r="BS181" s="310"/>
      <c r="BT181" s="310"/>
      <c r="BU181" s="310"/>
      <c r="BV181" s="310"/>
      <c r="BW181" s="310"/>
      <c r="BX181" s="310"/>
      <c r="BY181" s="310"/>
      <c r="BZ181" s="310"/>
      <c r="CA181" s="310"/>
      <c r="CB181" s="310"/>
      <c r="CC181" s="310"/>
      <c r="CD181" s="310"/>
      <c r="CE181" s="310"/>
      <c r="CF181" s="310"/>
      <c r="CG181" s="310"/>
      <c r="CH181" s="310"/>
      <c r="CI181" s="310"/>
      <c r="CJ181" s="310"/>
      <c r="CK181" s="310"/>
      <c r="CL181" s="310"/>
      <c r="CM181" s="310"/>
      <c r="CN181" s="310"/>
      <c r="CO181" s="310"/>
      <c r="CP181" s="310"/>
      <c r="CQ181" s="310"/>
      <c r="CR181" s="310"/>
      <c r="CS181" s="310"/>
      <c r="CT181" s="310"/>
      <c r="CU181" s="310"/>
      <c r="CV181" s="310"/>
      <c r="CW181" s="310"/>
      <c r="CX181" s="310"/>
      <c r="CY181" s="310"/>
      <c r="CZ181" s="310"/>
      <c r="DA181" s="310"/>
      <c r="DB181" s="310"/>
      <c r="DC181" s="310"/>
      <c r="DD181" s="310"/>
      <c r="DE181" s="310"/>
      <c r="DF181" s="310"/>
      <c r="DG181" s="310"/>
      <c r="DH181" s="310"/>
      <c r="DI181" s="310"/>
      <c r="DJ181" s="310"/>
      <c r="DK181" s="310"/>
      <c r="DL181" s="310"/>
      <c r="DM181" s="310"/>
      <c r="DN181" s="310"/>
      <c r="DO181" s="310"/>
      <c r="DP181" s="310"/>
      <c r="DQ181" s="310"/>
      <c r="DR181" s="310"/>
      <c r="DS181" s="310"/>
      <c r="DT181" s="310"/>
      <c r="DU181" s="310"/>
      <c r="DV181" s="310"/>
      <c r="DW181" s="310"/>
      <c r="DX181" s="310"/>
      <c r="DY181" s="310"/>
      <c r="DZ181" s="310"/>
      <c r="EA181" s="310"/>
      <c r="EB181" s="310"/>
      <c r="EC181" s="310"/>
      <c r="ED181" s="310"/>
      <c r="EE181" s="310"/>
      <c r="EF181" s="310"/>
      <c r="EG181" s="310"/>
      <c r="EH181" s="310"/>
      <c r="EI181" s="310"/>
      <c r="EJ181" s="310"/>
      <c r="EK181" s="310"/>
      <c r="EL181" s="310"/>
      <c r="EM181" s="310"/>
      <c r="EN181" s="310"/>
      <c r="EO181" s="310"/>
      <c r="EP181" s="310"/>
      <c r="EQ181" s="310"/>
      <c r="ER181" s="310"/>
      <c r="ES181" s="310"/>
      <c r="ET181" s="310"/>
      <c r="EU181" s="310"/>
      <c r="EV181" s="310"/>
      <c r="EW181" s="310"/>
      <c r="EX181" s="310"/>
      <c r="EY181" s="310"/>
      <c r="EZ181" s="310"/>
      <c r="FA181" s="310"/>
      <c r="FB181" s="310"/>
      <c r="FC181" s="310"/>
      <c r="FD181" s="310"/>
      <c r="FE181" s="311"/>
      <c r="FF181" s="312"/>
    </row>
    <row r="182" spans="1:162" ht="12.75" x14ac:dyDescent="0.2">
      <c r="A182" s="446">
        <v>175</v>
      </c>
      <c r="B182" s="447" t="s">
        <v>233</v>
      </c>
      <c r="C182" s="448" t="s">
        <v>1093</v>
      </c>
      <c r="D182" s="449" t="s">
        <v>1103</v>
      </c>
      <c r="E182" s="450" t="s">
        <v>232</v>
      </c>
      <c r="F182" s="451">
        <v>33091008</v>
      </c>
      <c r="G182" s="451">
        <v>0</v>
      </c>
      <c r="H182" s="451">
        <v>0</v>
      </c>
      <c r="I182" s="451">
        <v>33091008</v>
      </c>
      <c r="J182" s="451">
        <v>207228</v>
      </c>
      <c r="K182" s="451">
        <v>0</v>
      </c>
      <c r="L182" s="451">
        <v>0</v>
      </c>
      <c r="M182" s="451">
        <v>207228</v>
      </c>
      <c r="N182" s="451">
        <v>3660</v>
      </c>
      <c r="O182" s="451">
        <v>0</v>
      </c>
      <c r="P182" s="451">
        <v>0</v>
      </c>
      <c r="Q182" s="451">
        <v>3660</v>
      </c>
      <c r="R182" s="451">
        <v>123000</v>
      </c>
      <c r="S182" s="451">
        <v>0</v>
      </c>
      <c r="T182" s="451">
        <v>0</v>
      </c>
      <c r="U182" s="451">
        <v>123000</v>
      </c>
      <c r="V182" s="451">
        <v>397000</v>
      </c>
      <c r="W182" s="451">
        <v>0</v>
      </c>
      <c r="X182" s="451">
        <v>0</v>
      </c>
      <c r="Y182" s="451">
        <v>397000</v>
      </c>
      <c r="Z182" s="451">
        <v>32360120</v>
      </c>
      <c r="AA182" s="451">
        <v>0</v>
      </c>
      <c r="AB182" s="451">
        <v>0</v>
      </c>
      <c r="AC182" s="451">
        <v>32360120</v>
      </c>
      <c r="AD182" s="451">
        <v>0</v>
      </c>
      <c r="AE182" s="451">
        <v>0</v>
      </c>
      <c r="AF182" s="451">
        <v>0</v>
      </c>
      <c r="AG182" s="451">
        <v>0</v>
      </c>
      <c r="AH182" s="451">
        <v>0</v>
      </c>
      <c r="AI182" s="451">
        <v>0</v>
      </c>
      <c r="AJ182" s="451">
        <v>0</v>
      </c>
      <c r="AK182" s="451">
        <v>0</v>
      </c>
      <c r="AL182" s="451">
        <v>0</v>
      </c>
      <c r="AM182" s="451">
        <v>0</v>
      </c>
      <c r="AN182" s="451">
        <v>0</v>
      </c>
      <c r="AO182" s="451">
        <v>2521056</v>
      </c>
      <c r="AP182" s="451">
        <v>350042</v>
      </c>
      <c r="AQ182" s="324"/>
      <c r="AR182" s="310"/>
      <c r="AS182" s="310"/>
      <c r="AT182" s="310"/>
      <c r="AU182" s="310"/>
      <c r="AV182" s="310"/>
      <c r="AW182" s="310"/>
      <c r="AX182" s="310"/>
      <c r="AY182" s="310"/>
      <c r="AZ182" s="310"/>
      <c r="BA182" s="310"/>
      <c r="BB182" s="310"/>
      <c r="BC182" s="310"/>
      <c r="BD182" s="310"/>
      <c r="BE182" s="310"/>
      <c r="BF182" s="310"/>
      <c r="BG182" s="310"/>
      <c r="BH182" s="310"/>
      <c r="BI182" s="310"/>
      <c r="BJ182" s="310"/>
      <c r="BK182" s="310"/>
      <c r="BL182" s="310"/>
      <c r="BM182" s="310"/>
      <c r="BN182" s="310"/>
      <c r="BO182" s="310"/>
      <c r="BP182" s="310"/>
      <c r="BQ182" s="310"/>
      <c r="BR182" s="310"/>
      <c r="BS182" s="310"/>
      <c r="BT182" s="310"/>
      <c r="BU182" s="310"/>
      <c r="BV182" s="310"/>
      <c r="BW182" s="310"/>
      <c r="BX182" s="310"/>
      <c r="BY182" s="310"/>
      <c r="BZ182" s="310"/>
      <c r="CA182" s="310"/>
      <c r="CB182" s="310"/>
      <c r="CC182" s="310"/>
      <c r="CD182" s="310"/>
      <c r="CE182" s="310"/>
      <c r="CF182" s="310"/>
      <c r="CG182" s="310"/>
      <c r="CH182" s="310"/>
      <c r="CI182" s="310"/>
      <c r="CJ182" s="310"/>
      <c r="CK182" s="310"/>
      <c r="CL182" s="310"/>
      <c r="CM182" s="310"/>
      <c r="CN182" s="310"/>
      <c r="CO182" s="310"/>
      <c r="CP182" s="310"/>
      <c r="CQ182" s="310"/>
      <c r="CR182" s="310"/>
      <c r="CS182" s="310"/>
      <c r="CT182" s="310"/>
      <c r="CU182" s="310"/>
      <c r="CV182" s="310"/>
      <c r="CW182" s="310"/>
      <c r="CX182" s="310"/>
      <c r="CY182" s="310"/>
      <c r="CZ182" s="310"/>
      <c r="DA182" s="310"/>
      <c r="DB182" s="310"/>
      <c r="DC182" s="310"/>
      <c r="DD182" s="310"/>
      <c r="DE182" s="310"/>
      <c r="DF182" s="310"/>
      <c r="DG182" s="310"/>
      <c r="DH182" s="310"/>
      <c r="DI182" s="310"/>
      <c r="DJ182" s="310"/>
      <c r="DK182" s="310"/>
      <c r="DL182" s="310"/>
      <c r="DM182" s="310"/>
      <c r="DN182" s="310"/>
      <c r="DO182" s="310"/>
      <c r="DP182" s="310"/>
      <c r="DQ182" s="310"/>
      <c r="DR182" s="310"/>
      <c r="DS182" s="310"/>
      <c r="DT182" s="310"/>
      <c r="DU182" s="310"/>
      <c r="DV182" s="310"/>
      <c r="DW182" s="310"/>
      <c r="DX182" s="310"/>
      <c r="DY182" s="310"/>
      <c r="DZ182" s="310"/>
      <c r="EA182" s="310"/>
      <c r="EB182" s="310"/>
      <c r="EC182" s="310"/>
      <c r="ED182" s="310"/>
      <c r="EE182" s="310"/>
      <c r="EF182" s="310"/>
      <c r="EG182" s="310"/>
      <c r="EH182" s="310"/>
      <c r="EI182" s="310"/>
      <c r="EJ182" s="310"/>
      <c r="EK182" s="310"/>
      <c r="EL182" s="310"/>
      <c r="EM182" s="310"/>
      <c r="EN182" s="310"/>
      <c r="EO182" s="310"/>
      <c r="EP182" s="310"/>
      <c r="EQ182" s="310"/>
      <c r="ER182" s="310"/>
      <c r="ES182" s="310"/>
      <c r="ET182" s="310"/>
      <c r="EU182" s="310"/>
      <c r="EV182" s="310"/>
      <c r="EW182" s="310"/>
      <c r="EX182" s="310"/>
      <c r="EY182" s="310"/>
      <c r="EZ182" s="310"/>
      <c r="FA182" s="310"/>
      <c r="FB182" s="310"/>
      <c r="FC182" s="310"/>
      <c r="FD182" s="310"/>
      <c r="FE182" s="311"/>
      <c r="FF182" s="312"/>
    </row>
    <row r="183" spans="1:162" ht="12.75" x14ac:dyDescent="0.2">
      <c r="A183" s="446">
        <v>176</v>
      </c>
      <c r="B183" s="447" t="s">
        <v>235</v>
      </c>
      <c r="C183" s="448" t="s">
        <v>1098</v>
      </c>
      <c r="D183" s="449" t="s">
        <v>1099</v>
      </c>
      <c r="E183" s="450" t="s">
        <v>234</v>
      </c>
      <c r="F183" s="451">
        <v>126537146</v>
      </c>
      <c r="G183" s="451">
        <v>0</v>
      </c>
      <c r="H183" s="451">
        <v>404055</v>
      </c>
      <c r="I183" s="451">
        <v>126941201</v>
      </c>
      <c r="J183" s="451">
        <v>890086</v>
      </c>
      <c r="K183" s="451">
        <v>0</v>
      </c>
      <c r="L183" s="451">
        <v>0</v>
      </c>
      <c r="M183" s="451">
        <v>890086</v>
      </c>
      <c r="N183" s="451">
        <v>454462</v>
      </c>
      <c r="O183" s="451">
        <v>0</v>
      </c>
      <c r="P183" s="451">
        <v>0</v>
      </c>
      <c r="Q183" s="451">
        <v>454462</v>
      </c>
      <c r="R183" s="451">
        <v>815024</v>
      </c>
      <c r="S183" s="451">
        <v>0</v>
      </c>
      <c r="T183" s="451">
        <v>0</v>
      </c>
      <c r="U183" s="451">
        <v>815024</v>
      </c>
      <c r="V183" s="451">
        <v>5454388</v>
      </c>
      <c r="W183" s="451">
        <v>0</v>
      </c>
      <c r="X183" s="451">
        <v>0</v>
      </c>
      <c r="Y183" s="451">
        <v>5454388</v>
      </c>
      <c r="Z183" s="451">
        <v>118923186</v>
      </c>
      <c r="AA183" s="451">
        <v>0</v>
      </c>
      <c r="AB183" s="451">
        <v>404055</v>
      </c>
      <c r="AC183" s="451">
        <v>119327241</v>
      </c>
      <c r="AD183" s="451">
        <v>0</v>
      </c>
      <c r="AE183" s="451">
        <v>0</v>
      </c>
      <c r="AF183" s="451">
        <v>0</v>
      </c>
      <c r="AG183" s="451">
        <v>0</v>
      </c>
      <c r="AH183" s="451">
        <v>0</v>
      </c>
      <c r="AI183" s="451">
        <v>394</v>
      </c>
      <c r="AJ183" s="451">
        <v>0</v>
      </c>
      <c r="AK183" s="451">
        <v>230761</v>
      </c>
      <c r="AL183" s="451">
        <v>0</v>
      </c>
      <c r="AM183" s="451">
        <v>173688</v>
      </c>
      <c r="AN183" s="451">
        <v>0</v>
      </c>
      <c r="AO183" s="451">
        <v>5732251</v>
      </c>
      <c r="AP183" s="451">
        <v>6271248</v>
      </c>
      <c r="AQ183" s="324"/>
      <c r="AR183" s="310"/>
      <c r="AS183" s="310"/>
      <c r="AT183" s="310"/>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10"/>
      <c r="BR183" s="310"/>
      <c r="BS183" s="310"/>
      <c r="BT183" s="310"/>
      <c r="BU183" s="310"/>
      <c r="BV183" s="310"/>
      <c r="BW183" s="310"/>
      <c r="BX183" s="310"/>
      <c r="BY183" s="310"/>
      <c r="BZ183" s="310"/>
      <c r="CA183" s="310"/>
      <c r="CB183" s="310"/>
      <c r="CC183" s="310"/>
      <c r="CD183" s="310"/>
      <c r="CE183" s="310"/>
      <c r="CF183" s="310"/>
      <c r="CG183" s="310"/>
      <c r="CH183" s="310"/>
      <c r="CI183" s="310"/>
      <c r="CJ183" s="310"/>
      <c r="CK183" s="310"/>
      <c r="CL183" s="310"/>
      <c r="CM183" s="310"/>
      <c r="CN183" s="310"/>
      <c r="CO183" s="310"/>
      <c r="CP183" s="310"/>
      <c r="CQ183" s="310"/>
      <c r="CR183" s="310"/>
      <c r="CS183" s="310"/>
      <c r="CT183" s="310"/>
      <c r="CU183" s="310"/>
      <c r="CV183" s="310"/>
      <c r="CW183" s="310"/>
      <c r="CX183" s="310"/>
      <c r="CY183" s="310"/>
      <c r="CZ183" s="310"/>
      <c r="DA183" s="310"/>
      <c r="DB183" s="310"/>
      <c r="DC183" s="310"/>
      <c r="DD183" s="310"/>
      <c r="DE183" s="310"/>
      <c r="DF183" s="310"/>
      <c r="DG183" s="310"/>
      <c r="DH183" s="310"/>
      <c r="DI183" s="310"/>
      <c r="DJ183" s="310"/>
      <c r="DK183" s="310"/>
      <c r="DL183" s="310"/>
      <c r="DM183" s="310"/>
      <c r="DN183" s="310"/>
      <c r="DO183" s="310"/>
      <c r="DP183" s="310"/>
      <c r="DQ183" s="310"/>
      <c r="DR183" s="310"/>
      <c r="DS183" s="310"/>
      <c r="DT183" s="310"/>
      <c r="DU183" s="310"/>
      <c r="DV183" s="310"/>
      <c r="DW183" s="310"/>
      <c r="DX183" s="310"/>
      <c r="DY183" s="310"/>
      <c r="DZ183" s="310"/>
      <c r="EA183" s="310"/>
      <c r="EB183" s="310"/>
      <c r="EC183" s="310"/>
      <c r="ED183" s="310"/>
      <c r="EE183" s="310"/>
      <c r="EF183" s="310"/>
      <c r="EG183" s="310"/>
      <c r="EH183" s="310"/>
      <c r="EI183" s="310"/>
      <c r="EJ183" s="310"/>
      <c r="EK183" s="310"/>
      <c r="EL183" s="310"/>
      <c r="EM183" s="310"/>
      <c r="EN183" s="310"/>
      <c r="EO183" s="310"/>
      <c r="EP183" s="310"/>
      <c r="EQ183" s="310"/>
      <c r="ER183" s="310"/>
      <c r="ES183" s="310"/>
      <c r="ET183" s="310"/>
      <c r="EU183" s="310"/>
      <c r="EV183" s="310"/>
      <c r="EW183" s="310"/>
      <c r="EX183" s="310"/>
      <c r="EY183" s="310"/>
      <c r="EZ183" s="310"/>
      <c r="FA183" s="310"/>
      <c r="FB183" s="310"/>
      <c r="FC183" s="310"/>
      <c r="FD183" s="310"/>
      <c r="FE183" s="311"/>
      <c r="FF183" s="312"/>
    </row>
    <row r="184" spans="1:162" ht="12.75" x14ac:dyDescent="0.2">
      <c r="A184" s="446">
        <v>177</v>
      </c>
      <c r="B184" s="447" t="s">
        <v>237</v>
      </c>
      <c r="C184" s="448" t="s">
        <v>1093</v>
      </c>
      <c r="D184" s="449" t="s">
        <v>1102</v>
      </c>
      <c r="E184" s="450" t="s">
        <v>236</v>
      </c>
      <c r="F184" s="451">
        <v>31426686</v>
      </c>
      <c r="G184" s="451">
        <v>0</v>
      </c>
      <c r="H184" s="451">
        <v>0</v>
      </c>
      <c r="I184" s="451">
        <v>31426686</v>
      </c>
      <c r="J184" s="451">
        <v>178118</v>
      </c>
      <c r="K184" s="451">
        <v>0</v>
      </c>
      <c r="L184" s="451">
        <v>0</v>
      </c>
      <c r="M184" s="451">
        <v>178118</v>
      </c>
      <c r="N184" s="451">
        <v>217033</v>
      </c>
      <c r="O184" s="451">
        <v>0</v>
      </c>
      <c r="P184" s="451">
        <v>0</v>
      </c>
      <c r="Q184" s="451">
        <v>217033</v>
      </c>
      <c r="R184" s="451">
        <v>201144</v>
      </c>
      <c r="S184" s="451">
        <v>0</v>
      </c>
      <c r="T184" s="451">
        <v>0</v>
      </c>
      <c r="U184" s="451">
        <v>201144</v>
      </c>
      <c r="V184" s="451">
        <v>659961</v>
      </c>
      <c r="W184" s="451">
        <v>0</v>
      </c>
      <c r="X184" s="451">
        <v>0</v>
      </c>
      <c r="Y184" s="451">
        <v>659961</v>
      </c>
      <c r="Z184" s="451">
        <v>30170430</v>
      </c>
      <c r="AA184" s="451">
        <v>0</v>
      </c>
      <c r="AB184" s="451">
        <v>0</v>
      </c>
      <c r="AC184" s="451">
        <v>30170430</v>
      </c>
      <c r="AD184" s="451">
        <v>0</v>
      </c>
      <c r="AE184" s="451">
        <v>0</v>
      </c>
      <c r="AF184" s="451">
        <v>0</v>
      </c>
      <c r="AG184" s="451">
        <v>0</v>
      </c>
      <c r="AH184" s="451">
        <v>0</v>
      </c>
      <c r="AI184" s="451">
        <v>0</v>
      </c>
      <c r="AJ184" s="451">
        <v>0</v>
      </c>
      <c r="AK184" s="451">
        <v>0</v>
      </c>
      <c r="AL184" s="451">
        <v>0</v>
      </c>
      <c r="AM184" s="451">
        <v>0</v>
      </c>
      <c r="AN184" s="451">
        <v>0</v>
      </c>
      <c r="AO184" s="451">
        <v>1451198</v>
      </c>
      <c r="AP184" s="451">
        <v>881570</v>
      </c>
      <c r="AQ184" s="324"/>
      <c r="AR184" s="310"/>
      <c r="AS184" s="310"/>
      <c r="AT184" s="310"/>
      <c r="AU184" s="310"/>
      <c r="AV184" s="310"/>
      <c r="AW184" s="310"/>
      <c r="AX184" s="310"/>
      <c r="AY184" s="310"/>
      <c r="AZ184" s="310"/>
      <c r="BA184" s="310"/>
      <c r="BB184" s="310"/>
      <c r="BC184" s="310"/>
      <c r="BD184" s="310"/>
      <c r="BE184" s="310"/>
      <c r="BF184" s="310"/>
      <c r="BG184" s="310"/>
      <c r="BH184" s="310"/>
      <c r="BI184" s="310"/>
      <c r="BJ184" s="310"/>
      <c r="BK184" s="310"/>
      <c r="BL184" s="310"/>
      <c r="BM184" s="310"/>
      <c r="BN184" s="310"/>
      <c r="BO184" s="310"/>
      <c r="BP184" s="310"/>
      <c r="BQ184" s="310"/>
      <c r="BR184" s="310"/>
      <c r="BS184" s="310"/>
      <c r="BT184" s="310"/>
      <c r="BU184" s="310"/>
      <c r="BV184" s="310"/>
      <c r="BW184" s="310"/>
      <c r="BX184" s="310"/>
      <c r="BY184" s="310"/>
      <c r="BZ184" s="310"/>
      <c r="CA184" s="310"/>
      <c r="CB184" s="310"/>
      <c r="CC184" s="310"/>
      <c r="CD184" s="310"/>
      <c r="CE184" s="310"/>
      <c r="CF184" s="310"/>
      <c r="CG184" s="310"/>
      <c r="CH184" s="310"/>
      <c r="CI184" s="310"/>
      <c r="CJ184" s="310"/>
      <c r="CK184" s="310"/>
      <c r="CL184" s="310"/>
      <c r="CM184" s="310"/>
      <c r="CN184" s="310"/>
      <c r="CO184" s="310"/>
      <c r="CP184" s="310"/>
      <c r="CQ184" s="310"/>
      <c r="CR184" s="310"/>
      <c r="CS184" s="310"/>
      <c r="CT184" s="310"/>
      <c r="CU184" s="310"/>
      <c r="CV184" s="310"/>
      <c r="CW184" s="310"/>
      <c r="CX184" s="310"/>
      <c r="CY184" s="310"/>
      <c r="CZ184" s="310"/>
      <c r="DA184" s="310"/>
      <c r="DB184" s="310"/>
      <c r="DC184" s="310"/>
      <c r="DD184" s="310"/>
      <c r="DE184" s="310"/>
      <c r="DF184" s="310"/>
      <c r="DG184" s="310"/>
      <c r="DH184" s="310"/>
      <c r="DI184" s="310"/>
      <c r="DJ184" s="310"/>
      <c r="DK184" s="310"/>
      <c r="DL184" s="310"/>
      <c r="DM184" s="310"/>
      <c r="DN184" s="310"/>
      <c r="DO184" s="310"/>
      <c r="DP184" s="310"/>
      <c r="DQ184" s="310"/>
      <c r="DR184" s="310"/>
      <c r="DS184" s="310"/>
      <c r="DT184" s="310"/>
      <c r="DU184" s="310"/>
      <c r="DV184" s="310"/>
      <c r="DW184" s="310"/>
      <c r="DX184" s="310"/>
      <c r="DY184" s="310"/>
      <c r="DZ184" s="310"/>
      <c r="EA184" s="310"/>
      <c r="EB184" s="310"/>
      <c r="EC184" s="310"/>
      <c r="ED184" s="310"/>
      <c r="EE184" s="310"/>
      <c r="EF184" s="310"/>
      <c r="EG184" s="310"/>
      <c r="EH184" s="310"/>
      <c r="EI184" s="310"/>
      <c r="EJ184" s="310"/>
      <c r="EK184" s="310"/>
      <c r="EL184" s="310"/>
      <c r="EM184" s="310"/>
      <c r="EN184" s="310"/>
      <c r="EO184" s="310"/>
      <c r="EP184" s="310"/>
      <c r="EQ184" s="310"/>
      <c r="ER184" s="310"/>
      <c r="ES184" s="310"/>
      <c r="ET184" s="310"/>
      <c r="EU184" s="310"/>
      <c r="EV184" s="310"/>
      <c r="EW184" s="310"/>
      <c r="EX184" s="310"/>
      <c r="EY184" s="310"/>
      <c r="EZ184" s="310"/>
      <c r="FA184" s="310"/>
      <c r="FB184" s="310"/>
      <c r="FC184" s="310"/>
      <c r="FD184" s="310"/>
      <c r="FE184" s="311"/>
      <c r="FF184" s="312"/>
    </row>
    <row r="185" spans="1:162" ht="12.75" x14ac:dyDescent="0.2">
      <c r="A185" s="446">
        <v>178</v>
      </c>
      <c r="B185" s="447" t="s">
        <v>239</v>
      </c>
      <c r="C185" s="448" t="s">
        <v>1093</v>
      </c>
      <c r="D185" s="449" t="s">
        <v>1102</v>
      </c>
      <c r="E185" s="450" t="s">
        <v>238</v>
      </c>
      <c r="F185" s="451">
        <v>13207643</v>
      </c>
      <c r="G185" s="451">
        <v>0</v>
      </c>
      <c r="H185" s="451">
        <v>0</v>
      </c>
      <c r="I185" s="451">
        <v>13207643</v>
      </c>
      <c r="J185" s="451">
        <v>-12703</v>
      </c>
      <c r="K185" s="451">
        <v>0</v>
      </c>
      <c r="L185" s="451">
        <v>0</v>
      </c>
      <c r="M185" s="451">
        <v>-12703</v>
      </c>
      <c r="N185" s="451">
        <v>119366</v>
      </c>
      <c r="O185" s="451">
        <v>0</v>
      </c>
      <c r="P185" s="451">
        <v>0</v>
      </c>
      <c r="Q185" s="451">
        <v>119366</v>
      </c>
      <c r="R185" s="451">
        <v>134012</v>
      </c>
      <c r="S185" s="451">
        <v>0</v>
      </c>
      <c r="T185" s="451">
        <v>0</v>
      </c>
      <c r="U185" s="451">
        <v>134012</v>
      </c>
      <c r="V185" s="451">
        <v>297453</v>
      </c>
      <c r="W185" s="451">
        <v>0</v>
      </c>
      <c r="X185" s="451">
        <v>0</v>
      </c>
      <c r="Y185" s="451">
        <v>297453</v>
      </c>
      <c r="Z185" s="451">
        <v>12669515</v>
      </c>
      <c r="AA185" s="451">
        <v>0</v>
      </c>
      <c r="AB185" s="451">
        <v>0</v>
      </c>
      <c r="AC185" s="451">
        <v>12669515</v>
      </c>
      <c r="AD185" s="451">
        <v>0</v>
      </c>
      <c r="AE185" s="451">
        <v>0</v>
      </c>
      <c r="AF185" s="451">
        <v>0</v>
      </c>
      <c r="AG185" s="451">
        <v>0</v>
      </c>
      <c r="AH185" s="451">
        <v>0</v>
      </c>
      <c r="AI185" s="451">
        <v>0</v>
      </c>
      <c r="AJ185" s="451">
        <v>0</v>
      </c>
      <c r="AK185" s="451">
        <v>0</v>
      </c>
      <c r="AL185" s="451">
        <v>0</v>
      </c>
      <c r="AM185" s="451">
        <v>0</v>
      </c>
      <c r="AN185" s="451">
        <v>0</v>
      </c>
      <c r="AO185" s="451">
        <v>427872</v>
      </c>
      <c r="AP185" s="451">
        <v>154460</v>
      </c>
      <c r="AQ185" s="324" t="s">
        <v>1120</v>
      </c>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10"/>
      <c r="BR185" s="310"/>
      <c r="BS185" s="310"/>
      <c r="BT185" s="310"/>
      <c r="BU185" s="310"/>
      <c r="BV185" s="310"/>
      <c r="BW185" s="310"/>
      <c r="BX185" s="310"/>
      <c r="BY185" s="310"/>
      <c r="BZ185" s="310"/>
      <c r="CA185" s="310"/>
      <c r="CB185" s="310"/>
      <c r="CC185" s="310"/>
      <c r="CD185" s="310"/>
      <c r="CE185" s="310"/>
      <c r="CF185" s="310"/>
      <c r="CG185" s="310"/>
      <c r="CH185" s="310"/>
      <c r="CI185" s="310"/>
      <c r="CJ185" s="310"/>
      <c r="CK185" s="310"/>
      <c r="CL185" s="310"/>
      <c r="CM185" s="310"/>
      <c r="CN185" s="310"/>
      <c r="CO185" s="310"/>
      <c r="CP185" s="310"/>
      <c r="CQ185" s="310"/>
      <c r="CR185" s="310"/>
      <c r="CS185" s="310"/>
      <c r="CT185" s="310"/>
      <c r="CU185" s="310"/>
      <c r="CV185" s="310"/>
      <c r="CW185" s="310"/>
      <c r="CX185" s="310"/>
      <c r="CY185" s="310"/>
      <c r="CZ185" s="310"/>
      <c r="DA185" s="310"/>
      <c r="DB185" s="310"/>
      <c r="DC185" s="310"/>
      <c r="DD185" s="310"/>
      <c r="DE185" s="310"/>
      <c r="DF185" s="310"/>
      <c r="DG185" s="310"/>
      <c r="DH185" s="310"/>
      <c r="DI185" s="310"/>
      <c r="DJ185" s="310"/>
      <c r="DK185" s="310"/>
      <c r="DL185" s="310"/>
      <c r="DM185" s="310"/>
      <c r="DN185" s="310"/>
      <c r="DO185" s="310"/>
      <c r="DP185" s="310"/>
      <c r="DQ185" s="310"/>
      <c r="DR185" s="310"/>
      <c r="DS185" s="310"/>
      <c r="DT185" s="310"/>
      <c r="DU185" s="310"/>
      <c r="DV185" s="310"/>
      <c r="DW185" s="310"/>
      <c r="DX185" s="310"/>
      <c r="DY185" s="310"/>
      <c r="DZ185" s="310"/>
      <c r="EA185" s="310"/>
      <c r="EB185" s="310"/>
      <c r="EC185" s="310"/>
      <c r="ED185" s="310"/>
      <c r="EE185" s="310"/>
      <c r="EF185" s="310"/>
      <c r="EG185" s="310"/>
      <c r="EH185" s="310"/>
      <c r="EI185" s="310"/>
      <c r="EJ185" s="310"/>
      <c r="EK185" s="310"/>
      <c r="EL185" s="310"/>
      <c r="EM185" s="310"/>
      <c r="EN185" s="310"/>
      <c r="EO185" s="310"/>
      <c r="EP185" s="310"/>
      <c r="EQ185" s="310"/>
      <c r="ER185" s="310"/>
      <c r="ES185" s="310"/>
      <c r="ET185" s="310"/>
      <c r="EU185" s="310"/>
      <c r="EV185" s="310"/>
      <c r="EW185" s="310"/>
      <c r="EX185" s="310"/>
      <c r="EY185" s="310"/>
      <c r="EZ185" s="310"/>
      <c r="FA185" s="310"/>
      <c r="FB185" s="310"/>
      <c r="FC185" s="310"/>
      <c r="FD185" s="310"/>
      <c r="FE185" s="311"/>
      <c r="FF185" s="312"/>
    </row>
    <row r="186" spans="1:162" ht="12.75" x14ac:dyDescent="0.2">
      <c r="A186" s="446">
        <v>179</v>
      </c>
      <c r="B186" s="447" t="s">
        <v>241</v>
      </c>
      <c r="C186" s="448" t="s">
        <v>1093</v>
      </c>
      <c r="D186" s="449" t="s">
        <v>1096</v>
      </c>
      <c r="E186" s="450" t="s">
        <v>240</v>
      </c>
      <c r="F186" s="451">
        <v>15481604</v>
      </c>
      <c r="G186" s="451">
        <v>0</v>
      </c>
      <c r="H186" s="451">
        <v>0</v>
      </c>
      <c r="I186" s="451">
        <v>15481604</v>
      </c>
      <c r="J186" s="451">
        <v>192848.17</v>
      </c>
      <c r="K186" s="451">
        <v>0</v>
      </c>
      <c r="L186" s="451">
        <v>0</v>
      </c>
      <c r="M186" s="451">
        <v>192848.17</v>
      </c>
      <c r="N186" s="451">
        <v>-22871</v>
      </c>
      <c r="O186" s="451">
        <v>0</v>
      </c>
      <c r="P186" s="451">
        <v>0</v>
      </c>
      <c r="Q186" s="451">
        <v>-22871</v>
      </c>
      <c r="R186" s="451">
        <v>249598.02</v>
      </c>
      <c r="S186" s="451">
        <v>0</v>
      </c>
      <c r="T186" s="451">
        <v>0</v>
      </c>
      <c r="U186" s="451">
        <v>249598.02</v>
      </c>
      <c r="V186" s="451">
        <v>529618.22</v>
      </c>
      <c r="W186" s="451">
        <v>0</v>
      </c>
      <c r="X186" s="451">
        <v>0</v>
      </c>
      <c r="Y186" s="451">
        <v>529618.22</v>
      </c>
      <c r="Z186" s="451">
        <v>14532411</v>
      </c>
      <c r="AA186" s="451">
        <v>0</v>
      </c>
      <c r="AB186" s="451">
        <v>0</v>
      </c>
      <c r="AC186" s="451">
        <v>14532411</v>
      </c>
      <c r="AD186" s="451">
        <v>0</v>
      </c>
      <c r="AE186" s="451">
        <v>0</v>
      </c>
      <c r="AF186" s="451">
        <v>0</v>
      </c>
      <c r="AG186" s="451">
        <v>0</v>
      </c>
      <c r="AH186" s="451">
        <v>0</v>
      </c>
      <c r="AI186" s="451">
        <v>0</v>
      </c>
      <c r="AJ186" s="451">
        <v>0</v>
      </c>
      <c r="AK186" s="451">
        <v>0</v>
      </c>
      <c r="AL186" s="451">
        <v>0</v>
      </c>
      <c r="AM186" s="451">
        <v>0</v>
      </c>
      <c r="AN186" s="451">
        <v>0</v>
      </c>
      <c r="AO186" s="451">
        <v>602639</v>
      </c>
      <c r="AP186" s="451">
        <v>751706.82</v>
      </c>
      <c r="AQ186" s="324"/>
      <c r="AR186" s="310"/>
      <c r="AS186" s="310"/>
      <c r="AT186" s="310"/>
      <c r="AU186" s="310"/>
      <c r="AV186" s="310"/>
      <c r="AW186" s="310"/>
      <c r="AX186" s="310"/>
      <c r="AY186" s="310"/>
      <c r="AZ186" s="310"/>
      <c r="BA186" s="310"/>
      <c r="BB186" s="310"/>
      <c r="BC186" s="310"/>
      <c r="BD186" s="310"/>
      <c r="BE186" s="310"/>
      <c r="BF186" s="310"/>
      <c r="BG186" s="310"/>
      <c r="BH186" s="310"/>
      <c r="BI186" s="310"/>
      <c r="BJ186" s="310"/>
      <c r="BK186" s="310"/>
      <c r="BL186" s="310"/>
      <c r="BM186" s="310"/>
      <c r="BN186" s="310"/>
      <c r="BO186" s="310"/>
      <c r="BP186" s="310"/>
      <c r="BQ186" s="310"/>
      <c r="BR186" s="310"/>
      <c r="BS186" s="310"/>
      <c r="BT186" s="310"/>
      <c r="BU186" s="310"/>
      <c r="BV186" s="310"/>
      <c r="BW186" s="310"/>
      <c r="BX186" s="310"/>
      <c r="BY186" s="310"/>
      <c r="BZ186" s="310"/>
      <c r="CA186" s="310"/>
      <c r="CB186" s="310"/>
      <c r="CC186" s="310"/>
      <c r="CD186" s="310"/>
      <c r="CE186" s="310"/>
      <c r="CF186" s="310"/>
      <c r="CG186" s="310"/>
      <c r="CH186" s="310"/>
      <c r="CI186" s="310"/>
      <c r="CJ186" s="310"/>
      <c r="CK186" s="310"/>
      <c r="CL186" s="310"/>
      <c r="CM186" s="310"/>
      <c r="CN186" s="310"/>
      <c r="CO186" s="310"/>
      <c r="CP186" s="310"/>
      <c r="CQ186" s="310"/>
      <c r="CR186" s="310"/>
      <c r="CS186" s="310"/>
      <c r="CT186" s="310"/>
      <c r="CU186" s="310"/>
      <c r="CV186" s="310"/>
      <c r="CW186" s="310"/>
      <c r="CX186" s="310"/>
      <c r="CY186" s="310"/>
      <c r="CZ186" s="310"/>
      <c r="DA186" s="310"/>
      <c r="DB186" s="310"/>
      <c r="DC186" s="310"/>
      <c r="DD186" s="310"/>
      <c r="DE186" s="310"/>
      <c r="DF186" s="310"/>
      <c r="DG186" s="310"/>
      <c r="DH186" s="310"/>
      <c r="DI186" s="310"/>
      <c r="DJ186" s="310"/>
      <c r="DK186" s="310"/>
      <c r="DL186" s="310"/>
      <c r="DM186" s="310"/>
      <c r="DN186" s="310"/>
      <c r="DO186" s="310"/>
      <c r="DP186" s="310"/>
      <c r="DQ186" s="310"/>
      <c r="DR186" s="310"/>
      <c r="DS186" s="310"/>
      <c r="DT186" s="310"/>
      <c r="DU186" s="310"/>
      <c r="DV186" s="310"/>
      <c r="DW186" s="310"/>
      <c r="DX186" s="310"/>
      <c r="DY186" s="310"/>
      <c r="DZ186" s="310"/>
      <c r="EA186" s="310"/>
      <c r="EB186" s="310"/>
      <c r="EC186" s="310"/>
      <c r="ED186" s="310"/>
      <c r="EE186" s="310"/>
      <c r="EF186" s="310"/>
      <c r="EG186" s="310"/>
      <c r="EH186" s="310"/>
      <c r="EI186" s="310"/>
      <c r="EJ186" s="310"/>
      <c r="EK186" s="310"/>
      <c r="EL186" s="310"/>
      <c r="EM186" s="310"/>
      <c r="EN186" s="310"/>
      <c r="EO186" s="310"/>
      <c r="EP186" s="310"/>
      <c r="EQ186" s="310"/>
      <c r="ER186" s="310"/>
      <c r="ES186" s="310"/>
      <c r="ET186" s="310"/>
      <c r="EU186" s="310"/>
      <c r="EV186" s="310"/>
      <c r="EW186" s="310"/>
      <c r="EX186" s="310"/>
      <c r="EY186" s="310"/>
      <c r="EZ186" s="310"/>
      <c r="FA186" s="310"/>
      <c r="FB186" s="310"/>
      <c r="FC186" s="310"/>
      <c r="FD186" s="310"/>
      <c r="FE186" s="311"/>
      <c r="FF186" s="312"/>
    </row>
    <row r="187" spans="1:162" ht="12.75" x14ac:dyDescent="0.2">
      <c r="A187" s="446">
        <v>180</v>
      </c>
      <c r="B187" s="447" t="s">
        <v>243</v>
      </c>
      <c r="C187" s="448" t="s">
        <v>794</v>
      </c>
      <c r="D187" s="449" t="s">
        <v>1101</v>
      </c>
      <c r="E187" s="450" t="s">
        <v>729</v>
      </c>
      <c r="F187" s="451">
        <v>64530873</v>
      </c>
      <c r="G187" s="451">
        <v>0</v>
      </c>
      <c r="H187" s="451">
        <v>0</v>
      </c>
      <c r="I187" s="451">
        <v>64530873</v>
      </c>
      <c r="J187" s="451">
        <v>652310</v>
      </c>
      <c r="K187" s="451">
        <v>0</v>
      </c>
      <c r="L187" s="451">
        <v>0</v>
      </c>
      <c r="M187" s="451">
        <v>652310</v>
      </c>
      <c r="N187" s="451">
        <v>-136708</v>
      </c>
      <c r="O187" s="451">
        <v>0</v>
      </c>
      <c r="P187" s="451">
        <v>0</v>
      </c>
      <c r="Q187" s="451">
        <v>-136708</v>
      </c>
      <c r="R187" s="451">
        <v>1052454</v>
      </c>
      <c r="S187" s="451">
        <v>0</v>
      </c>
      <c r="T187" s="451">
        <v>0</v>
      </c>
      <c r="U187" s="451">
        <v>1052454</v>
      </c>
      <c r="V187" s="451">
        <v>3039180</v>
      </c>
      <c r="W187" s="451">
        <v>0</v>
      </c>
      <c r="X187" s="451">
        <v>0</v>
      </c>
      <c r="Y187" s="451">
        <v>3039180</v>
      </c>
      <c r="Z187" s="451">
        <v>59923637</v>
      </c>
      <c r="AA187" s="451">
        <v>0</v>
      </c>
      <c r="AB187" s="451">
        <v>0</v>
      </c>
      <c r="AC187" s="451">
        <v>59923637</v>
      </c>
      <c r="AD187" s="451">
        <v>0</v>
      </c>
      <c r="AE187" s="451">
        <v>0</v>
      </c>
      <c r="AF187" s="451">
        <v>0</v>
      </c>
      <c r="AG187" s="451">
        <v>0</v>
      </c>
      <c r="AH187" s="451">
        <v>0</v>
      </c>
      <c r="AI187" s="451">
        <v>0</v>
      </c>
      <c r="AJ187" s="451">
        <v>0</v>
      </c>
      <c r="AK187" s="451">
        <v>0</v>
      </c>
      <c r="AL187" s="451">
        <v>0</v>
      </c>
      <c r="AM187" s="451">
        <v>0</v>
      </c>
      <c r="AN187" s="451">
        <v>0</v>
      </c>
      <c r="AO187" s="451">
        <v>7167107</v>
      </c>
      <c r="AP187" s="451">
        <v>622906.98</v>
      </c>
      <c r="AQ187" s="324"/>
      <c r="AR187" s="310"/>
      <c r="AS187" s="310"/>
      <c r="AT187" s="310"/>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10"/>
      <c r="BR187" s="310"/>
      <c r="BS187" s="310"/>
      <c r="BT187" s="310"/>
      <c r="BU187" s="310"/>
      <c r="BV187" s="310"/>
      <c r="BW187" s="310"/>
      <c r="BX187" s="310"/>
      <c r="BY187" s="310"/>
      <c r="BZ187" s="310"/>
      <c r="CA187" s="310"/>
      <c r="CB187" s="310"/>
      <c r="CC187" s="310"/>
      <c r="CD187" s="310"/>
      <c r="CE187" s="310"/>
      <c r="CF187" s="310"/>
      <c r="CG187" s="310"/>
      <c r="CH187" s="310"/>
      <c r="CI187" s="310"/>
      <c r="CJ187" s="310"/>
      <c r="CK187" s="310"/>
      <c r="CL187" s="310"/>
      <c r="CM187" s="310"/>
      <c r="CN187" s="310"/>
      <c r="CO187" s="310"/>
      <c r="CP187" s="310"/>
      <c r="CQ187" s="310"/>
      <c r="CR187" s="310"/>
      <c r="CS187" s="310"/>
      <c r="CT187" s="310"/>
      <c r="CU187" s="310"/>
      <c r="CV187" s="310"/>
      <c r="CW187" s="310"/>
      <c r="CX187" s="310"/>
      <c r="CY187" s="310"/>
      <c r="CZ187" s="310"/>
      <c r="DA187" s="310"/>
      <c r="DB187" s="310"/>
      <c r="DC187" s="310"/>
      <c r="DD187" s="310"/>
      <c r="DE187" s="310"/>
      <c r="DF187" s="310"/>
      <c r="DG187" s="310"/>
      <c r="DH187" s="310"/>
      <c r="DI187" s="310"/>
      <c r="DJ187" s="310"/>
      <c r="DK187" s="310"/>
      <c r="DL187" s="310"/>
      <c r="DM187" s="310"/>
      <c r="DN187" s="310"/>
      <c r="DO187" s="310"/>
      <c r="DP187" s="310"/>
      <c r="DQ187" s="310"/>
      <c r="DR187" s="310"/>
      <c r="DS187" s="310"/>
      <c r="DT187" s="310"/>
      <c r="DU187" s="310"/>
      <c r="DV187" s="310"/>
      <c r="DW187" s="310"/>
      <c r="DX187" s="310"/>
      <c r="DY187" s="310"/>
      <c r="DZ187" s="310"/>
      <c r="EA187" s="310"/>
      <c r="EB187" s="310"/>
      <c r="EC187" s="310"/>
      <c r="ED187" s="310"/>
      <c r="EE187" s="310"/>
      <c r="EF187" s="310"/>
      <c r="EG187" s="310"/>
      <c r="EH187" s="310"/>
      <c r="EI187" s="310"/>
      <c r="EJ187" s="310"/>
      <c r="EK187" s="310"/>
      <c r="EL187" s="310"/>
      <c r="EM187" s="310"/>
      <c r="EN187" s="310"/>
      <c r="EO187" s="310"/>
      <c r="EP187" s="310"/>
      <c r="EQ187" s="310"/>
      <c r="ER187" s="310"/>
      <c r="ES187" s="310"/>
      <c r="ET187" s="310"/>
      <c r="EU187" s="310"/>
      <c r="EV187" s="310"/>
      <c r="EW187" s="310"/>
      <c r="EX187" s="310"/>
      <c r="EY187" s="310"/>
      <c r="EZ187" s="310"/>
      <c r="FA187" s="310"/>
      <c r="FB187" s="310"/>
      <c r="FC187" s="310"/>
      <c r="FD187" s="310"/>
      <c r="FE187" s="311"/>
      <c r="FF187" s="312"/>
    </row>
    <row r="188" spans="1:162" ht="12.75" x14ac:dyDescent="0.2">
      <c r="A188" s="446">
        <v>181</v>
      </c>
      <c r="B188" s="447" t="s">
        <v>245</v>
      </c>
      <c r="C188" s="448" t="s">
        <v>1093</v>
      </c>
      <c r="D188" s="449" t="s">
        <v>1097</v>
      </c>
      <c r="E188" s="450" t="s">
        <v>244</v>
      </c>
      <c r="F188" s="451">
        <v>37682429</v>
      </c>
      <c r="G188" s="451">
        <v>0</v>
      </c>
      <c r="H188" s="451">
        <v>0</v>
      </c>
      <c r="I188" s="451">
        <v>37682429</v>
      </c>
      <c r="J188" s="451">
        <v>381612</v>
      </c>
      <c r="K188" s="451">
        <v>0</v>
      </c>
      <c r="L188" s="451">
        <v>0</v>
      </c>
      <c r="M188" s="451">
        <v>381612</v>
      </c>
      <c r="N188" s="451">
        <v>270492</v>
      </c>
      <c r="O188" s="451">
        <v>0</v>
      </c>
      <c r="P188" s="451">
        <v>0</v>
      </c>
      <c r="Q188" s="451">
        <v>270492</v>
      </c>
      <c r="R188" s="451">
        <v>349544</v>
      </c>
      <c r="S188" s="451">
        <v>0</v>
      </c>
      <c r="T188" s="451">
        <v>0</v>
      </c>
      <c r="U188" s="451">
        <v>349544</v>
      </c>
      <c r="V188" s="451">
        <v>990960</v>
      </c>
      <c r="W188" s="451">
        <v>0</v>
      </c>
      <c r="X188" s="451">
        <v>0</v>
      </c>
      <c r="Y188" s="451">
        <v>990960</v>
      </c>
      <c r="Z188" s="451">
        <v>35689821</v>
      </c>
      <c r="AA188" s="451">
        <v>0</v>
      </c>
      <c r="AB188" s="451">
        <v>0</v>
      </c>
      <c r="AC188" s="451">
        <v>35689821</v>
      </c>
      <c r="AD188" s="451">
        <v>0</v>
      </c>
      <c r="AE188" s="451">
        <v>0</v>
      </c>
      <c r="AF188" s="451">
        <v>0</v>
      </c>
      <c r="AG188" s="451">
        <v>0</v>
      </c>
      <c r="AH188" s="451">
        <v>0</v>
      </c>
      <c r="AI188" s="451">
        <v>0</v>
      </c>
      <c r="AJ188" s="451">
        <v>0</v>
      </c>
      <c r="AK188" s="451">
        <v>0</v>
      </c>
      <c r="AL188" s="451">
        <v>0</v>
      </c>
      <c r="AM188" s="451">
        <v>0</v>
      </c>
      <c r="AN188" s="451">
        <v>0</v>
      </c>
      <c r="AO188" s="451">
        <v>2135620</v>
      </c>
      <c r="AP188" s="451">
        <v>607026</v>
      </c>
      <c r="AQ188" s="324"/>
      <c r="AR188" s="310"/>
      <c r="AS188" s="310"/>
      <c r="AT188" s="310"/>
      <c r="AU188" s="310"/>
      <c r="AV188" s="310"/>
      <c r="AW188" s="310"/>
      <c r="AX188" s="310"/>
      <c r="AY188" s="310"/>
      <c r="AZ188" s="310"/>
      <c r="BA188" s="310"/>
      <c r="BB188" s="310"/>
      <c r="BC188" s="310"/>
      <c r="BD188" s="310"/>
      <c r="BE188" s="310"/>
      <c r="BF188" s="310"/>
      <c r="BG188" s="310"/>
      <c r="BH188" s="310"/>
      <c r="BI188" s="310"/>
      <c r="BJ188" s="310"/>
      <c r="BK188" s="310"/>
      <c r="BL188" s="310"/>
      <c r="BM188" s="310"/>
      <c r="BN188" s="310"/>
      <c r="BO188" s="310"/>
      <c r="BP188" s="310"/>
      <c r="BQ188" s="310"/>
      <c r="BR188" s="310"/>
      <c r="BS188" s="310"/>
      <c r="BT188" s="310"/>
      <c r="BU188" s="310"/>
      <c r="BV188" s="310"/>
      <c r="BW188" s="310"/>
      <c r="BX188" s="310"/>
      <c r="BY188" s="310"/>
      <c r="BZ188" s="310"/>
      <c r="CA188" s="310"/>
      <c r="CB188" s="310"/>
      <c r="CC188" s="310"/>
      <c r="CD188" s="310"/>
      <c r="CE188" s="310"/>
      <c r="CF188" s="310"/>
      <c r="CG188" s="310"/>
      <c r="CH188" s="310"/>
      <c r="CI188" s="310"/>
      <c r="CJ188" s="310"/>
      <c r="CK188" s="310"/>
      <c r="CL188" s="310"/>
      <c r="CM188" s="310"/>
      <c r="CN188" s="310"/>
      <c r="CO188" s="310"/>
      <c r="CP188" s="310"/>
      <c r="CQ188" s="310"/>
      <c r="CR188" s="310"/>
      <c r="CS188" s="310"/>
      <c r="CT188" s="310"/>
      <c r="CU188" s="310"/>
      <c r="CV188" s="310"/>
      <c r="CW188" s="310"/>
      <c r="CX188" s="310"/>
      <c r="CY188" s="310"/>
      <c r="CZ188" s="310"/>
      <c r="DA188" s="310"/>
      <c r="DB188" s="310"/>
      <c r="DC188" s="310"/>
      <c r="DD188" s="310"/>
      <c r="DE188" s="310"/>
      <c r="DF188" s="310"/>
      <c r="DG188" s="310"/>
      <c r="DH188" s="310"/>
      <c r="DI188" s="310"/>
      <c r="DJ188" s="310"/>
      <c r="DK188" s="310"/>
      <c r="DL188" s="310"/>
      <c r="DM188" s="310"/>
      <c r="DN188" s="310"/>
      <c r="DO188" s="310"/>
      <c r="DP188" s="310"/>
      <c r="DQ188" s="310"/>
      <c r="DR188" s="310"/>
      <c r="DS188" s="310"/>
      <c r="DT188" s="310"/>
      <c r="DU188" s="310"/>
      <c r="DV188" s="310"/>
      <c r="DW188" s="310"/>
      <c r="DX188" s="310"/>
      <c r="DY188" s="310"/>
      <c r="DZ188" s="310"/>
      <c r="EA188" s="310"/>
      <c r="EB188" s="310"/>
      <c r="EC188" s="310"/>
      <c r="ED188" s="310"/>
      <c r="EE188" s="310"/>
      <c r="EF188" s="310"/>
      <c r="EG188" s="310"/>
      <c r="EH188" s="310"/>
      <c r="EI188" s="310"/>
      <c r="EJ188" s="310"/>
      <c r="EK188" s="310"/>
      <c r="EL188" s="310"/>
      <c r="EM188" s="310"/>
      <c r="EN188" s="310"/>
      <c r="EO188" s="310"/>
      <c r="EP188" s="310"/>
      <c r="EQ188" s="310"/>
      <c r="ER188" s="310"/>
      <c r="ES188" s="310"/>
      <c r="ET188" s="310"/>
      <c r="EU188" s="310"/>
      <c r="EV188" s="310"/>
      <c r="EW188" s="310"/>
      <c r="EX188" s="310"/>
      <c r="EY188" s="310"/>
      <c r="EZ188" s="310"/>
      <c r="FA188" s="310"/>
      <c r="FB188" s="310"/>
      <c r="FC188" s="310"/>
      <c r="FD188" s="310"/>
      <c r="FE188" s="311"/>
      <c r="FF188" s="312"/>
    </row>
    <row r="189" spans="1:162" ht="12.75" x14ac:dyDescent="0.2">
      <c r="A189" s="446">
        <v>182</v>
      </c>
      <c r="B189" s="447" t="s">
        <v>247</v>
      </c>
      <c r="C189" s="448" t="s">
        <v>1093</v>
      </c>
      <c r="D189" s="449" t="s">
        <v>1096</v>
      </c>
      <c r="E189" s="450" t="s">
        <v>246</v>
      </c>
      <c r="F189" s="451">
        <v>22750134.399999999</v>
      </c>
      <c r="G189" s="451">
        <v>0</v>
      </c>
      <c r="H189" s="451">
        <v>0</v>
      </c>
      <c r="I189" s="451">
        <v>22750134.399999999</v>
      </c>
      <c r="J189" s="451">
        <v>24267.19</v>
      </c>
      <c r="K189" s="451">
        <v>0</v>
      </c>
      <c r="L189" s="451">
        <v>0</v>
      </c>
      <c r="M189" s="451">
        <v>24267.19</v>
      </c>
      <c r="N189" s="451">
        <v>0</v>
      </c>
      <c r="O189" s="451">
        <v>0</v>
      </c>
      <c r="P189" s="451">
        <v>0</v>
      </c>
      <c r="Q189" s="451">
        <v>0</v>
      </c>
      <c r="R189" s="451">
        <v>185993</v>
      </c>
      <c r="S189" s="451">
        <v>0</v>
      </c>
      <c r="T189" s="451">
        <v>0</v>
      </c>
      <c r="U189" s="451">
        <v>185993</v>
      </c>
      <c r="V189" s="451">
        <v>693059</v>
      </c>
      <c r="W189" s="451">
        <v>0</v>
      </c>
      <c r="X189" s="451">
        <v>0</v>
      </c>
      <c r="Y189" s="451">
        <v>693059</v>
      </c>
      <c r="Z189" s="451">
        <v>21846815</v>
      </c>
      <c r="AA189" s="451">
        <v>0</v>
      </c>
      <c r="AB189" s="451">
        <v>0</v>
      </c>
      <c r="AC189" s="451">
        <v>21846815</v>
      </c>
      <c r="AD189" s="451">
        <v>0</v>
      </c>
      <c r="AE189" s="451">
        <v>0</v>
      </c>
      <c r="AF189" s="451">
        <v>0</v>
      </c>
      <c r="AG189" s="451">
        <v>0</v>
      </c>
      <c r="AH189" s="451">
        <v>0</v>
      </c>
      <c r="AI189" s="451">
        <v>0</v>
      </c>
      <c r="AJ189" s="451">
        <v>0</v>
      </c>
      <c r="AK189" s="451">
        <v>0</v>
      </c>
      <c r="AL189" s="451">
        <v>0</v>
      </c>
      <c r="AM189" s="451">
        <v>0</v>
      </c>
      <c r="AN189" s="451">
        <v>0</v>
      </c>
      <c r="AO189" s="451">
        <v>493793</v>
      </c>
      <c r="AP189" s="451">
        <v>411853.98</v>
      </c>
      <c r="AQ189" s="324"/>
      <c r="AR189" s="310"/>
      <c r="AS189" s="310"/>
      <c r="AT189" s="310"/>
      <c r="AU189" s="310"/>
      <c r="AV189" s="310"/>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10"/>
      <c r="BR189" s="310"/>
      <c r="BS189" s="310"/>
      <c r="BT189" s="310"/>
      <c r="BU189" s="310"/>
      <c r="BV189" s="310"/>
      <c r="BW189" s="310"/>
      <c r="BX189" s="310"/>
      <c r="BY189" s="310"/>
      <c r="BZ189" s="310"/>
      <c r="CA189" s="310"/>
      <c r="CB189" s="310"/>
      <c r="CC189" s="310"/>
      <c r="CD189" s="310"/>
      <c r="CE189" s="310"/>
      <c r="CF189" s="310"/>
      <c r="CG189" s="310"/>
      <c r="CH189" s="310"/>
      <c r="CI189" s="310"/>
      <c r="CJ189" s="310"/>
      <c r="CK189" s="310"/>
      <c r="CL189" s="310"/>
      <c r="CM189" s="310"/>
      <c r="CN189" s="310"/>
      <c r="CO189" s="310"/>
      <c r="CP189" s="310"/>
      <c r="CQ189" s="310"/>
      <c r="CR189" s="310"/>
      <c r="CS189" s="310"/>
      <c r="CT189" s="310"/>
      <c r="CU189" s="310"/>
      <c r="CV189" s="310"/>
      <c r="CW189" s="310"/>
      <c r="CX189" s="310"/>
      <c r="CY189" s="310"/>
      <c r="CZ189" s="310"/>
      <c r="DA189" s="310"/>
      <c r="DB189" s="310"/>
      <c r="DC189" s="310"/>
      <c r="DD189" s="310"/>
      <c r="DE189" s="310"/>
      <c r="DF189" s="310"/>
      <c r="DG189" s="310"/>
      <c r="DH189" s="310"/>
      <c r="DI189" s="310"/>
      <c r="DJ189" s="310"/>
      <c r="DK189" s="310"/>
      <c r="DL189" s="310"/>
      <c r="DM189" s="310"/>
      <c r="DN189" s="310"/>
      <c r="DO189" s="310"/>
      <c r="DP189" s="310"/>
      <c r="DQ189" s="310"/>
      <c r="DR189" s="310"/>
      <c r="DS189" s="310"/>
      <c r="DT189" s="310"/>
      <c r="DU189" s="310"/>
      <c r="DV189" s="310"/>
      <c r="DW189" s="310"/>
      <c r="DX189" s="310"/>
      <c r="DY189" s="310"/>
      <c r="DZ189" s="310"/>
      <c r="EA189" s="310"/>
      <c r="EB189" s="310"/>
      <c r="EC189" s="310"/>
      <c r="ED189" s="310"/>
      <c r="EE189" s="310"/>
      <c r="EF189" s="310"/>
      <c r="EG189" s="310"/>
      <c r="EH189" s="310"/>
      <c r="EI189" s="310"/>
      <c r="EJ189" s="310"/>
      <c r="EK189" s="310"/>
      <c r="EL189" s="310"/>
      <c r="EM189" s="310"/>
      <c r="EN189" s="310"/>
      <c r="EO189" s="310"/>
      <c r="EP189" s="310"/>
      <c r="EQ189" s="310"/>
      <c r="ER189" s="310"/>
      <c r="ES189" s="310"/>
      <c r="ET189" s="310"/>
      <c r="EU189" s="310"/>
      <c r="EV189" s="310"/>
      <c r="EW189" s="310"/>
      <c r="EX189" s="310"/>
      <c r="EY189" s="310"/>
      <c r="EZ189" s="310"/>
      <c r="FA189" s="310"/>
      <c r="FB189" s="310"/>
      <c r="FC189" s="310"/>
      <c r="FD189" s="310"/>
      <c r="FE189" s="311"/>
      <c r="FF189" s="312"/>
    </row>
    <row r="190" spans="1:162" ht="12.75" x14ac:dyDescent="0.2">
      <c r="A190" s="446">
        <v>183</v>
      </c>
      <c r="B190" s="447" t="s">
        <v>249</v>
      </c>
      <c r="C190" s="448" t="s">
        <v>794</v>
      </c>
      <c r="D190" s="449" t="s">
        <v>1101</v>
      </c>
      <c r="E190" s="450" t="s">
        <v>730</v>
      </c>
      <c r="F190" s="451">
        <v>87970309</v>
      </c>
      <c r="G190" s="451">
        <v>0</v>
      </c>
      <c r="H190" s="451">
        <v>0</v>
      </c>
      <c r="I190" s="451">
        <v>87970309</v>
      </c>
      <c r="J190" s="451">
        <v>366892</v>
      </c>
      <c r="K190" s="451">
        <v>0</v>
      </c>
      <c r="L190" s="451">
        <v>0</v>
      </c>
      <c r="M190" s="451">
        <v>366892</v>
      </c>
      <c r="N190" s="451">
        <v>-106900</v>
      </c>
      <c r="O190" s="451">
        <v>0</v>
      </c>
      <c r="P190" s="451">
        <v>0</v>
      </c>
      <c r="Q190" s="451">
        <v>-106900</v>
      </c>
      <c r="R190" s="451">
        <v>2951331</v>
      </c>
      <c r="S190" s="451">
        <v>0</v>
      </c>
      <c r="T190" s="451">
        <v>0</v>
      </c>
      <c r="U190" s="451">
        <v>2951331</v>
      </c>
      <c r="V190" s="451">
        <v>6132740</v>
      </c>
      <c r="W190" s="451">
        <v>0</v>
      </c>
      <c r="X190" s="451">
        <v>0</v>
      </c>
      <c r="Y190" s="451">
        <v>6132740</v>
      </c>
      <c r="Z190" s="451">
        <v>78626246</v>
      </c>
      <c r="AA190" s="451">
        <v>0</v>
      </c>
      <c r="AB190" s="451">
        <v>0</v>
      </c>
      <c r="AC190" s="451">
        <v>78626246</v>
      </c>
      <c r="AD190" s="451">
        <v>22179</v>
      </c>
      <c r="AE190" s="451">
        <v>0</v>
      </c>
      <c r="AF190" s="451">
        <v>0</v>
      </c>
      <c r="AG190" s="451">
        <v>22179</v>
      </c>
      <c r="AH190" s="451">
        <v>0</v>
      </c>
      <c r="AI190" s="451">
        <v>0</v>
      </c>
      <c r="AJ190" s="451">
        <v>0</v>
      </c>
      <c r="AK190" s="451">
        <v>0</v>
      </c>
      <c r="AL190" s="451">
        <v>0</v>
      </c>
      <c r="AM190" s="451">
        <v>0</v>
      </c>
      <c r="AN190" s="451">
        <v>22179</v>
      </c>
      <c r="AO190" s="451">
        <v>4195467</v>
      </c>
      <c r="AP190" s="451">
        <v>1132545</v>
      </c>
      <c r="AQ190" s="324"/>
      <c r="AR190" s="310"/>
      <c r="AS190" s="310"/>
      <c r="AT190" s="310"/>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310"/>
      <c r="BU190" s="310"/>
      <c r="BV190" s="310"/>
      <c r="BW190" s="310"/>
      <c r="BX190" s="310"/>
      <c r="BY190" s="310"/>
      <c r="BZ190" s="310"/>
      <c r="CA190" s="310"/>
      <c r="CB190" s="310"/>
      <c r="CC190" s="310"/>
      <c r="CD190" s="310"/>
      <c r="CE190" s="310"/>
      <c r="CF190" s="310"/>
      <c r="CG190" s="310"/>
      <c r="CH190" s="310"/>
      <c r="CI190" s="310"/>
      <c r="CJ190" s="310"/>
      <c r="CK190" s="310"/>
      <c r="CL190" s="310"/>
      <c r="CM190" s="310"/>
      <c r="CN190" s="310"/>
      <c r="CO190" s="310"/>
      <c r="CP190" s="310"/>
      <c r="CQ190" s="310"/>
      <c r="CR190" s="310"/>
      <c r="CS190" s="310"/>
      <c r="CT190" s="310"/>
      <c r="CU190" s="310"/>
      <c r="CV190" s="310"/>
      <c r="CW190" s="310"/>
      <c r="CX190" s="310"/>
      <c r="CY190" s="310"/>
      <c r="CZ190" s="310"/>
      <c r="DA190" s="310"/>
      <c r="DB190" s="310"/>
      <c r="DC190" s="310"/>
      <c r="DD190" s="310"/>
      <c r="DE190" s="310"/>
      <c r="DF190" s="310"/>
      <c r="DG190" s="310"/>
      <c r="DH190" s="310"/>
      <c r="DI190" s="310"/>
      <c r="DJ190" s="310"/>
      <c r="DK190" s="310"/>
      <c r="DL190" s="310"/>
      <c r="DM190" s="310"/>
      <c r="DN190" s="310"/>
      <c r="DO190" s="310"/>
      <c r="DP190" s="310"/>
      <c r="DQ190" s="310"/>
      <c r="DR190" s="310"/>
      <c r="DS190" s="310"/>
      <c r="DT190" s="310"/>
      <c r="DU190" s="310"/>
      <c r="DV190" s="310"/>
      <c r="DW190" s="310"/>
      <c r="DX190" s="310"/>
      <c r="DY190" s="310"/>
      <c r="DZ190" s="310"/>
      <c r="EA190" s="310"/>
      <c r="EB190" s="310"/>
      <c r="EC190" s="310"/>
      <c r="ED190" s="310"/>
      <c r="EE190" s="310"/>
      <c r="EF190" s="310"/>
      <c r="EG190" s="310"/>
      <c r="EH190" s="310"/>
      <c r="EI190" s="310"/>
      <c r="EJ190" s="310"/>
      <c r="EK190" s="310"/>
      <c r="EL190" s="310"/>
      <c r="EM190" s="310"/>
      <c r="EN190" s="310"/>
      <c r="EO190" s="310"/>
      <c r="EP190" s="310"/>
      <c r="EQ190" s="310"/>
      <c r="ER190" s="310"/>
      <c r="ES190" s="310"/>
      <c r="ET190" s="310"/>
      <c r="EU190" s="310"/>
      <c r="EV190" s="310"/>
      <c r="EW190" s="310"/>
      <c r="EX190" s="310"/>
      <c r="EY190" s="310"/>
      <c r="EZ190" s="310"/>
      <c r="FA190" s="310"/>
      <c r="FB190" s="310"/>
      <c r="FC190" s="310"/>
      <c r="FD190" s="310"/>
      <c r="FE190" s="311"/>
      <c r="FF190" s="312"/>
    </row>
    <row r="191" spans="1:162" ht="12.75" x14ac:dyDescent="0.2">
      <c r="A191" s="446">
        <v>184</v>
      </c>
      <c r="B191" s="447" t="s">
        <v>251</v>
      </c>
      <c r="C191" s="448" t="s">
        <v>1093</v>
      </c>
      <c r="D191" s="449" t="s">
        <v>1097</v>
      </c>
      <c r="E191" s="450" t="s">
        <v>250</v>
      </c>
      <c r="F191" s="451">
        <v>23910537.100000001</v>
      </c>
      <c r="G191" s="451">
        <v>0</v>
      </c>
      <c r="H191" s="451">
        <v>0</v>
      </c>
      <c r="I191" s="451">
        <v>23910537.100000001</v>
      </c>
      <c r="J191" s="451">
        <v>86893</v>
      </c>
      <c r="K191" s="451">
        <v>0</v>
      </c>
      <c r="L191" s="451">
        <v>0</v>
      </c>
      <c r="M191" s="451">
        <v>86893</v>
      </c>
      <c r="N191" s="451">
        <v>77088</v>
      </c>
      <c r="O191" s="451">
        <v>0</v>
      </c>
      <c r="P191" s="451">
        <v>0</v>
      </c>
      <c r="Q191" s="451">
        <v>77088</v>
      </c>
      <c r="R191" s="451">
        <v>128021</v>
      </c>
      <c r="S191" s="451">
        <v>0</v>
      </c>
      <c r="T191" s="451">
        <v>0</v>
      </c>
      <c r="U191" s="451">
        <v>128021</v>
      </c>
      <c r="V191" s="451">
        <v>322083</v>
      </c>
      <c r="W191" s="451">
        <v>0</v>
      </c>
      <c r="X191" s="451">
        <v>0</v>
      </c>
      <c r="Y191" s="451">
        <v>322083</v>
      </c>
      <c r="Z191" s="451">
        <v>23296452</v>
      </c>
      <c r="AA191" s="451">
        <v>0</v>
      </c>
      <c r="AB191" s="451">
        <v>0</v>
      </c>
      <c r="AC191" s="451">
        <v>23296452</v>
      </c>
      <c r="AD191" s="451">
        <v>18840</v>
      </c>
      <c r="AE191" s="451">
        <v>0</v>
      </c>
      <c r="AF191" s="451">
        <v>0</v>
      </c>
      <c r="AG191" s="451">
        <v>18840</v>
      </c>
      <c r="AH191" s="451">
        <v>0</v>
      </c>
      <c r="AI191" s="451">
        <v>0</v>
      </c>
      <c r="AJ191" s="451">
        <v>0</v>
      </c>
      <c r="AK191" s="451">
        <v>0</v>
      </c>
      <c r="AL191" s="451">
        <v>0</v>
      </c>
      <c r="AM191" s="451">
        <v>0</v>
      </c>
      <c r="AN191" s="451">
        <v>18840</v>
      </c>
      <c r="AO191" s="451">
        <v>359621</v>
      </c>
      <c r="AP191" s="451">
        <v>400184</v>
      </c>
      <c r="AQ191" s="324"/>
      <c r="AR191" s="310"/>
      <c r="AS191" s="310"/>
      <c r="AT191" s="310"/>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310"/>
      <c r="BU191" s="310"/>
      <c r="BV191" s="310"/>
      <c r="BW191" s="310"/>
      <c r="BX191" s="310"/>
      <c r="BY191" s="310"/>
      <c r="BZ191" s="310"/>
      <c r="CA191" s="310"/>
      <c r="CB191" s="310"/>
      <c r="CC191" s="310"/>
      <c r="CD191" s="310"/>
      <c r="CE191" s="310"/>
      <c r="CF191" s="310"/>
      <c r="CG191" s="310"/>
      <c r="CH191" s="310"/>
      <c r="CI191" s="310"/>
      <c r="CJ191" s="310"/>
      <c r="CK191" s="310"/>
      <c r="CL191" s="310"/>
      <c r="CM191" s="310"/>
      <c r="CN191" s="310"/>
      <c r="CO191" s="310"/>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310"/>
      <c r="DV191" s="310"/>
      <c r="DW191" s="310"/>
      <c r="DX191" s="310"/>
      <c r="DY191" s="310"/>
      <c r="DZ191" s="310"/>
      <c r="EA191" s="310"/>
      <c r="EB191" s="310"/>
      <c r="EC191" s="310"/>
      <c r="ED191" s="310"/>
      <c r="EE191" s="310"/>
      <c r="EF191" s="310"/>
      <c r="EG191" s="310"/>
      <c r="EH191" s="310"/>
      <c r="EI191" s="310"/>
      <c r="EJ191" s="310"/>
      <c r="EK191" s="310"/>
      <c r="EL191" s="310"/>
      <c r="EM191" s="310"/>
      <c r="EN191" s="310"/>
      <c r="EO191" s="310"/>
      <c r="EP191" s="310"/>
      <c r="EQ191" s="310"/>
      <c r="ER191" s="310"/>
      <c r="ES191" s="310"/>
      <c r="ET191" s="310"/>
      <c r="EU191" s="310"/>
      <c r="EV191" s="310"/>
      <c r="EW191" s="310"/>
      <c r="EX191" s="310"/>
      <c r="EY191" s="310"/>
      <c r="EZ191" s="310"/>
      <c r="FA191" s="310"/>
      <c r="FB191" s="310"/>
      <c r="FC191" s="310"/>
      <c r="FD191" s="310"/>
      <c r="FE191" s="311"/>
      <c r="FF191" s="312"/>
    </row>
    <row r="192" spans="1:162" ht="12.75" x14ac:dyDescent="0.2">
      <c r="A192" s="446">
        <v>185</v>
      </c>
      <c r="B192" s="447" t="s">
        <v>253</v>
      </c>
      <c r="C192" s="448" t="s">
        <v>794</v>
      </c>
      <c r="D192" s="449" t="s">
        <v>1102</v>
      </c>
      <c r="E192" s="450" t="s">
        <v>731</v>
      </c>
      <c r="F192" s="451">
        <v>59010427</v>
      </c>
      <c r="G192" s="451">
        <v>0</v>
      </c>
      <c r="H192" s="451">
        <v>0</v>
      </c>
      <c r="I192" s="451">
        <v>59010427</v>
      </c>
      <c r="J192" s="451">
        <v>0</v>
      </c>
      <c r="K192" s="451">
        <v>0</v>
      </c>
      <c r="L192" s="451">
        <v>0</v>
      </c>
      <c r="M192" s="451">
        <v>0</v>
      </c>
      <c r="N192" s="451">
        <v>958694</v>
      </c>
      <c r="O192" s="451">
        <v>0</v>
      </c>
      <c r="P192" s="451">
        <v>0</v>
      </c>
      <c r="Q192" s="451">
        <v>958694</v>
      </c>
      <c r="R192" s="451">
        <v>1461426.52</v>
      </c>
      <c r="S192" s="451">
        <v>0</v>
      </c>
      <c r="T192" s="451">
        <v>0</v>
      </c>
      <c r="U192" s="451">
        <v>1461426.52</v>
      </c>
      <c r="V192" s="451">
        <v>2250087.83</v>
      </c>
      <c r="W192" s="451">
        <v>0</v>
      </c>
      <c r="X192" s="451">
        <v>0</v>
      </c>
      <c r="Y192" s="451">
        <v>2250087.83</v>
      </c>
      <c r="Z192" s="451">
        <v>54340219</v>
      </c>
      <c r="AA192" s="451">
        <v>0</v>
      </c>
      <c r="AB192" s="451">
        <v>0</v>
      </c>
      <c r="AC192" s="451">
        <v>54340219</v>
      </c>
      <c r="AD192" s="451">
        <v>4574</v>
      </c>
      <c r="AE192" s="451">
        <v>0</v>
      </c>
      <c r="AF192" s="451">
        <v>0</v>
      </c>
      <c r="AG192" s="451">
        <v>4574</v>
      </c>
      <c r="AH192" s="451">
        <v>0</v>
      </c>
      <c r="AI192" s="451">
        <v>0</v>
      </c>
      <c r="AJ192" s="451">
        <v>0</v>
      </c>
      <c r="AK192" s="451">
        <v>0</v>
      </c>
      <c r="AL192" s="451">
        <v>0</v>
      </c>
      <c r="AM192" s="451">
        <v>0</v>
      </c>
      <c r="AN192" s="451">
        <v>4574</v>
      </c>
      <c r="AO192" s="451">
        <v>5361769</v>
      </c>
      <c r="AP192" s="451">
        <v>872777.64</v>
      </c>
      <c r="AQ192" s="324"/>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310"/>
      <c r="BU192" s="310"/>
      <c r="BV192" s="310"/>
      <c r="BW192" s="310"/>
      <c r="BX192" s="310"/>
      <c r="BY192" s="310"/>
      <c r="BZ192" s="310"/>
      <c r="CA192" s="310"/>
      <c r="CB192" s="310"/>
      <c r="CC192" s="310"/>
      <c r="CD192" s="310"/>
      <c r="CE192" s="310"/>
      <c r="CF192" s="310"/>
      <c r="CG192" s="310"/>
      <c r="CH192" s="310"/>
      <c r="CI192" s="310"/>
      <c r="CJ192" s="310"/>
      <c r="CK192" s="310"/>
      <c r="CL192" s="310"/>
      <c r="CM192" s="310"/>
      <c r="CN192" s="310"/>
      <c r="CO192" s="310"/>
      <c r="CP192" s="310"/>
      <c r="CQ192" s="310"/>
      <c r="CR192" s="310"/>
      <c r="CS192" s="310"/>
      <c r="CT192" s="310"/>
      <c r="CU192" s="310"/>
      <c r="CV192" s="310"/>
      <c r="CW192" s="310"/>
      <c r="CX192" s="310"/>
      <c r="CY192" s="310"/>
      <c r="CZ192" s="310"/>
      <c r="DA192" s="310"/>
      <c r="DB192" s="310"/>
      <c r="DC192" s="310"/>
      <c r="DD192" s="310"/>
      <c r="DE192" s="310"/>
      <c r="DF192" s="310"/>
      <c r="DG192" s="310"/>
      <c r="DH192" s="310"/>
      <c r="DI192" s="310"/>
      <c r="DJ192" s="310"/>
      <c r="DK192" s="310"/>
      <c r="DL192" s="310"/>
      <c r="DM192" s="310"/>
      <c r="DN192" s="310"/>
      <c r="DO192" s="310"/>
      <c r="DP192" s="310"/>
      <c r="DQ192" s="310"/>
      <c r="DR192" s="310"/>
      <c r="DS192" s="310"/>
      <c r="DT192" s="310"/>
      <c r="DU192" s="310"/>
      <c r="DV192" s="310"/>
      <c r="DW192" s="310"/>
      <c r="DX192" s="310"/>
      <c r="DY192" s="310"/>
      <c r="DZ192" s="310"/>
      <c r="EA192" s="310"/>
      <c r="EB192" s="310"/>
      <c r="EC192" s="310"/>
      <c r="ED192" s="310"/>
      <c r="EE192" s="310"/>
      <c r="EF192" s="310"/>
      <c r="EG192" s="310"/>
      <c r="EH192" s="310"/>
      <c r="EI192" s="310"/>
      <c r="EJ192" s="310"/>
      <c r="EK192" s="310"/>
      <c r="EL192" s="310"/>
      <c r="EM192" s="310"/>
      <c r="EN192" s="310"/>
      <c r="EO192" s="310"/>
      <c r="EP192" s="310"/>
      <c r="EQ192" s="310"/>
      <c r="ER192" s="310"/>
      <c r="ES192" s="310"/>
      <c r="ET192" s="310"/>
      <c r="EU192" s="310"/>
      <c r="EV192" s="310"/>
      <c r="EW192" s="310"/>
      <c r="EX192" s="310"/>
      <c r="EY192" s="310"/>
      <c r="EZ192" s="310"/>
      <c r="FA192" s="310"/>
      <c r="FB192" s="310"/>
      <c r="FC192" s="310"/>
      <c r="FD192" s="310"/>
      <c r="FE192" s="311"/>
      <c r="FF192" s="312"/>
    </row>
    <row r="193" spans="1:162" ht="12.75" x14ac:dyDescent="0.2">
      <c r="A193" s="446">
        <v>186</v>
      </c>
      <c r="B193" s="447" t="s">
        <v>255</v>
      </c>
      <c r="C193" s="448" t="s">
        <v>1100</v>
      </c>
      <c r="D193" s="449" t="s">
        <v>1105</v>
      </c>
      <c r="E193" s="450" t="s">
        <v>254</v>
      </c>
      <c r="F193" s="451">
        <v>56516742</v>
      </c>
      <c r="G193" s="451">
        <v>0</v>
      </c>
      <c r="H193" s="451">
        <v>530732</v>
      </c>
      <c r="I193" s="451">
        <v>57047474</v>
      </c>
      <c r="J193" s="451">
        <v>48445</v>
      </c>
      <c r="K193" s="451">
        <v>0</v>
      </c>
      <c r="L193" s="451">
        <v>0</v>
      </c>
      <c r="M193" s="451">
        <v>48445</v>
      </c>
      <c r="N193" s="451">
        <v>734610</v>
      </c>
      <c r="O193" s="451">
        <v>0</v>
      </c>
      <c r="P193" s="451">
        <v>0</v>
      </c>
      <c r="Q193" s="451">
        <v>734610</v>
      </c>
      <c r="R193" s="451">
        <v>950791</v>
      </c>
      <c r="S193" s="451">
        <v>0</v>
      </c>
      <c r="T193" s="451">
        <v>0</v>
      </c>
      <c r="U193" s="451">
        <v>950791</v>
      </c>
      <c r="V193" s="451">
        <v>1901582</v>
      </c>
      <c r="W193" s="451">
        <v>0</v>
      </c>
      <c r="X193" s="451">
        <v>0</v>
      </c>
      <c r="Y193" s="451">
        <v>1901582</v>
      </c>
      <c r="Z193" s="451">
        <v>52881314</v>
      </c>
      <c r="AA193" s="451">
        <v>0</v>
      </c>
      <c r="AB193" s="451">
        <v>530732</v>
      </c>
      <c r="AC193" s="451">
        <v>53412046</v>
      </c>
      <c r="AD193" s="451">
        <v>0</v>
      </c>
      <c r="AE193" s="451">
        <v>0</v>
      </c>
      <c r="AF193" s="451">
        <v>0</v>
      </c>
      <c r="AG193" s="451">
        <v>0</v>
      </c>
      <c r="AH193" s="451">
        <v>0</v>
      </c>
      <c r="AI193" s="451">
        <v>0</v>
      </c>
      <c r="AJ193" s="451">
        <v>0</v>
      </c>
      <c r="AK193" s="451">
        <v>530732</v>
      </c>
      <c r="AL193" s="451">
        <v>0</v>
      </c>
      <c r="AM193" s="451">
        <v>0</v>
      </c>
      <c r="AN193" s="451">
        <v>0</v>
      </c>
      <c r="AO193" s="451">
        <v>5162513.6100000003</v>
      </c>
      <c r="AP193" s="451">
        <v>427545</v>
      </c>
      <c r="AQ193" s="324"/>
      <c r="AR193" s="310"/>
      <c r="AS193" s="310"/>
      <c r="AT193" s="310"/>
      <c r="AU193" s="310"/>
      <c r="AV193" s="310"/>
      <c r="AW193" s="310"/>
      <c r="AX193" s="310"/>
      <c r="AY193" s="310"/>
      <c r="AZ193" s="310"/>
      <c r="BA193" s="310"/>
      <c r="BB193" s="310"/>
      <c r="BC193" s="310"/>
      <c r="BD193" s="310"/>
      <c r="BE193" s="310"/>
      <c r="BF193" s="310"/>
      <c r="BG193" s="310"/>
      <c r="BH193" s="310"/>
      <c r="BI193" s="310"/>
      <c r="BJ193" s="310"/>
      <c r="BK193" s="310"/>
      <c r="BL193" s="310"/>
      <c r="BM193" s="310"/>
      <c r="BN193" s="310"/>
      <c r="BO193" s="310"/>
      <c r="BP193" s="310"/>
      <c r="BQ193" s="310"/>
      <c r="BR193" s="310"/>
      <c r="BS193" s="310"/>
      <c r="BT193" s="310"/>
      <c r="BU193" s="310"/>
      <c r="BV193" s="310"/>
      <c r="BW193" s="310"/>
      <c r="BX193" s="310"/>
      <c r="BY193" s="310"/>
      <c r="BZ193" s="310"/>
      <c r="CA193" s="310"/>
      <c r="CB193" s="310"/>
      <c r="CC193" s="310"/>
      <c r="CD193" s="310"/>
      <c r="CE193" s="310"/>
      <c r="CF193" s="310"/>
      <c r="CG193" s="310"/>
      <c r="CH193" s="310"/>
      <c r="CI193" s="310"/>
      <c r="CJ193" s="310"/>
      <c r="CK193" s="310"/>
      <c r="CL193" s="310"/>
      <c r="CM193" s="310"/>
      <c r="CN193" s="310"/>
      <c r="CO193" s="310"/>
      <c r="CP193" s="310"/>
      <c r="CQ193" s="310"/>
      <c r="CR193" s="310"/>
      <c r="CS193" s="310"/>
      <c r="CT193" s="310"/>
      <c r="CU193" s="310"/>
      <c r="CV193" s="310"/>
      <c r="CW193" s="310"/>
      <c r="CX193" s="310"/>
      <c r="CY193" s="310"/>
      <c r="CZ193" s="310"/>
      <c r="DA193" s="310"/>
      <c r="DB193" s="310"/>
      <c r="DC193" s="310"/>
      <c r="DD193" s="310"/>
      <c r="DE193" s="310"/>
      <c r="DF193" s="310"/>
      <c r="DG193" s="310"/>
      <c r="DH193" s="310"/>
      <c r="DI193" s="310"/>
      <c r="DJ193" s="310"/>
      <c r="DK193" s="310"/>
      <c r="DL193" s="310"/>
      <c r="DM193" s="310"/>
      <c r="DN193" s="310"/>
      <c r="DO193" s="310"/>
      <c r="DP193" s="310"/>
      <c r="DQ193" s="310"/>
      <c r="DR193" s="310"/>
      <c r="DS193" s="310"/>
      <c r="DT193" s="310"/>
      <c r="DU193" s="310"/>
      <c r="DV193" s="310"/>
      <c r="DW193" s="310"/>
      <c r="DX193" s="310"/>
      <c r="DY193" s="310"/>
      <c r="DZ193" s="310"/>
      <c r="EA193" s="310"/>
      <c r="EB193" s="310"/>
      <c r="EC193" s="310"/>
      <c r="ED193" s="310"/>
      <c r="EE193" s="310"/>
      <c r="EF193" s="310"/>
      <c r="EG193" s="310"/>
      <c r="EH193" s="310"/>
      <c r="EI193" s="310"/>
      <c r="EJ193" s="310"/>
      <c r="EK193" s="310"/>
      <c r="EL193" s="310"/>
      <c r="EM193" s="310"/>
      <c r="EN193" s="310"/>
      <c r="EO193" s="310"/>
      <c r="EP193" s="310"/>
      <c r="EQ193" s="310"/>
      <c r="ER193" s="310"/>
      <c r="ES193" s="310"/>
      <c r="ET193" s="310"/>
      <c r="EU193" s="310"/>
      <c r="EV193" s="310"/>
      <c r="EW193" s="310"/>
      <c r="EX193" s="310"/>
      <c r="EY193" s="310"/>
      <c r="EZ193" s="310"/>
      <c r="FA193" s="310"/>
      <c r="FB193" s="310"/>
      <c r="FC193" s="310"/>
      <c r="FD193" s="310"/>
      <c r="FE193" s="311"/>
      <c r="FF193" s="312"/>
    </row>
    <row r="194" spans="1:162" ht="12.75" x14ac:dyDescent="0.2">
      <c r="A194" s="446">
        <v>187</v>
      </c>
      <c r="B194" s="447" t="s">
        <v>257</v>
      </c>
      <c r="C194" s="448" t="s">
        <v>1093</v>
      </c>
      <c r="D194" s="449" t="s">
        <v>1103</v>
      </c>
      <c r="E194" s="450" t="s">
        <v>256</v>
      </c>
      <c r="F194" s="451">
        <v>40762010.399999999</v>
      </c>
      <c r="G194" s="451">
        <v>0</v>
      </c>
      <c r="H194" s="451">
        <v>0</v>
      </c>
      <c r="I194" s="451">
        <v>40762010.399999999</v>
      </c>
      <c r="J194" s="451">
        <v>81052</v>
      </c>
      <c r="K194" s="451">
        <v>0</v>
      </c>
      <c r="L194" s="451">
        <v>0</v>
      </c>
      <c r="M194" s="451">
        <v>81052</v>
      </c>
      <c r="N194" s="451">
        <v>81922</v>
      </c>
      <c r="O194" s="451">
        <v>0</v>
      </c>
      <c r="P194" s="451">
        <v>0</v>
      </c>
      <c r="Q194" s="451">
        <v>81922</v>
      </c>
      <c r="R194" s="451">
        <v>585260</v>
      </c>
      <c r="S194" s="451">
        <v>0</v>
      </c>
      <c r="T194" s="451">
        <v>0</v>
      </c>
      <c r="U194" s="451">
        <v>585260</v>
      </c>
      <c r="V194" s="451">
        <v>1526800</v>
      </c>
      <c r="W194" s="451">
        <v>0</v>
      </c>
      <c r="X194" s="451">
        <v>0</v>
      </c>
      <c r="Y194" s="451">
        <v>1526800</v>
      </c>
      <c r="Z194" s="451">
        <v>38486976</v>
      </c>
      <c r="AA194" s="451">
        <v>0</v>
      </c>
      <c r="AB194" s="451">
        <v>0</v>
      </c>
      <c r="AC194" s="451">
        <v>38486976</v>
      </c>
      <c r="AD194" s="451">
        <v>0</v>
      </c>
      <c r="AE194" s="451">
        <v>0</v>
      </c>
      <c r="AF194" s="451">
        <v>0</v>
      </c>
      <c r="AG194" s="451">
        <v>0</v>
      </c>
      <c r="AH194" s="451">
        <v>0</v>
      </c>
      <c r="AI194" s="451">
        <v>0</v>
      </c>
      <c r="AJ194" s="451">
        <v>0</v>
      </c>
      <c r="AK194" s="451">
        <v>0</v>
      </c>
      <c r="AL194" s="451">
        <v>0</v>
      </c>
      <c r="AM194" s="451">
        <v>0</v>
      </c>
      <c r="AN194" s="451">
        <v>0</v>
      </c>
      <c r="AO194" s="451">
        <v>814878</v>
      </c>
      <c r="AP194" s="451">
        <v>1304847.78</v>
      </c>
      <c r="AQ194" s="324"/>
      <c r="AR194" s="310"/>
      <c r="AS194" s="310"/>
      <c r="AT194" s="310"/>
      <c r="AU194" s="310"/>
      <c r="AV194" s="310"/>
      <c r="AW194" s="310"/>
      <c r="AX194" s="310"/>
      <c r="AY194" s="310"/>
      <c r="AZ194" s="310"/>
      <c r="BA194" s="310"/>
      <c r="BB194" s="310"/>
      <c r="BC194" s="310"/>
      <c r="BD194" s="310"/>
      <c r="BE194" s="310"/>
      <c r="BF194" s="310"/>
      <c r="BG194" s="310"/>
      <c r="BH194" s="310"/>
      <c r="BI194" s="310"/>
      <c r="BJ194" s="310"/>
      <c r="BK194" s="310"/>
      <c r="BL194" s="310"/>
      <c r="BM194" s="310"/>
      <c r="BN194" s="310"/>
      <c r="BO194" s="310"/>
      <c r="BP194" s="310"/>
      <c r="BQ194" s="310"/>
      <c r="BR194" s="310"/>
      <c r="BS194" s="310"/>
      <c r="BT194" s="310"/>
      <c r="BU194" s="310"/>
      <c r="BV194" s="310"/>
      <c r="BW194" s="310"/>
      <c r="BX194" s="310"/>
      <c r="BY194" s="310"/>
      <c r="BZ194" s="310"/>
      <c r="CA194" s="310"/>
      <c r="CB194" s="310"/>
      <c r="CC194" s="310"/>
      <c r="CD194" s="310"/>
      <c r="CE194" s="310"/>
      <c r="CF194" s="310"/>
      <c r="CG194" s="310"/>
      <c r="CH194" s="310"/>
      <c r="CI194" s="310"/>
      <c r="CJ194" s="310"/>
      <c r="CK194" s="310"/>
      <c r="CL194" s="310"/>
      <c r="CM194" s="310"/>
      <c r="CN194" s="310"/>
      <c r="CO194" s="310"/>
      <c r="CP194" s="310"/>
      <c r="CQ194" s="310"/>
      <c r="CR194" s="310"/>
      <c r="CS194" s="310"/>
      <c r="CT194" s="310"/>
      <c r="CU194" s="310"/>
      <c r="CV194" s="310"/>
      <c r="CW194" s="310"/>
      <c r="CX194" s="310"/>
      <c r="CY194" s="310"/>
      <c r="CZ194" s="310"/>
      <c r="DA194" s="310"/>
      <c r="DB194" s="310"/>
      <c r="DC194" s="310"/>
      <c r="DD194" s="310"/>
      <c r="DE194" s="310"/>
      <c r="DF194" s="310"/>
      <c r="DG194" s="310"/>
      <c r="DH194" s="310"/>
      <c r="DI194" s="310"/>
      <c r="DJ194" s="310"/>
      <c r="DK194" s="310"/>
      <c r="DL194" s="310"/>
      <c r="DM194" s="310"/>
      <c r="DN194" s="310"/>
      <c r="DO194" s="310"/>
      <c r="DP194" s="310"/>
      <c r="DQ194" s="310"/>
      <c r="DR194" s="310"/>
      <c r="DS194" s="310"/>
      <c r="DT194" s="310"/>
      <c r="DU194" s="310"/>
      <c r="DV194" s="310"/>
      <c r="DW194" s="310"/>
      <c r="DX194" s="310"/>
      <c r="DY194" s="310"/>
      <c r="DZ194" s="310"/>
      <c r="EA194" s="310"/>
      <c r="EB194" s="310"/>
      <c r="EC194" s="310"/>
      <c r="ED194" s="310"/>
      <c r="EE194" s="310"/>
      <c r="EF194" s="310"/>
      <c r="EG194" s="310"/>
      <c r="EH194" s="310"/>
      <c r="EI194" s="310"/>
      <c r="EJ194" s="310"/>
      <c r="EK194" s="310"/>
      <c r="EL194" s="310"/>
      <c r="EM194" s="310"/>
      <c r="EN194" s="310"/>
      <c r="EO194" s="310"/>
      <c r="EP194" s="310"/>
      <c r="EQ194" s="310"/>
      <c r="ER194" s="310"/>
      <c r="ES194" s="310"/>
      <c r="ET194" s="310"/>
      <c r="EU194" s="310"/>
      <c r="EV194" s="310"/>
      <c r="EW194" s="310"/>
      <c r="EX194" s="310"/>
      <c r="EY194" s="310"/>
      <c r="EZ194" s="310"/>
      <c r="FA194" s="310"/>
      <c r="FB194" s="310"/>
      <c r="FC194" s="310"/>
      <c r="FD194" s="310"/>
      <c r="FE194" s="311"/>
      <c r="FF194" s="312"/>
    </row>
    <row r="195" spans="1:162" ht="12.75" x14ac:dyDescent="0.2">
      <c r="A195" s="446">
        <v>188</v>
      </c>
      <c r="B195" s="447" t="s">
        <v>259</v>
      </c>
      <c r="C195" s="448" t="s">
        <v>1093</v>
      </c>
      <c r="D195" s="449" t="s">
        <v>1096</v>
      </c>
      <c r="E195" s="450" t="s">
        <v>258</v>
      </c>
      <c r="F195" s="451">
        <v>48590205.5</v>
      </c>
      <c r="G195" s="451">
        <v>0</v>
      </c>
      <c r="H195" s="451">
        <v>0</v>
      </c>
      <c r="I195" s="451">
        <v>48590205.5</v>
      </c>
      <c r="J195" s="451">
        <v>134734.56</v>
      </c>
      <c r="K195" s="451">
        <v>0</v>
      </c>
      <c r="L195" s="451">
        <v>0</v>
      </c>
      <c r="M195" s="451">
        <v>134734.56</v>
      </c>
      <c r="N195" s="451">
        <v>359251.34</v>
      </c>
      <c r="O195" s="451">
        <v>0</v>
      </c>
      <c r="P195" s="451">
        <v>0</v>
      </c>
      <c r="Q195" s="451">
        <v>359251.34</v>
      </c>
      <c r="R195" s="451">
        <v>890278.91</v>
      </c>
      <c r="S195" s="451">
        <v>0</v>
      </c>
      <c r="T195" s="451">
        <v>0</v>
      </c>
      <c r="U195" s="451">
        <v>890278.91</v>
      </c>
      <c r="V195" s="451">
        <v>2522390.04</v>
      </c>
      <c r="W195" s="451">
        <v>0</v>
      </c>
      <c r="X195" s="451">
        <v>0</v>
      </c>
      <c r="Y195" s="451">
        <v>2522390.04</v>
      </c>
      <c r="Z195" s="451">
        <v>44683551</v>
      </c>
      <c r="AA195" s="451">
        <v>0</v>
      </c>
      <c r="AB195" s="451">
        <v>0</v>
      </c>
      <c r="AC195" s="451">
        <v>44683551</v>
      </c>
      <c r="AD195" s="451">
        <v>0</v>
      </c>
      <c r="AE195" s="451">
        <v>0</v>
      </c>
      <c r="AF195" s="451">
        <v>0</v>
      </c>
      <c r="AG195" s="451">
        <v>0</v>
      </c>
      <c r="AH195" s="451">
        <v>0</v>
      </c>
      <c r="AI195" s="451">
        <v>0</v>
      </c>
      <c r="AJ195" s="451">
        <v>0</v>
      </c>
      <c r="AK195" s="451">
        <v>0</v>
      </c>
      <c r="AL195" s="451">
        <v>0</v>
      </c>
      <c r="AM195" s="451">
        <v>0</v>
      </c>
      <c r="AN195" s="451">
        <v>0</v>
      </c>
      <c r="AO195" s="451">
        <v>1645813.77</v>
      </c>
      <c r="AP195" s="451">
        <v>-1485210.2</v>
      </c>
      <c r="AQ195" s="324"/>
      <c r="AR195" s="310"/>
      <c r="AS195" s="310"/>
      <c r="AT195" s="310"/>
      <c r="AU195" s="310"/>
      <c r="AV195" s="310"/>
      <c r="AW195" s="310"/>
      <c r="AX195" s="310"/>
      <c r="AY195" s="310"/>
      <c r="AZ195" s="310"/>
      <c r="BA195" s="310"/>
      <c r="BB195" s="310"/>
      <c r="BC195" s="310"/>
      <c r="BD195" s="310"/>
      <c r="BE195" s="310"/>
      <c r="BF195" s="310"/>
      <c r="BG195" s="310"/>
      <c r="BH195" s="310"/>
      <c r="BI195" s="310"/>
      <c r="BJ195" s="310"/>
      <c r="BK195" s="310"/>
      <c r="BL195" s="310"/>
      <c r="BM195" s="310"/>
      <c r="BN195" s="310"/>
      <c r="BO195" s="310"/>
      <c r="BP195" s="310"/>
      <c r="BQ195" s="310"/>
      <c r="BR195" s="310"/>
      <c r="BS195" s="310"/>
      <c r="BT195" s="310"/>
      <c r="BU195" s="310"/>
      <c r="BV195" s="310"/>
      <c r="BW195" s="310"/>
      <c r="BX195" s="310"/>
      <c r="BY195" s="310"/>
      <c r="BZ195" s="310"/>
      <c r="CA195" s="310"/>
      <c r="CB195" s="310"/>
      <c r="CC195" s="310"/>
      <c r="CD195" s="310"/>
      <c r="CE195" s="310"/>
      <c r="CF195" s="310"/>
      <c r="CG195" s="310"/>
      <c r="CH195" s="310"/>
      <c r="CI195" s="310"/>
      <c r="CJ195" s="310"/>
      <c r="CK195" s="310"/>
      <c r="CL195" s="310"/>
      <c r="CM195" s="310"/>
      <c r="CN195" s="310"/>
      <c r="CO195" s="310"/>
      <c r="CP195" s="310"/>
      <c r="CQ195" s="310"/>
      <c r="CR195" s="310"/>
      <c r="CS195" s="310"/>
      <c r="CT195" s="310"/>
      <c r="CU195" s="310"/>
      <c r="CV195" s="310"/>
      <c r="CW195" s="310"/>
      <c r="CX195" s="310"/>
      <c r="CY195" s="310"/>
      <c r="CZ195" s="310"/>
      <c r="DA195" s="310"/>
      <c r="DB195" s="310"/>
      <c r="DC195" s="310"/>
      <c r="DD195" s="310"/>
      <c r="DE195" s="310"/>
      <c r="DF195" s="310"/>
      <c r="DG195" s="310"/>
      <c r="DH195" s="310"/>
      <c r="DI195" s="310"/>
      <c r="DJ195" s="310"/>
      <c r="DK195" s="310"/>
      <c r="DL195" s="310"/>
      <c r="DM195" s="310"/>
      <c r="DN195" s="310"/>
      <c r="DO195" s="310"/>
      <c r="DP195" s="310"/>
      <c r="DQ195" s="310"/>
      <c r="DR195" s="310"/>
      <c r="DS195" s="310"/>
      <c r="DT195" s="310"/>
      <c r="DU195" s="310"/>
      <c r="DV195" s="310"/>
      <c r="DW195" s="310"/>
      <c r="DX195" s="310"/>
      <c r="DY195" s="310"/>
      <c r="DZ195" s="310"/>
      <c r="EA195" s="310"/>
      <c r="EB195" s="310"/>
      <c r="EC195" s="310"/>
      <c r="ED195" s="310"/>
      <c r="EE195" s="310"/>
      <c r="EF195" s="310"/>
      <c r="EG195" s="310"/>
      <c r="EH195" s="310"/>
      <c r="EI195" s="310"/>
      <c r="EJ195" s="310"/>
      <c r="EK195" s="310"/>
      <c r="EL195" s="310"/>
      <c r="EM195" s="310"/>
      <c r="EN195" s="310"/>
      <c r="EO195" s="310"/>
      <c r="EP195" s="310"/>
      <c r="EQ195" s="310"/>
      <c r="ER195" s="310"/>
      <c r="ES195" s="310"/>
      <c r="ET195" s="310"/>
      <c r="EU195" s="310"/>
      <c r="EV195" s="310"/>
      <c r="EW195" s="310"/>
      <c r="EX195" s="310"/>
      <c r="EY195" s="310"/>
      <c r="EZ195" s="310"/>
      <c r="FA195" s="310"/>
      <c r="FB195" s="310"/>
      <c r="FC195" s="310"/>
      <c r="FD195" s="310"/>
      <c r="FE195" s="311"/>
      <c r="FF195" s="312"/>
    </row>
    <row r="196" spans="1:162" ht="12.75" x14ac:dyDescent="0.2">
      <c r="A196" s="446">
        <v>189</v>
      </c>
      <c r="B196" s="447" t="s">
        <v>261</v>
      </c>
      <c r="C196" s="448" t="s">
        <v>1093</v>
      </c>
      <c r="D196" s="449" t="s">
        <v>1096</v>
      </c>
      <c r="E196" s="450" t="s">
        <v>260</v>
      </c>
      <c r="F196" s="451">
        <v>94373265.299999997</v>
      </c>
      <c r="G196" s="451">
        <v>0</v>
      </c>
      <c r="H196" s="451">
        <v>3920786.34</v>
      </c>
      <c r="I196" s="451">
        <v>98294051.599999994</v>
      </c>
      <c r="J196" s="451">
        <v>633440.94999999995</v>
      </c>
      <c r="K196" s="451">
        <v>0</v>
      </c>
      <c r="L196" s="451">
        <v>25686</v>
      </c>
      <c r="M196" s="451">
        <v>659126.94999999995</v>
      </c>
      <c r="N196" s="451">
        <v>230364.73</v>
      </c>
      <c r="O196" s="451">
        <v>0</v>
      </c>
      <c r="P196" s="451">
        <v>0</v>
      </c>
      <c r="Q196" s="451">
        <v>230364.73</v>
      </c>
      <c r="R196" s="451">
        <v>11121.21</v>
      </c>
      <c r="S196" s="451">
        <v>0</v>
      </c>
      <c r="T196" s="451">
        <v>0</v>
      </c>
      <c r="U196" s="451">
        <v>11121.21</v>
      </c>
      <c r="V196" s="451">
        <v>2955399.02</v>
      </c>
      <c r="W196" s="451">
        <v>0</v>
      </c>
      <c r="X196" s="451">
        <v>2685.26</v>
      </c>
      <c r="Y196" s="451">
        <v>2958084.28</v>
      </c>
      <c r="Z196" s="451">
        <v>90542939</v>
      </c>
      <c r="AA196" s="451">
        <v>0</v>
      </c>
      <c r="AB196" s="451">
        <v>3892415</v>
      </c>
      <c r="AC196" s="451">
        <v>94435354</v>
      </c>
      <c r="AD196" s="451">
        <v>0</v>
      </c>
      <c r="AE196" s="451">
        <v>0</v>
      </c>
      <c r="AF196" s="451">
        <v>0</v>
      </c>
      <c r="AG196" s="451">
        <v>0</v>
      </c>
      <c r="AH196" s="451">
        <v>0</v>
      </c>
      <c r="AI196" s="451">
        <v>-76886.22</v>
      </c>
      <c r="AJ196" s="451">
        <v>0</v>
      </c>
      <c r="AK196" s="451">
        <v>3279668</v>
      </c>
      <c r="AL196" s="451">
        <v>0</v>
      </c>
      <c r="AM196" s="451">
        <v>535860.78</v>
      </c>
      <c r="AN196" s="451">
        <v>0</v>
      </c>
      <c r="AO196" s="451">
        <v>1907458.06</v>
      </c>
      <c r="AP196" s="451">
        <v>1790209</v>
      </c>
      <c r="AQ196" s="324"/>
      <c r="AR196" s="310"/>
      <c r="AS196" s="310"/>
      <c r="AT196" s="310"/>
      <c r="AU196" s="310"/>
      <c r="AV196" s="310"/>
      <c r="AW196" s="310"/>
      <c r="AX196" s="310"/>
      <c r="AY196" s="310"/>
      <c r="AZ196" s="310"/>
      <c r="BA196" s="310"/>
      <c r="BB196" s="310"/>
      <c r="BC196" s="310"/>
      <c r="BD196" s="310"/>
      <c r="BE196" s="310"/>
      <c r="BF196" s="310"/>
      <c r="BG196" s="310"/>
      <c r="BH196" s="310"/>
      <c r="BI196" s="310"/>
      <c r="BJ196" s="310"/>
      <c r="BK196" s="310"/>
      <c r="BL196" s="310"/>
      <c r="BM196" s="310"/>
      <c r="BN196" s="310"/>
      <c r="BO196" s="310"/>
      <c r="BP196" s="310"/>
      <c r="BQ196" s="310"/>
      <c r="BR196" s="310"/>
      <c r="BS196" s="310"/>
      <c r="BT196" s="310"/>
      <c r="BU196" s="310"/>
      <c r="BV196" s="310"/>
      <c r="BW196" s="310"/>
      <c r="BX196" s="310"/>
      <c r="BY196" s="310"/>
      <c r="BZ196" s="310"/>
      <c r="CA196" s="310"/>
      <c r="CB196" s="310"/>
      <c r="CC196" s="310"/>
      <c r="CD196" s="310"/>
      <c r="CE196" s="310"/>
      <c r="CF196" s="310"/>
      <c r="CG196" s="310"/>
      <c r="CH196" s="310"/>
      <c r="CI196" s="310"/>
      <c r="CJ196" s="310"/>
      <c r="CK196" s="310"/>
      <c r="CL196" s="310"/>
      <c r="CM196" s="310"/>
      <c r="CN196" s="310"/>
      <c r="CO196" s="310"/>
      <c r="CP196" s="310"/>
      <c r="CQ196" s="310"/>
      <c r="CR196" s="310"/>
      <c r="CS196" s="310"/>
      <c r="CT196" s="310"/>
      <c r="CU196" s="310"/>
      <c r="CV196" s="310"/>
      <c r="CW196" s="310"/>
      <c r="CX196" s="310"/>
      <c r="CY196" s="310"/>
      <c r="CZ196" s="310"/>
      <c r="DA196" s="310"/>
      <c r="DB196" s="310"/>
      <c r="DC196" s="310"/>
      <c r="DD196" s="310"/>
      <c r="DE196" s="310"/>
      <c r="DF196" s="310"/>
      <c r="DG196" s="310"/>
      <c r="DH196" s="310"/>
      <c r="DI196" s="310"/>
      <c r="DJ196" s="310"/>
      <c r="DK196" s="310"/>
      <c r="DL196" s="310"/>
      <c r="DM196" s="310"/>
      <c r="DN196" s="310"/>
      <c r="DO196" s="310"/>
      <c r="DP196" s="310"/>
      <c r="DQ196" s="310"/>
      <c r="DR196" s="310"/>
      <c r="DS196" s="310"/>
      <c r="DT196" s="310"/>
      <c r="DU196" s="310"/>
      <c r="DV196" s="310"/>
      <c r="DW196" s="310"/>
      <c r="DX196" s="310"/>
      <c r="DY196" s="310"/>
      <c r="DZ196" s="310"/>
      <c r="EA196" s="310"/>
      <c r="EB196" s="310"/>
      <c r="EC196" s="310"/>
      <c r="ED196" s="310"/>
      <c r="EE196" s="310"/>
      <c r="EF196" s="310"/>
      <c r="EG196" s="310"/>
      <c r="EH196" s="310"/>
      <c r="EI196" s="310"/>
      <c r="EJ196" s="310"/>
      <c r="EK196" s="310"/>
      <c r="EL196" s="310"/>
      <c r="EM196" s="310"/>
      <c r="EN196" s="310"/>
      <c r="EO196" s="310"/>
      <c r="EP196" s="310"/>
      <c r="EQ196" s="310"/>
      <c r="ER196" s="310"/>
      <c r="ES196" s="310"/>
      <c r="ET196" s="310"/>
      <c r="EU196" s="310"/>
      <c r="EV196" s="310"/>
      <c r="EW196" s="310"/>
      <c r="EX196" s="310"/>
      <c r="EY196" s="310"/>
      <c r="EZ196" s="310"/>
      <c r="FA196" s="310"/>
      <c r="FB196" s="310"/>
      <c r="FC196" s="310"/>
      <c r="FD196" s="310"/>
      <c r="FE196" s="311"/>
      <c r="FF196" s="312"/>
    </row>
    <row r="197" spans="1:162" ht="12.75" x14ac:dyDescent="0.2">
      <c r="A197" s="446">
        <v>190</v>
      </c>
      <c r="B197" s="447" t="s">
        <v>263</v>
      </c>
      <c r="C197" s="448" t="s">
        <v>794</v>
      </c>
      <c r="D197" s="449" t="s">
        <v>1105</v>
      </c>
      <c r="E197" s="450" t="s">
        <v>262</v>
      </c>
      <c r="F197" s="451">
        <v>75535510.099999994</v>
      </c>
      <c r="G197" s="451">
        <v>0</v>
      </c>
      <c r="H197" s="451">
        <v>10470.719999999999</v>
      </c>
      <c r="I197" s="451">
        <v>75545980.799999997</v>
      </c>
      <c r="J197" s="451">
        <v>1038190.98</v>
      </c>
      <c r="K197" s="451">
        <v>0</v>
      </c>
      <c r="L197" s="451">
        <v>0</v>
      </c>
      <c r="M197" s="451">
        <v>1038190.98</v>
      </c>
      <c r="N197" s="451">
        <v>343568.52</v>
      </c>
      <c r="O197" s="451">
        <v>0</v>
      </c>
      <c r="P197" s="451">
        <v>0</v>
      </c>
      <c r="Q197" s="451">
        <v>343568.52</v>
      </c>
      <c r="R197" s="451">
        <v>1543180</v>
      </c>
      <c r="S197" s="451">
        <v>0</v>
      </c>
      <c r="T197" s="451">
        <v>0</v>
      </c>
      <c r="U197" s="451">
        <v>1543180</v>
      </c>
      <c r="V197" s="451">
        <v>3723063</v>
      </c>
      <c r="W197" s="451">
        <v>0</v>
      </c>
      <c r="X197" s="451">
        <v>0</v>
      </c>
      <c r="Y197" s="451">
        <v>3723063</v>
      </c>
      <c r="Z197" s="451">
        <v>68887508</v>
      </c>
      <c r="AA197" s="451">
        <v>0</v>
      </c>
      <c r="AB197" s="451">
        <v>10471</v>
      </c>
      <c r="AC197" s="451">
        <v>68897979</v>
      </c>
      <c r="AD197" s="451">
        <v>390529.97</v>
      </c>
      <c r="AE197" s="451">
        <v>0</v>
      </c>
      <c r="AF197" s="451">
        <v>0</v>
      </c>
      <c r="AG197" s="451">
        <v>390529.97</v>
      </c>
      <c r="AH197" s="451">
        <v>0</v>
      </c>
      <c r="AI197" s="451">
        <v>0</v>
      </c>
      <c r="AJ197" s="451">
        <v>0</v>
      </c>
      <c r="AK197" s="451">
        <v>11402</v>
      </c>
      <c r="AL197" s="451">
        <v>0</v>
      </c>
      <c r="AM197" s="451">
        <v>0</v>
      </c>
      <c r="AN197" s="451">
        <v>390529.97</v>
      </c>
      <c r="AO197" s="451">
        <v>3372058</v>
      </c>
      <c r="AP197" s="451">
        <v>-212680</v>
      </c>
      <c r="AQ197" s="324"/>
      <c r="AR197" s="310"/>
      <c r="AS197" s="310"/>
      <c r="AT197" s="310"/>
      <c r="AU197" s="310"/>
      <c r="AV197" s="310"/>
      <c r="AW197" s="310"/>
      <c r="AX197" s="310"/>
      <c r="AY197" s="310"/>
      <c r="AZ197" s="310"/>
      <c r="BA197" s="310"/>
      <c r="BB197" s="310"/>
      <c r="BC197" s="310"/>
      <c r="BD197" s="310"/>
      <c r="BE197" s="310"/>
      <c r="BF197" s="310"/>
      <c r="BG197" s="310"/>
      <c r="BH197" s="310"/>
      <c r="BI197" s="310"/>
      <c r="BJ197" s="310"/>
      <c r="BK197" s="310"/>
      <c r="BL197" s="310"/>
      <c r="BM197" s="310"/>
      <c r="BN197" s="310"/>
      <c r="BO197" s="310"/>
      <c r="BP197" s="310"/>
      <c r="BQ197" s="310"/>
      <c r="BR197" s="310"/>
      <c r="BS197" s="310"/>
      <c r="BT197" s="310"/>
      <c r="BU197" s="310"/>
      <c r="BV197" s="310"/>
      <c r="BW197" s="310"/>
      <c r="BX197" s="310"/>
      <c r="BY197" s="310"/>
      <c r="BZ197" s="310"/>
      <c r="CA197" s="310"/>
      <c r="CB197" s="310"/>
      <c r="CC197" s="310"/>
      <c r="CD197" s="310"/>
      <c r="CE197" s="310"/>
      <c r="CF197" s="310"/>
      <c r="CG197" s="310"/>
      <c r="CH197" s="310"/>
      <c r="CI197" s="310"/>
      <c r="CJ197" s="310"/>
      <c r="CK197" s="310"/>
      <c r="CL197" s="310"/>
      <c r="CM197" s="310"/>
      <c r="CN197" s="310"/>
      <c r="CO197" s="310"/>
      <c r="CP197" s="310"/>
      <c r="CQ197" s="310"/>
      <c r="CR197" s="310"/>
      <c r="CS197" s="310"/>
      <c r="CT197" s="310"/>
      <c r="CU197" s="310"/>
      <c r="CV197" s="310"/>
      <c r="CW197" s="310"/>
      <c r="CX197" s="310"/>
      <c r="CY197" s="310"/>
      <c r="CZ197" s="310"/>
      <c r="DA197" s="310"/>
      <c r="DB197" s="310"/>
      <c r="DC197" s="310"/>
      <c r="DD197" s="310"/>
      <c r="DE197" s="310"/>
      <c r="DF197" s="310"/>
      <c r="DG197" s="310"/>
      <c r="DH197" s="310"/>
      <c r="DI197" s="310"/>
      <c r="DJ197" s="310"/>
      <c r="DK197" s="310"/>
      <c r="DL197" s="310"/>
      <c r="DM197" s="310"/>
      <c r="DN197" s="310"/>
      <c r="DO197" s="310"/>
      <c r="DP197" s="310"/>
      <c r="DQ197" s="310"/>
      <c r="DR197" s="310"/>
      <c r="DS197" s="310"/>
      <c r="DT197" s="310"/>
      <c r="DU197" s="310"/>
      <c r="DV197" s="310"/>
      <c r="DW197" s="310"/>
      <c r="DX197" s="310"/>
      <c r="DY197" s="310"/>
      <c r="DZ197" s="310"/>
      <c r="EA197" s="310"/>
      <c r="EB197" s="310"/>
      <c r="EC197" s="310"/>
      <c r="ED197" s="310"/>
      <c r="EE197" s="310"/>
      <c r="EF197" s="310"/>
      <c r="EG197" s="310"/>
      <c r="EH197" s="310"/>
      <c r="EI197" s="310"/>
      <c r="EJ197" s="310"/>
      <c r="EK197" s="310"/>
      <c r="EL197" s="310"/>
      <c r="EM197" s="310"/>
      <c r="EN197" s="310"/>
      <c r="EO197" s="310"/>
      <c r="EP197" s="310"/>
      <c r="EQ197" s="310"/>
      <c r="ER197" s="310"/>
      <c r="ES197" s="310"/>
      <c r="ET197" s="310"/>
      <c r="EU197" s="310"/>
      <c r="EV197" s="310"/>
      <c r="EW197" s="310"/>
      <c r="EX197" s="310"/>
      <c r="EY197" s="310"/>
      <c r="EZ197" s="310"/>
      <c r="FA197" s="310"/>
      <c r="FB197" s="310"/>
      <c r="FC197" s="310"/>
      <c r="FD197" s="310"/>
      <c r="FE197" s="311"/>
      <c r="FF197" s="312"/>
    </row>
    <row r="198" spans="1:162" ht="12.75" x14ac:dyDescent="0.2">
      <c r="A198" s="446">
        <v>191</v>
      </c>
      <c r="B198" s="447" t="s">
        <v>265</v>
      </c>
      <c r="C198" s="448" t="s">
        <v>1093</v>
      </c>
      <c r="D198" s="449" t="s">
        <v>1097</v>
      </c>
      <c r="E198" s="450" t="s">
        <v>264</v>
      </c>
      <c r="F198" s="451">
        <v>77482390</v>
      </c>
      <c r="G198" s="451">
        <v>0</v>
      </c>
      <c r="H198" s="451">
        <v>0</v>
      </c>
      <c r="I198" s="451">
        <v>77482390</v>
      </c>
      <c r="J198" s="451">
        <v>715792</v>
      </c>
      <c r="K198" s="451">
        <v>0</v>
      </c>
      <c r="L198" s="451">
        <v>0</v>
      </c>
      <c r="M198" s="451">
        <v>715792</v>
      </c>
      <c r="N198" s="451">
        <v>678946</v>
      </c>
      <c r="O198" s="451">
        <v>0</v>
      </c>
      <c r="P198" s="451">
        <v>0</v>
      </c>
      <c r="Q198" s="451">
        <v>678946</v>
      </c>
      <c r="R198" s="451">
        <v>476008</v>
      </c>
      <c r="S198" s="451">
        <v>0</v>
      </c>
      <c r="T198" s="451">
        <v>0</v>
      </c>
      <c r="U198" s="451">
        <v>476008</v>
      </c>
      <c r="V198" s="451">
        <v>389815</v>
      </c>
      <c r="W198" s="451">
        <v>0</v>
      </c>
      <c r="X198" s="451">
        <v>0</v>
      </c>
      <c r="Y198" s="451">
        <v>389815</v>
      </c>
      <c r="Z198" s="451">
        <v>75221829</v>
      </c>
      <c r="AA198" s="451">
        <v>0</v>
      </c>
      <c r="AB198" s="451">
        <v>0</v>
      </c>
      <c r="AC198" s="451">
        <v>75221829</v>
      </c>
      <c r="AD198" s="451">
        <v>0</v>
      </c>
      <c r="AE198" s="451">
        <v>0</v>
      </c>
      <c r="AF198" s="451">
        <v>0</v>
      </c>
      <c r="AG198" s="451">
        <v>0</v>
      </c>
      <c r="AH198" s="451">
        <v>0</v>
      </c>
      <c r="AI198" s="451">
        <v>0</v>
      </c>
      <c r="AJ198" s="451">
        <v>0</v>
      </c>
      <c r="AK198" s="451">
        <v>0</v>
      </c>
      <c r="AL198" s="451">
        <v>0</v>
      </c>
      <c r="AM198" s="451">
        <v>0</v>
      </c>
      <c r="AN198" s="451">
        <v>0</v>
      </c>
      <c r="AO198" s="451">
        <v>4153799</v>
      </c>
      <c r="AP198" s="451">
        <v>883880</v>
      </c>
      <c r="AQ198" s="324"/>
      <c r="AR198" s="310"/>
      <c r="AS198" s="310"/>
      <c r="AT198" s="310"/>
      <c r="AU198" s="310"/>
      <c r="AV198" s="310"/>
      <c r="AW198" s="310"/>
      <c r="AX198" s="310"/>
      <c r="AY198" s="310"/>
      <c r="AZ198" s="310"/>
      <c r="BA198" s="310"/>
      <c r="BB198" s="310"/>
      <c r="BC198" s="310"/>
      <c r="BD198" s="310"/>
      <c r="BE198" s="310"/>
      <c r="BF198" s="310"/>
      <c r="BG198" s="310"/>
      <c r="BH198" s="310"/>
      <c r="BI198" s="310"/>
      <c r="BJ198" s="310"/>
      <c r="BK198" s="310"/>
      <c r="BL198" s="310"/>
      <c r="BM198" s="310"/>
      <c r="BN198" s="310"/>
      <c r="BO198" s="310"/>
      <c r="BP198" s="310"/>
      <c r="BQ198" s="310"/>
      <c r="BR198" s="310"/>
      <c r="BS198" s="310"/>
      <c r="BT198" s="310"/>
      <c r="BU198" s="310"/>
      <c r="BV198" s="310"/>
      <c r="BW198" s="310"/>
      <c r="BX198" s="310"/>
      <c r="BY198" s="310"/>
      <c r="BZ198" s="310"/>
      <c r="CA198" s="310"/>
      <c r="CB198" s="310"/>
      <c r="CC198" s="310"/>
      <c r="CD198" s="310"/>
      <c r="CE198" s="310"/>
      <c r="CF198" s="310"/>
      <c r="CG198" s="310"/>
      <c r="CH198" s="310"/>
      <c r="CI198" s="310"/>
      <c r="CJ198" s="310"/>
      <c r="CK198" s="310"/>
      <c r="CL198" s="310"/>
      <c r="CM198" s="310"/>
      <c r="CN198" s="310"/>
      <c r="CO198" s="310"/>
      <c r="CP198" s="310"/>
      <c r="CQ198" s="310"/>
      <c r="CR198" s="310"/>
      <c r="CS198" s="310"/>
      <c r="CT198" s="310"/>
      <c r="CU198" s="310"/>
      <c r="CV198" s="310"/>
      <c r="CW198" s="310"/>
      <c r="CX198" s="310"/>
      <c r="CY198" s="310"/>
      <c r="CZ198" s="310"/>
      <c r="DA198" s="310"/>
      <c r="DB198" s="310"/>
      <c r="DC198" s="310"/>
      <c r="DD198" s="310"/>
      <c r="DE198" s="310"/>
      <c r="DF198" s="310"/>
      <c r="DG198" s="310"/>
      <c r="DH198" s="310"/>
      <c r="DI198" s="310"/>
      <c r="DJ198" s="310"/>
      <c r="DK198" s="310"/>
      <c r="DL198" s="310"/>
      <c r="DM198" s="310"/>
      <c r="DN198" s="310"/>
      <c r="DO198" s="310"/>
      <c r="DP198" s="310"/>
      <c r="DQ198" s="310"/>
      <c r="DR198" s="310"/>
      <c r="DS198" s="310"/>
      <c r="DT198" s="310"/>
      <c r="DU198" s="310"/>
      <c r="DV198" s="310"/>
      <c r="DW198" s="310"/>
      <c r="DX198" s="310"/>
      <c r="DY198" s="310"/>
      <c r="DZ198" s="310"/>
      <c r="EA198" s="310"/>
      <c r="EB198" s="310"/>
      <c r="EC198" s="310"/>
      <c r="ED198" s="310"/>
      <c r="EE198" s="310"/>
      <c r="EF198" s="310"/>
      <c r="EG198" s="310"/>
      <c r="EH198" s="310"/>
      <c r="EI198" s="310"/>
      <c r="EJ198" s="310"/>
      <c r="EK198" s="310"/>
      <c r="EL198" s="310"/>
      <c r="EM198" s="310"/>
      <c r="EN198" s="310"/>
      <c r="EO198" s="310"/>
      <c r="EP198" s="310"/>
      <c r="EQ198" s="310"/>
      <c r="ER198" s="310"/>
      <c r="ES198" s="310"/>
      <c r="ET198" s="310"/>
      <c r="EU198" s="310"/>
      <c r="EV198" s="310"/>
      <c r="EW198" s="310"/>
      <c r="EX198" s="310"/>
      <c r="EY198" s="310"/>
      <c r="EZ198" s="310"/>
      <c r="FA198" s="310"/>
      <c r="FB198" s="310"/>
      <c r="FC198" s="310"/>
      <c r="FD198" s="310"/>
      <c r="FE198" s="311"/>
      <c r="FF198" s="312"/>
    </row>
    <row r="199" spans="1:162" ht="12.75" x14ac:dyDescent="0.2">
      <c r="A199" s="446">
        <v>192</v>
      </c>
      <c r="B199" s="447" t="s">
        <v>267</v>
      </c>
      <c r="C199" s="448" t="s">
        <v>794</v>
      </c>
      <c r="D199" s="449" t="s">
        <v>1096</v>
      </c>
      <c r="E199" s="450" t="s">
        <v>732</v>
      </c>
      <c r="F199" s="451">
        <v>117979318</v>
      </c>
      <c r="G199" s="451">
        <v>5237731</v>
      </c>
      <c r="H199" s="451">
        <v>3937512</v>
      </c>
      <c r="I199" s="451">
        <v>127154561</v>
      </c>
      <c r="J199" s="451">
        <v>2535221</v>
      </c>
      <c r="K199" s="451">
        <v>1070</v>
      </c>
      <c r="L199" s="451">
        <v>0</v>
      </c>
      <c r="M199" s="451">
        <v>2536291</v>
      </c>
      <c r="N199" s="451">
        <v>65808</v>
      </c>
      <c r="O199" s="451">
        <v>2742</v>
      </c>
      <c r="P199" s="451">
        <v>0</v>
      </c>
      <c r="Q199" s="451">
        <v>68550</v>
      </c>
      <c r="R199" s="451">
        <v>2319869</v>
      </c>
      <c r="S199" s="451">
        <v>71749</v>
      </c>
      <c r="T199" s="451">
        <v>0</v>
      </c>
      <c r="U199" s="451">
        <v>2391618</v>
      </c>
      <c r="V199" s="451">
        <v>6427665</v>
      </c>
      <c r="W199" s="451">
        <v>198794</v>
      </c>
      <c r="X199" s="451">
        <v>0</v>
      </c>
      <c r="Y199" s="451">
        <v>6626459</v>
      </c>
      <c r="Z199" s="451">
        <v>106630755</v>
      </c>
      <c r="AA199" s="451">
        <v>4963376</v>
      </c>
      <c r="AB199" s="451">
        <v>3937512</v>
      </c>
      <c r="AC199" s="451">
        <v>115531643</v>
      </c>
      <c r="AD199" s="451">
        <v>0</v>
      </c>
      <c r="AE199" s="451">
        <v>0</v>
      </c>
      <c r="AF199" s="451">
        <v>0</v>
      </c>
      <c r="AG199" s="451">
        <v>0</v>
      </c>
      <c r="AH199" s="451">
        <v>-34628</v>
      </c>
      <c r="AI199" s="451">
        <v>-881</v>
      </c>
      <c r="AJ199" s="451">
        <v>5636338</v>
      </c>
      <c r="AK199" s="451">
        <v>3949656</v>
      </c>
      <c r="AL199" s="451">
        <v>0</v>
      </c>
      <c r="AM199" s="451">
        <v>0</v>
      </c>
      <c r="AN199" s="451">
        <v>0</v>
      </c>
      <c r="AO199" s="451">
        <v>10148160</v>
      </c>
      <c r="AP199" s="451">
        <v>3833870</v>
      </c>
      <c r="AQ199" s="324"/>
      <c r="AR199" s="310"/>
      <c r="AS199" s="310"/>
      <c r="AT199" s="310"/>
      <c r="AU199" s="310"/>
      <c r="AV199" s="310"/>
      <c r="AW199" s="310"/>
      <c r="AX199" s="310"/>
      <c r="AY199" s="310"/>
      <c r="AZ199" s="310"/>
      <c r="BA199" s="310"/>
      <c r="BB199" s="310"/>
      <c r="BC199" s="310"/>
      <c r="BD199" s="310"/>
      <c r="BE199" s="310"/>
      <c r="BF199" s="310"/>
      <c r="BG199" s="310"/>
      <c r="BH199" s="310"/>
      <c r="BI199" s="310"/>
      <c r="BJ199" s="310"/>
      <c r="BK199" s="310"/>
      <c r="BL199" s="310"/>
      <c r="BM199" s="310"/>
      <c r="BN199" s="310"/>
      <c r="BO199" s="310"/>
      <c r="BP199" s="310"/>
      <c r="BQ199" s="310"/>
      <c r="BR199" s="310"/>
      <c r="BS199" s="310"/>
      <c r="BT199" s="310"/>
      <c r="BU199" s="310"/>
      <c r="BV199" s="310"/>
      <c r="BW199" s="310"/>
      <c r="BX199" s="310"/>
      <c r="BY199" s="310"/>
      <c r="BZ199" s="310"/>
      <c r="CA199" s="310"/>
      <c r="CB199" s="310"/>
      <c r="CC199" s="310"/>
      <c r="CD199" s="310"/>
      <c r="CE199" s="310"/>
      <c r="CF199" s="310"/>
      <c r="CG199" s="310"/>
      <c r="CH199" s="310"/>
      <c r="CI199" s="310"/>
      <c r="CJ199" s="310"/>
      <c r="CK199" s="310"/>
      <c r="CL199" s="310"/>
      <c r="CM199" s="310"/>
      <c r="CN199" s="310"/>
      <c r="CO199" s="310"/>
      <c r="CP199" s="310"/>
      <c r="CQ199" s="310"/>
      <c r="CR199" s="310"/>
      <c r="CS199" s="310"/>
      <c r="CT199" s="310"/>
      <c r="CU199" s="310"/>
      <c r="CV199" s="310"/>
      <c r="CW199" s="310"/>
      <c r="CX199" s="310"/>
      <c r="CY199" s="310"/>
      <c r="CZ199" s="310"/>
      <c r="DA199" s="310"/>
      <c r="DB199" s="310"/>
      <c r="DC199" s="310"/>
      <c r="DD199" s="310"/>
      <c r="DE199" s="310"/>
      <c r="DF199" s="310"/>
      <c r="DG199" s="310"/>
      <c r="DH199" s="310"/>
      <c r="DI199" s="310"/>
      <c r="DJ199" s="310"/>
      <c r="DK199" s="310"/>
      <c r="DL199" s="310"/>
      <c r="DM199" s="310"/>
      <c r="DN199" s="310"/>
      <c r="DO199" s="310"/>
      <c r="DP199" s="310"/>
      <c r="DQ199" s="310"/>
      <c r="DR199" s="310"/>
      <c r="DS199" s="310"/>
      <c r="DT199" s="310"/>
      <c r="DU199" s="310"/>
      <c r="DV199" s="310"/>
      <c r="DW199" s="310"/>
      <c r="DX199" s="310"/>
      <c r="DY199" s="310"/>
      <c r="DZ199" s="310"/>
      <c r="EA199" s="310"/>
      <c r="EB199" s="310"/>
      <c r="EC199" s="310"/>
      <c r="ED199" s="310"/>
      <c r="EE199" s="310"/>
      <c r="EF199" s="310"/>
      <c r="EG199" s="310"/>
      <c r="EH199" s="310"/>
      <c r="EI199" s="310"/>
      <c r="EJ199" s="310"/>
      <c r="EK199" s="310"/>
      <c r="EL199" s="310"/>
      <c r="EM199" s="310"/>
      <c r="EN199" s="310"/>
      <c r="EO199" s="310"/>
      <c r="EP199" s="310"/>
      <c r="EQ199" s="310"/>
      <c r="ER199" s="310"/>
      <c r="ES199" s="310"/>
      <c r="ET199" s="310"/>
      <c r="EU199" s="310"/>
      <c r="EV199" s="310"/>
      <c r="EW199" s="310"/>
      <c r="EX199" s="310"/>
      <c r="EY199" s="310"/>
      <c r="EZ199" s="310"/>
      <c r="FA199" s="310"/>
      <c r="FB199" s="310"/>
      <c r="FC199" s="310"/>
      <c r="FD199" s="310"/>
      <c r="FE199" s="311"/>
      <c r="FF199" s="312"/>
    </row>
    <row r="200" spans="1:162" ht="12.75" x14ac:dyDescent="0.2">
      <c r="A200" s="446">
        <v>193</v>
      </c>
      <c r="B200" s="447" t="s">
        <v>269</v>
      </c>
      <c r="C200" s="448" t="s">
        <v>1093</v>
      </c>
      <c r="D200" s="449" t="s">
        <v>1103</v>
      </c>
      <c r="E200" s="450" t="s">
        <v>733</v>
      </c>
      <c r="F200" s="451">
        <v>33697827</v>
      </c>
      <c r="G200" s="451">
        <v>0</v>
      </c>
      <c r="H200" s="451">
        <v>0</v>
      </c>
      <c r="I200" s="451">
        <v>33697827</v>
      </c>
      <c r="J200" s="451">
        <v>155405</v>
      </c>
      <c r="K200" s="451">
        <v>0</v>
      </c>
      <c r="L200" s="451">
        <v>0</v>
      </c>
      <c r="M200" s="451">
        <v>155405</v>
      </c>
      <c r="N200" s="451">
        <v>140000</v>
      </c>
      <c r="O200" s="451">
        <v>0</v>
      </c>
      <c r="P200" s="451">
        <v>0</v>
      </c>
      <c r="Q200" s="451">
        <v>140000</v>
      </c>
      <c r="R200" s="451">
        <v>413198.76</v>
      </c>
      <c r="S200" s="451">
        <v>0</v>
      </c>
      <c r="T200" s="451">
        <v>0</v>
      </c>
      <c r="U200" s="451">
        <v>413198.76</v>
      </c>
      <c r="V200" s="451">
        <v>1145454.74</v>
      </c>
      <c r="W200" s="451">
        <v>0</v>
      </c>
      <c r="X200" s="451">
        <v>0</v>
      </c>
      <c r="Y200" s="451">
        <v>1145454.74</v>
      </c>
      <c r="Z200" s="451">
        <v>31843769</v>
      </c>
      <c r="AA200" s="451">
        <v>0</v>
      </c>
      <c r="AB200" s="451">
        <v>0</v>
      </c>
      <c r="AC200" s="451">
        <v>31843769</v>
      </c>
      <c r="AD200" s="451">
        <v>0</v>
      </c>
      <c r="AE200" s="451">
        <v>0</v>
      </c>
      <c r="AF200" s="451">
        <v>0</v>
      </c>
      <c r="AG200" s="451">
        <v>0</v>
      </c>
      <c r="AH200" s="451">
        <v>0</v>
      </c>
      <c r="AI200" s="451">
        <v>0</v>
      </c>
      <c r="AJ200" s="451">
        <v>0</v>
      </c>
      <c r="AK200" s="451">
        <v>0</v>
      </c>
      <c r="AL200" s="451">
        <v>0</v>
      </c>
      <c r="AM200" s="451">
        <v>0</v>
      </c>
      <c r="AN200" s="451">
        <v>0</v>
      </c>
      <c r="AO200" s="451">
        <v>1235136.29</v>
      </c>
      <c r="AP200" s="451">
        <v>302357.38</v>
      </c>
      <c r="AQ200" s="324"/>
      <c r="AR200" s="310"/>
      <c r="AS200" s="310"/>
      <c r="AT200" s="310"/>
      <c r="AU200" s="310"/>
      <c r="AV200" s="310"/>
      <c r="AW200" s="310"/>
      <c r="AX200" s="310"/>
      <c r="AY200" s="310"/>
      <c r="AZ200" s="310"/>
      <c r="BA200" s="310"/>
      <c r="BB200" s="310"/>
      <c r="BC200" s="310"/>
      <c r="BD200" s="310"/>
      <c r="BE200" s="310"/>
      <c r="BF200" s="310"/>
      <c r="BG200" s="310"/>
      <c r="BH200" s="310"/>
      <c r="BI200" s="310"/>
      <c r="BJ200" s="310"/>
      <c r="BK200" s="310"/>
      <c r="BL200" s="310"/>
      <c r="BM200" s="310"/>
      <c r="BN200" s="310"/>
      <c r="BO200" s="310"/>
      <c r="BP200" s="310"/>
      <c r="BQ200" s="310"/>
      <c r="BR200" s="310"/>
      <c r="BS200" s="310"/>
      <c r="BT200" s="310"/>
      <c r="BU200" s="310"/>
      <c r="BV200" s="310"/>
      <c r="BW200" s="310"/>
      <c r="BX200" s="310"/>
      <c r="BY200" s="310"/>
      <c r="BZ200" s="310"/>
      <c r="CA200" s="310"/>
      <c r="CB200" s="310"/>
      <c r="CC200" s="310"/>
      <c r="CD200" s="310"/>
      <c r="CE200" s="310"/>
      <c r="CF200" s="310"/>
      <c r="CG200" s="310"/>
      <c r="CH200" s="310"/>
      <c r="CI200" s="310"/>
      <c r="CJ200" s="310"/>
      <c r="CK200" s="310"/>
      <c r="CL200" s="310"/>
      <c r="CM200" s="310"/>
      <c r="CN200" s="310"/>
      <c r="CO200" s="310"/>
      <c r="CP200" s="310"/>
      <c r="CQ200" s="310"/>
      <c r="CR200" s="310"/>
      <c r="CS200" s="310"/>
      <c r="CT200" s="310"/>
      <c r="CU200" s="310"/>
      <c r="CV200" s="310"/>
      <c r="CW200" s="310"/>
      <c r="CX200" s="310"/>
      <c r="CY200" s="310"/>
      <c r="CZ200" s="310"/>
      <c r="DA200" s="310"/>
      <c r="DB200" s="310"/>
      <c r="DC200" s="310"/>
      <c r="DD200" s="310"/>
      <c r="DE200" s="310"/>
      <c r="DF200" s="310"/>
      <c r="DG200" s="310"/>
      <c r="DH200" s="310"/>
      <c r="DI200" s="310"/>
      <c r="DJ200" s="310"/>
      <c r="DK200" s="310"/>
      <c r="DL200" s="310"/>
      <c r="DM200" s="310"/>
      <c r="DN200" s="310"/>
      <c r="DO200" s="310"/>
      <c r="DP200" s="310"/>
      <c r="DQ200" s="310"/>
      <c r="DR200" s="310"/>
      <c r="DS200" s="310"/>
      <c r="DT200" s="310"/>
      <c r="DU200" s="310"/>
      <c r="DV200" s="310"/>
      <c r="DW200" s="310"/>
      <c r="DX200" s="310"/>
      <c r="DY200" s="310"/>
      <c r="DZ200" s="310"/>
      <c r="EA200" s="310"/>
      <c r="EB200" s="310"/>
      <c r="EC200" s="310"/>
      <c r="ED200" s="310"/>
      <c r="EE200" s="310"/>
      <c r="EF200" s="310"/>
      <c r="EG200" s="310"/>
      <c r="EH200" s="310"/>
      <c r="EI200" s="310"/>
      <c r="EJ200" s="310"/>
      <c r="EK200" s="310"/>
      <c r="EL200" s="310"/>
      <c r="EM200" s="310"/>
      <c r="EN200" s="310"/>
      <c r="EO200" s="310"/>
      <c r="EP200" s="310"/>
      <c r="EQ200" s="310"/>
      <c r="ER200" s="310"/>
      <c r="ES200" s="310"/>
      <c r="ET200" s="310"/>
      <c r="EU200" s="310"/>
      <c r="EV200" s="310"/>
      <c r="EW200" s="310"/>
      <c r="EX200" s="310"/>
      <c r="EY200" s="310"/>
      <c r="EZ200" s="310"/>
      <c r="FA200" s="310"/>
      <c r="FB200" s="310"/>
      <c r="FC200" s="310"/>
      <c r="FD200" s="310"/>
      <c r="FE200" s="311"/>
      <c r="FF200" s="312"/>
    </row>
    <row r="201" spans="1:162" ht="12.75" x14ac:dyDescent="0.2">
      <c r="A201" s="446">
        <v>194</v>
      </c>
      <c r="B201" s="447" t="s">
        <v>271</v>
      </c>
      <c r="C201" s="448" t="s">
        <v>1093</v>
      </c>
      <c r="D201" s="449" t="s">
        <v>1096</v>
      </c>
      <c r="E201" s="450" t="s">
        <v>734</v>
      </c>
      <c r="F201" s="451">
        <v>11545661</v>
      </c>
      <c r="G201" s="451">
        <v>0</v>
      </c>
      <c r="H201" s="451">
        <v>0</v>
      </c>
      <c r="I201" s="451">
        <v>11545661</v>
      </c>
      <c r="J201" s="451">
        <v>65534</v>
      </c>
      <c r="K201" s="451">
        <v>0</v>
      </c>
      <c r="L201" s="451">
        <v>0</v>
      </c>
      <c r="M201" s="451">
        <v>65534</v>
      </c>
      <c r="N201" s="451">
        <v>75257.2</v>
      </c>
      <c r="O201" s="451">
        <v>0</v>
      </c>
      <c r="P201" s="451">
        <v>0</v>
      </c>
      <c r="Q201" s="451">
        <v>75257.2</v>
      </c>
      <c r="R201" s="451">
        <v>93281</v>
      </c>
      <c r="S201" s="451">
        <v>0</v>
      </c>
      <c r="T201" s="451">
        <v>0</v>
      </c>
      <c r="U201" s="451">
        <v>93281</v>
      </c>
      <c r="V201" s="451">
        <v>340751</v>
      </c>
      <c r="W201" s="451">
        <v>0</v>
      </c>
      <c r="X201" s="451">
        <v>0</v>
      </c>
      <c r="Y201" s="451">
        <v>340751</v>
      </c>
      <c r="Z201" s="451">
        <v>10970838</v>
      </c>
      <c r="AA201" s="451">
        <v>0</v>
      </c>
      <c r="AB201" s="451">
        <v>0</v>
      </c>
      <c r="AC201" s="451">
        <v>10970838</v>
      </c>
      <c r="AD201" s="451">
        <v>0</v>
      </c>
      <c r="AE201" s="451">
        <v>0</v>
      </c>
      <c r="AF201" s="451">
        <v>0</v>
      </c>
      <c r="AG201" s="451">
        <v>0</v>
      </c>
      <c r="AH201" s="451">
        <v>0</v>
      </c>
      <c r="AI201" s="451">
        <v>0</v>
      </c>
      <c r="AJ201" s="451">
        <v>0</v>
      </c>
      <c r="AK201" s="451">
        <v>0</v>
      </c>
      <c r="AL201" s="451">
        <v>0</v>
      </c>
      <c r="AM201" s="451">
        <v>0</v>
      </c>
      <c r="AN201" s="451">
        <v>0</v>
      </c>
      <c r="AO201" s="451">
        <v>744055</v>
      </c>
      <c r="AP201" s="451">
        <v>314964</v>
      </c>
      <c r="AQ201" s="324"/>
      <c r="AR201" s="310"/>
      <c r="AS201" s="310"/>
      <c r="AT201" s="310"/>
      <c r="AU201" s="310"/>
      <c r="AV201" s="310"/>
      <c r="AW201" s="310"/>
      <c r="AX201" s="310"/>
      <c r="AY201" s="310"/>
      <c r="AZ201" s="310"/>
      <c r="BA201" s="310"/>
      <c r="BB201" s="310"/>
      <c r="BC201" s="310"/>
      <c r="BD201" s="310"/>
      <c r="BE201" s="310"/>
      <c r="BF201" s="310"/>
      <c r="BG201" s="310"/>
      <c r="BH201" s="310"/>
      <c r="BI201" s="310"/>
      <c r="BJ201" s="310"/>
      <c r="BK201" s="310"/>
      <c r="BL201" s="310"/>
      <c r="BM201" s="310"/>
      <c r="BN201" s="310"/>
      <c r="BO201" s="310"/>
      <c r="BP201" s="310"/>
      <c r="BQ201" s="310"/>
      <c r="BR201" s="310"/>
      <c r="BS201" s="310"/>
      <c r="BT201" s="310"/>
      <c r="BU201" s="310"/>
      <c r="BV201" s="310"/>
      <c r="BW201" s="310"/>
      <c r="BX201" s="310"/>
      <c r="BY201" s="310"/>
      <c r="BZ201" s="310"/>
      <c r="CA201" s="310"/>
      <c r="CB201" s="310"/>
      <c r="CC201" s="310"/>
      <c r="CD201" s="310"/>
      <c r="CE201" s="310"/>
      <c r="CF201" s="310"/>
      <c r="CG201" s="310"/>
      <c r="CH201" s="310"/>
      <c r="CI201" s="310"/>
      <c r="CJ201" s="310"/>
      <c r="CK201" s="310"/>
      <c r="CL201" s="310"/>
      <c r="CM201" s="310"/>
      <c r="CN201" s="310"/>
      <c r="CO201" s="310"/>
      <c r="CP201" s="310"/>
      <c r="CQ201" s="310"/>
      <c r="CR201" s="310"/>
      <c r="CS201" s="310"/>
      <c r="CT201" s="310"/>
      <c r="CU201" s="310"/>
      <c r="CV201" s="310"/>
      <c r="CW201" s="310"/>
      <c r="CX201" s="310"/>
      <c r="CY201" s="310"/>
      <c r="CZ201" s="310"/>
      <c r="DA201" s="310"/>
      <c r="DB201" s="310"/>
      <c r="DC201" s="310"/>
      <c r="DD201" s="310"/>
      <c r="DE201" s="310"/>
      <c r="DF201" s="310"/>
      <c r="DG201" s="310"/>
      <c r="DH201" s="310"/>
      <c r="DI201" s="310"/>
      <c r="DJ201" s="310"/>
      <c r="DK201" s="310"/>
      <c r="DL201" s="310"/>
      <c r="DM201" s="310"/>
      <c r="DN201" s="310"/>
      <c r="DO201" s="310"/>
      <c r="DP201" s="310"/>
      <c r="DQ201" s="310"/>
      <c r="DR201" s="310"/>
      <c r="DS201" s="310"/>
      <c r="DT201" s="310"/>
      <c r="DU201" s="310"/>
      <c r="DV201" s="310"/>
      <c r="DW201" s="310"/>
      <c r="DX201" s="310"/>
      <c r="DY201" s="310"/>
      <c r="DZ201" s="310"/>
      <c r="EA201" s="310"/>
      <c r="EB201" s="310"/>
      <c r="EC201" s="310"/>
      <c r="ED201" s="310"/>
      <c r="EE201" s="310"/>
      <c r="EF201" s="310"/>
      <c r="EG201" s="310"/>
      <c r="EH201" s="310"/>
      <c r="EI201" s="310"/>
      <c r="EJ201" s="310"/>
      <c r="EK201" s="310"/>
      <c r="EL201" s="310"/>
      <c r="EM201" s="310"/>
      <c r="EN201" s="310"/>
      <c r="EO201" s="310"/>
      <c r="EP201" s="310"/>
      <c r="EQ201" s="310"/>
      <c r="ER201" s="310"/>
      <c r="ES201" s="310"/>
      <c r="ET201" s="310"/>
      <c r="EU201" s="310"/>
      <c r="EV201" s="310"/>
      <c r="EW201" s="310"/>
      <c r="EX201" s="310"/>
      <c r="EY201" s="310"/>
      <c r="EZ201" s="310"/>
      <c r="FA201" s="310"/>
      <c r="FB201" s="310"/>
      <c r="FC201" s="310"/>
      <c r="FD201" s="310"/>
      <c r="FE201" s="311"/>
      <c r="FF201" s="312"/>
    </row>
    <row r="202" spans="1:162" ht="12.75" x14ac:dyDescent="0.2">
      <c r="A202" s="446">
        <v>195</v>
      </c>
      <c r="B202" s="447" t="s">
        <v>273</v>
      </c>
      <c r="C202" s="448" t="s">
        <v>1100</v>
      </c>
      <c r="D202" s="449" t="s">
        <v>1095</v>
      </c>
      <c r="E202" s="450" t="s">
        <v>272</v>
      </c>
      <c r="F202" s="451">
        <v>56657682</v>
      </c>
      <c r="G202" s="451">
        <v>0</v>
      </c>
      <c r="H202" s="451">
        <v>0</v>
      </c>
      <c r="I202" s="451">
        <v>56657682</v>
      </c>
      <c r="J202" s="451">
        <v>152120</v>
      </c>
      <c r="K202" s="451">
        <v>0</v>
      </c>
      <c r="L202" s="451">
        <v>0</v>
      </c>
      <c r="M202" s="451">
        <v>152120</v>
      </c>
      <c r="N202" s="451">
        <v>204857</v>
      </c>
      <c r="O202" s="451">
        <v>0</v>
      </c>
      <c r="P202" s="451">
        <v>0</v>
      </c>
      <c r="Q202" s="451">
        <v>204857</v>
      </c>
      <c r="R202" s="451">
        <v>3732195</v>
      </c>
      <c r="S202" s="451">
        <v>0</v>
      </c>
      <c r="T202" s="451">
        <v>0</v>
      </c>
      <c r="U202" s="451">
        <v>3732195</v>
      </c>
      <c r="V202" s="451">
        <v>0</v>
      </c>
      <c r="W202" s="451">
        <v>0</v>
      </c>
      <c r="X202" s="451">
        <v>0</v>
      </c>
      <c r="Y202" s="451">
        <v>0</v>
      </c>
      <c r="Z202" s="451">
        <v>52568510</v>
      </c>
      <c r="AA202" s="451">
        <v>0</v>
      </c>
      <c r="AB202" s="451">
        <v>0</v>
      </c>
      <c r="AC202" s="451">
        <v>52568510</v>
      </c>
      <c r="AD202" s="451">
        <v>0</v>
      </c>
      <c r="AE202" s="451">
        <v>0</v>
      </c>
      <c r="AF202" s="451">
        <v>0</v>
      </c>
      <c r="AG202" s="451">
        <v>0</v>
      </c>
      <c r="AH202" s="451">
        <v>0</v>
      </c>
      <c r="AI202" s="451">
        <v>0</v>
      </c>
      <c r="AJ202" s="451">
        <v>0</v>
      </c>
      <c r="AK202" s="451">
        <v>0</v>
      </c>
      <c r="AL202" s="451">
        <v>0</v>
      </c>
      <c r="AM202" s="451">
        <v>0</v>
      </c>
      <c r="AN202" s="451">
        <v>0</v>
      </c>
      <c r="AO202" s="451">
        <v>6697960</v>
      </c>
      <c r="AP202" s="451">
        <v>818776</v>
      </c>
      <c r="AQ202" s="324"/>
      <c r="AR202" s="310"/>
      <c r="AS202" s="310"/>
      <c r="AT202" s="310"/>
      <c r="AU202" s="310"/>
      <c r="AV202" s="310"/>
      <c r="AW202" s="310"/>
      <c r="AX202" s="310"/>
      <c r="AY202" s="310"/>
      <c r="AZ202" s="310"/>
      <c r="BA202" s="310"/>
      <c r="BB202" s="310"/>
      <c r="BC202" s="310"/>
      <c r="BD202" s="310"/>
      <c r="BE202" s="310"/>
      <c r="BF202" s="310"/>
      <c r="BG202" s="310"/>
      <c r="BH202" s="310"/>
      <c r="BI202" s="310"/>
      <c r="BJ202" s="310"/>
      <c r="BK202" s="310"/>
      <c r="BL202" s="310"/>
      <c r="BM202" s="310"/>
      <c r="BN202" s="310"/>
      <c r="BO202" s="310"/>
      <c r="BP202" s="310"/>
      <c r="BQ202" s="310"/>
      <c r="BR202" s="310"/>
      <c r="BS202" s="310"/>
      <c r="BT202" s="310"/>
      <c r="BU202" s="310"/>
      <c r="BV202" s="310"/>
      <c r="BW202" s="310"/>
      <c r="BX202" s="310"/>
      <c r="BY202" s="310"/>
      <c r="BZ202" s="310"/>
      <c r="CA202" s="310"/>
      <c r="CB202" s="310"/>
      <c r="CC202" s="310"/>
      <c r="CD202" s="310"/>
      <c r="CE202" s="310"/>
      <c r="CF202" s="310"/>
      <c r="CG202" s="310"/>
      <c r="CH202" s="310"/>
      <c r="CI202" s="310"/>
      <c r="CJ202" s="310"/>
      <c r="CK202" s="310"/>
      <c r="CL202" s="310"/>
      <c r="CM202" s="310"/>
      <c r="CN202" s="310"/>
      <c r="CO202" s="310"/>
      <c r="CP202" s="310"/>
      <c r="CQ202" s="310"/>
      <c r="CR202" s="310"/>
      <c r="CS202" s="310"/>
      <c r="CT202" s="310"/>
      <c r="CU202" s="310"/>
      <c r="CV202" s="310"/>
      <c r="CW202" s="310"/>
      <c r="CX202" s="310"/>
      <c r="CY202" s="310"/>
      <c r="CZ202" s="310"/>
      <c r="DA202" s="310"/>
      <c r="DB202" s="310"/>
      <c r="DC202" s="310"/>
      <c r="DD202" s="310"/>
      <c r="DE202" s="310"/>
      <c r="DF202" s="310"/>
      <c r="DG202" s="310"/>
      <c r="DH202" s="310"/>
      <c r="DI202" s="310"/>
      <c r="DJ202" s="310"/>
      <c r="DK202" s="310"/>
      <c r="DL202" s="310"/>
      <c r="DM202" s="310"/>
      <c r="DN202" s="310"/>
      <c r="DO202" s="310"/>
      <c r="DP202" s="310"/>
      <c r="DQ202" s="310"/>
      <c r="DR202" s="310"/>
      <c r="DS202" s="310"/>
      <c r="DT202" s="310"/>
      <c r="DU202" s="310"/>
      <c r="DV202" s="310"/>
      <c r="DW202" s="310"/>
      <c r="DX202" s="310"/>
      <c r="DY202" s="310"/>
      <c r="DZ202" s="310"/>
      <c r="EA202" s="310"/>
      <c r="EB202" s="310"/>
      <c r="EC202" s="310"/>
      <c r="ED202" s="310"/>
      <c r="EE202" s="310"/>
      <c r="EF202" s="310"/>
      <c r="EG202" s="310"/>
      <c r="EH202" s="310"/>
      <c r="EI202" s="310"/>
      <c r="EJ202" s="310"/>
      <c r="EK202" s="310"/>
      <c r="EL202" s="310"/>
      <c r="EM202" s="310"/>
      <c r="EN202" s="310"/>
      <c r="EO202" s="310"/>
      <c r="EP202" s="310"/>
      <c r="EQ202" s="310"/>
      <c r="ER202" s="310"/>
      <c r="ES202" s="310"/>
      <c r="ET202" s="310"/>
      <c r="EU202" s="310"/>
      <c r="EV202" s="310"/>
      <c r="EW202" s="310"/>
      <c r="EX202" s="310"/>
      <c r="EY202" s="310"/>
      <c r="EZ202" s="310"/>
      <c r="FA202" s="310"/>
      <c r="FB202" s="310"/>
      <c r="FC202" s="310"/>
      <c r="FD202" s="310"/>
      <c r="FE202" s="311"/>
      <c r="FF202" s="312"/>
    </row>
    <row r="203" spans="1:162" ht="12.75" x14ac:dyDescent="0.2">
      <c r="A203" s="446">
        <v>196</v>
      </c>
      <c r="B203" s="447" t="s">
        <v>275</v>
      </c>
      <c r="C203" s="448" t="s">
        <v>1093</v>
      </c>
      <c r="D203" s="449" t="s">
        <v>1094</v>
      </c>
      <c r="E203" s="450" t="s">
        <v>274</v>
      </c>
      <c r="F203" s="451">
        <v>84468734</v>
      </c>
      <c r="G203" s="451">
        <v>0</v>
      </c>
      <c r="H203" s="451">
        <v>0</v>
      </c>
      <c r="I203" s="451">
        <v>84468734</v>
      </c>
      <c r="J203" s="451">
        <v>231123</v>
      </c>
      <c r="K203" s="451">
        <v>0</v>
      </c>
      <c r="L203" s="451">
        <v>0</v>
      </c>
      <c r="M203" s="451">
        <v>231123</v>
      </c>
      <c r="N203" s="451">
        <v>90713</v>
      </c>
      <c r="O203" s="451">
        <v>0</v>
      </c>
      <c r="P203" s="451">
        <v>0</v>
      </c>
      <c r="Q203" s="451">
        <v>90713</v>
      </c>
      <c r="R203" s="451">
        <v>1132899</v>
      </c>
      <c r="S203" s="451">
        <v>0</v>
      </c>
      <c r="T203" s="451">
        <v>0</v>
      </c>
      <c r="U203" s="451">
        <v>1132899</v>
      </c>
      <c r="V203" s="451">
        <v>3221763</v>
      </c>
      <c r="W203" s="451">
        <v>0</v>
      </c>
      <c r="X203" s="451">
        <v>0</v>
      </c>
      <c r="Y203" s="451">
        <v>3221763</v>
      </c>
      <c r="Z203" s="451">
        <v>79792236</v>
      </c>
      <c r="AA203" s="451">
        <v>0</v>
      </c>
      <c r="AB203" s="451">
        <v>0</v>
      </c>
      <c r="AC203" s="451">
        <v>79792236</v>
      </c>
      <c r="AD203" s="451">
        <v>0</v>
      </c>
      <c r="AE203" s="451">
        <v>0</v>
      </c>
      <c r="AF203" s="451">
        <v>0</v>
      </c>
      <c r="AG203" s="451">
        <v>0</v>
      </c>
      <c r="AH203" s="451">
        <v>0</v>
      </c>
      <c r="AI203" s="451">
        <v>0</v>
      </c>
      <c r="AJ203" s="451">
        <v>0</v>
      </c>
      <c r="AK203" s="451">
        <v>0</v>
      </c>
      <c r="AL203" s="451">
        <v>0</v>
      </c>
      <c r="AM203" s="451">
        <v>0</v>
      </c>
      <c r="AN203" s="451">
        <v>0</v>
      </c>
      <c r="AO203" s="451">
        <v>3322689</v>
      </c>
      <c r="AP203" s="451">
        <v>2173437</v>
      </c>
      <c r="AQ203" s="324"/>
      <c r="AR203" s="310"/>
      <c r="AS203" s="310"/>
      <c r="AT203" s="310"/>
      <c r="AU203" s="310"/>
      <c r="AV203" s="310"/>
      <c r="AW203" s="310"/>
      <c r="AX203" s="310"/>
      <c r="AY203" s="310"/>
      <c r="AZ203" s="310"/>
      <c r="BA203" s="310"/>
      <c r="BB203" s="310"/>
      <c r="BC203" s="310"/>
      <c r="BD203" s="310"/>
      <c r="BE203" s="310"/>
      <c r="BF203" s="310"/>
      <c r="BG203" s="310"/>
      <c r="BH203" s="310"/>
      <c r="BI203" s="310"/>
      <c r="BJ203" s="310"/>
      <c r="BK203" s="310"/>
      <c r="BL203" s="310"/>
      <c r="BM203" s="310"/>
      <c r="BN203" s="310"/>
      <c r="BO203" s="310"/>
      <c r="BP203" s="310"/>
      <c r="BQ203" s="310"/>
      <c r="BR203" s="310"/>
      <c r="BS203" s="310"/>
      <c r="BT203" s="310"/>
      <c r="BU203" s="310"/>
      <c r="BV203" s="310"/>
      <c r="BW203" s="310"/>
      <c r="BX203" s="310"/>
      <c r="BY203" s="310"/>
      <c r="BZ203" s="310"/>
      <c r="CA203" s="310"/>
      <c r="CB203" s="310"/>
      <c r="CC203" s="310"/>
      <c r="CD203" s="310"/>
      <c r="CE203" s="310"/>
      <c r="CF203" s="310"/>
      <c r="CG203" s="310"/>
      <c r="CH203" s="310"/>
      <c r="CI203" s="310"/>
      <c r="CJ203" s="310"/>
      <c r="CK203" s="310"/>
      <c r="CL203" s="310"/>
      <c r="CM203" s="310"/>
      <c r="CN203" s="310"/>
      <c r="CO203" s="310"/>
      <c r="CP203" s="310"/>
      <c r="CQ203" s="310"/>
      <c r="CR203" s="310"/>
      <c r="CS203" s="310"/>
      <c r="CT203" s="310"/>
      <c r="CU203" s="310"/>
      <c r="CV203" s="310"/>
      <c r="CW203" s="310"/>
      <c r="CX203" s="310"/>
      <c r="CY203" s="310"/>
      <c r="CZ203" s="310"/>
      <c r="DA203" s="310"/>
      <c r="DB203" s="310"/>
      <c r="DC203" s="310"/>
      <c r="DD203" s="310"/>
      <c r="DE203" s="310"/>
      <c r="DF203" s="310"/>
      <c r="DG203" s="310"/>
      <c r="DH203" s="310"/>
      <c r="DI203" s="310"/>
      <c r="DJ203" s="310"/>
      <c r="DK203" s="310"/>
      <c r="DL203" s="310"/>
      <c r="DM203" s="310"/>
      <c r="DN203" s="310"/>
      <c r="DO203" s="310"/>
      <c r="DP203" s="310"/>
      <c r="DQ203" s="310"/>
      <c r="DR203" s="310"/>
      <c r="DS203" s="310"/>
      <c r="DT203" s="310"/>
      <c r="DU203" s="310"/>
      <c r="DV203" s="310"/>
      <c r="DW203" s="310"/>
      <c r="DX203" s="310"/>
      <c r="DY203" s="310"/>
      <c r="DZ203" s="310"/>
      <c r="EA203" s="310"/>
      <c r="EB203" s="310"/>
      <c r="EC203" s="310"/>
      <c r="ED203" s="310"/>
      <c r="EE203" s="310"/>
      <c r="EF203" s="310"/>
      <c r="EG203" s="310"/>
      <c r="EH203" s="310"/>
      <c r="EI203" s="310"/>
      <c r="EJ203" s="310"/>
      <c r="EK203" s="310"/>
      <c r="EL203" s="310"/>
      <c r="EM203" s="310"/>
      <c r="EN203" s="310"/>
      <c r="EO203" s="310"/>
      <c r="EP203" s="310"/>
      <c r="EQ203" s="310"/>
      <c r="ER203" s="310"/>
      <c r="ES203" s="310"/>
      <c r="ET203" s="310"/>
      <c r="EU203" s="310"/>
      <c r="EV203" s="310"/>
      <c r="EW203" s="310"/>
      <c r="EX203" s="310"/>
      <c r="EY203" s="310"/>
      <c r="EZ203" s="310"/>
      <c r="FA203" s="310"/>
      <c r="FB203" s="310"/>
      <c r="FC203" s="310"/>
      <c r="FD203" s="310"/>
      <c r="FE203" s="311"/>
      <c r="FF203" s="312"/>
    </row>
    <row r="204" spans="1:162" ht="12.75" x14ac:dyDescent="0.2">
      <c r="A204" s="446">
        <v>197</v>
      </c>
      <c r="B204" s="447" t="s">
        <v>277</v>
      </c>
      <c r="C204" s="448" t="s">
        <v>1093</v>
      </c>
      <c r="D204" s="449" t="s">
        <v>1095</v>
      </c>
      <c r="E204" s="450" t="s">
        <v>276</v>
      </c>
      <c r="F204" s="451">
        <v>18831475</v>
      </c>
      <c r="G204" s="451">
        <v>0</v>
      </c>
      <c r="H204" s="451">
        <v>0</v>
      </c>
      <c r="I204" s="451">
        <v>18831475</v>
      </c>
      <c r="J204" s="451">
        <v>487862</v>
      </c>
      <c r="K204" s="451">
        <v>0</v>
      </c>
      <c r="L204" s="451">
        <v>0</v>
      </c>
      <c r="M204" s="451">
        <v>487862</v>
      </c>
      <c r="N204" s="451">
        <v>-210000</v>
      </c>
      <c r="O204" s="451">
        <v>0</v>
      </c>
      <c r="P204" s="451">
        <v>0</v>
      </c>
      <c r="Q204" s="451">
        <v>-210000</v>
      </c>
      <c r="R204" s="451">
        <v>360134</v>
      </c>
      <c r="S204" s="451">
        <v>0</v>
      </c>
      <c r="T204" s="451">
        <v>0</v>
      </c>
      <c r="U204" s="451">
        <v>360134</v>
      </c>
      <c r="V204" s="451">
        <v>1110029</v>
      </c>
      <c r="W204" s="451">
        <v>0</v>
      </c>
      <c r="X204" s="451">
        <v>0</v>
      </c>
      <c r="Y204" s="451">
        <v>1110029</v>
      </c>
      <c r="Z204" s="451">
        <v>17083450</v>
      </c>
      <c r="AA204" s="451">
        <v>0</v>
      </c>
      <c r="AB204" s="451">
        <v>0</v>
      </c>
      <c r="AC204" s="451">
        <v>17083450</v>
      </c>
      <c r="AD204" s="451">
        <v>0</v>
      </c>
      <c r="AE204" s="451">
        <v>0</v>
      </c>
      <c r="AF204" s="451">
        <v>0</v>
      </c>
      <c r="AG204" s="451">
        <v>0</v>
      </c>
      <c r="AH204" s="451">
        <v>0</v>
      </c>
      <c r="AI204" s="451">
        <v>0</v>
      </c>
      <c r="AJ204" s="451">
        <v>0</v>
      </c>
      <c r="AK204" s="451">
        <v>0</v>
      </c>
      <c r="AL204" s="451">
        <v>0</v>
      </c>
      <c r="AM204" s="451">
        <v>0</v>
      </c>
      <c r="AN204" s="451">
        <v>0</v>
      </c>
      <c r="AO204" s="451">
        <v>1043287</v>
      </c>
      <c r="AP204" s="451">
        <v>79348</v>
      </c>
      <c r="AQ204" s="324"/>
      <c r="AR204" s="310"/>
      <c r="AS204" s="310"/>
      <c r="AT204" s="310"/>
      <c r="AU204" s="310"/>
      <c r="AV204" s="310"/>
      <c r="AW204" s="310"/>
      <c r="AX204" s="310"/>
      <c r="AY204" s="310"/>
      <c r="AZ204" s="310"/>
      <c r="BA204" s="310"/>
      <c r="BB204" s="310"/>
      <c r="BC204" s="310"/>
      <c r="BD204" s="310"/>
      <c r="BE204" s="310"/>
      <c r="BF204" s="310"/>
      <c r="BG204" s="310"/>
      <c r="BH204" s="310"/>
      <c r="BI204" s="310"/>
      <c r="BJ204" s="310"/>
      <c r="BK204" s="310"/>
      <c r="BL204" s="310"/>
      <c r="BM204" s="310"/>
      <c r="BN204" s="310"/>
      <c r="BO204" s="310"/>
      <c r="BP204" s="310"/>
      <c r="BQ204" s="310"/>
      <c r="BR204" s="310"/>
      <c r="BS204" s="310"/>
      <c r="BT204" s="310"/>
      <c r="BU204" s="310"/>
      <c r="BV204" s="310"/>
      <c r="BW204" s="310"/>
      <c r="BX204" s="310"/>
      <c r="BY204" s="310"/>
      <c r="BZ204" s="310"/>
      <c r="CA204" s="310"/>
      <c r="CB204" s="310"/>
      <c r="CC204" s="310"/>
      <c r="CD204" s="310"/>
      <c r="CE204" s="310"/>
      <c r="CF204" s="310"/>
      <c r="CG204" s="310"/>
      <c r="CH204" s="310"/>
      <c r="CI204" s="310"/>
      <c r="CJ204" s="310"/>
      <c r="CK204" s="310"/>
      <c r="CL204" s="310"/>
      <c r="CM204" s="310"/>
      <c r="CN204" s="310"/>
      <c r="CO204" s="310"/>
      <c r="CP204" s="310"/>
      <c r="CQ204" s="310"/>
      <c r="CR204" s="310"/>
      <c r="CS204" s="310"/>
      <c r="CT204" s="310"/>
      <c r="CU204" s="310"/>
      <c r="CV204" s="310"/>
      <c r="CW204" s="310"/>
      <c r="CX204" s="310"/>
      <c r="CY204" s="310"/>
      <c r="CZ204" s="310"/>
      <c r="DA204" s="310"/>
      <c r="DB204" s="310"/>
      <c r="DC204" s="310"/>
      <c r="DD204" s="310"/>
      <c r="DE204" s="310"/>
      <c r="DF204" s="310"/>
      <c r="DG204" s="310"/>
      <c r="DH204" s="310"/>
      <c r="DI204" s="310"/>
      <c r="DJ204" s="310"/>
      <c r="DK204" s="310"/>
      <c r="DL204" s="310"/>
      <c r="DM204" s="310"/>
      <c r="DN204" s="310"/>
      <c r="DO204" s="310"/>
      <c r="DP204" s="310"/>
      <c r="DQ204" s="310"/>
      <c r="DR204" s="310"/>
      <c r="DS204" s="310"/>
      <c r="DT204" s="310"/>
      <c r="DU204" s="310"/>
      <c r="DV204" s="310"/>
      <c r="DW204" s="310"/>
      <c r="DX204" s="310"/>
      <c r="DY204" s="310"/>
      <c r="DZ204" s="310"/>
      <c r="EA204" s="310"/>
      <c r="EB204" s="310"/>
      <c r="EC204" s="310"/>
      <c r="ED204" s="310"/>
      <c r="EE204" s="310"/>
      <c r="EF204" s="310"/>
      <c r="EG204" s="310"/>
      <c r="EH204" s="310"/>
      <c r="EI204" s="310"/>
      <c r="EJ204" s="310"/>
      <c r="EK204" s="310"/>
      <c r="EL204" s="310"/>
      <c r="EM204" s="310"/>
      <c r="EN204" s="310"/>
      <c r="EO204" s="310"/>
      <c r="EP204" s="310"/>
      <c r="EQ204" s="310"/>
      <c r="ER204" s="310"/>
      <c r="ES204" s="310"/>
      <c r="ET204" s="310"/>
      <c r="EU204" s="310"/>
      <c r="EV204" s="310"/>
      <c r="EW204" s="310"/>
      <c r="EX204" s="310"/>
      <c r="EY204" s="310"/>
      <c r="EZ204" s="310"/>
      <c r="FA204" s="310"/>
      <c r="FB204" s="310"/>
      <c r="FC204" s="310"/>
      <c r="FD204" s="310"/>
      <c r="FE204" s="311"/>
      <c r="FF204" s="312"/>
    </row>
    <row r="205" spans="1:162" ht="12.75" x14ac:dyDescent="0.2">
      <c r="A205" s="446">
        <v>198</v>
      </c>
      <c r="B205" s="447" t="s">
        <v>279</v>
      </c>
      <c r="C205" s="448" t="s">
        <v>794</v>
      </c>
      <c r="D205" s="449" t="s">
        <v>1097</v>
      </c>
      <c r="E205" s="450" t="s">
        <v>735</v>
      </c>
      <c r="F205" s="451">
        <v>92150129</v>
      </c>
      <c r="G205" s="451">
        <v>0</v>
      </c>
      <c r="H205" s="451">
        <v>0</v>
      </c>
      <c r="I205" s="451">
        <v>92150129</v>
      </c>
      <c r="J205" s="451">
        <v>-52378</v>
      </c>
      <c r="K205" s="451">
        <v>0</v>
      </c>
      <c r="L205" s="451">
        <v>0</v>
      </c>
      <c r="M205" s="451">
        <v>-52378</v>
      </c>
      <c r="N205" s="451">
        <v>953987</v>
      </c>
      <c r="O205" s="451">
        <v>0</v>
      </c>
      <c r="P205" s="451">
        <v>0</v>
      </c>
      <c r="Q205" s="451">
        <v>953987</v>
      </c>
      <c r="R205" s="451">
        <v>2315837</v>
      </c>
      <c r="S205" s="451">
        <v>0</v>
      </c>
      <c r="T205" s="451">
        <v>0</v>
      </c>
      <c r="U205" s="451">
        <v>2315837</v>
      </c>
      <c r="V205" s="451">
        <v>6215011</v>
      </c>
      <c r="W205" s="451">
        <v>0</v>
      </c>
      <c r="X205" s="451">
        <v>0</v>
      </c>
      <c r="Y205" s="451">
        <v>6215011</v>
      </c>
      <c r="Z205" s="451">
        <v>82717672</v>
      </c>
      <c r="AA205" s="451">
        <v>0</v>
      </c>
      <c r="AB205" s="451">
        <v>0</v>
      </c>
      <c r="AC205" s="451">
        <v>82717672</v>
      </c>
      <c r="AD205" s="451">
        <v>0</v>
      </c>
      <c r="AE205" s="451">
        <v>0</v>
      </c>
      <c r="AF205" s="451">
        <v>0</v>
      </c>
      <c r="AG205" s="451">
        <v>0</v>
      </c>
      <c r="AH205" s="451">
        <v>0</v>
      </c>
      <c r="AI205" s="451">
        <v>0</v>
      </c>
      <c r="AJ205" s="451">
        <v>0</v>
      </c>
      <c r="AK205" s="451">
        <v>0</v>
      </c>
      <c r="AL205" s="451">
        <v>0</v>
      </c>
      <c r="AM205" s="451">
        <v>0</v>
      </c>
      <c r="AN205" s="451">
        <v>0</v>
      </c>
      <c r="AO205" s="451">
        <v>6151150.5199999996</v>
      </c>
      <c r="AP205" s="451">
        <v>2302652</v>
      </c>
      <c r="AQ205" s="324" t="s">
        <v>1120</v>
      </c>
      <c r="AR205" s="310"/>
      <c r="AS205" s="310"/>
      <c r="AT205" s="310"/>
      <c r="AU205" s="310"/>
      <c r="AV205" s="310"/>
      <c r="AW205" s="310"/>
      <c r="AX205" s="310"/>
      <c r="AY205" s="310"/>
      <c r="AZ205" s="310"/>
      <c r="BA205" s="310"/>
      <c r="BB205" s="310"/>
      <c r="BC205" s="310"/>
      <c r="BD205" s="310"/>
      <c r="BE205" s="310"/>
      <c r="BF205" s="310"/>
      <c r="BG205" s="310"/>
      <c r="BH205" s="310"/>
      <c r="BI205" s="310"/>
      <c r="BJ205" s="310"/>
      <c r="BK205" s="310"/>
      <c r="BL205" s="310"/>
      <c r="BM205" s="310"/>
      <c r="BN205" s="310"/>
      <c r="BO205" s="310"/>
      <c r="BP205" s="310"/>
      <c r="BQ205" s="310"/>
      <c r="BR205" s="310"/>
      <c r="BS205" s="310"/>
      <c r="BT205" s="310"/>
      <c r="BU205" s="310"/>
      <c r="BV205" s="310"/>
      <c r="BW205" s="310"/>
      <c r="BX205" s="310"/>
      <c r="BY205" s="310"/>
      <c r="BZ205" s="310"/>
      <c r="CA205" s="310"/>
      <c r="CB205" s="310"/>
      <c r="CC205" s="310"/>
      <c r="CD205" s="310"/>
      <c r="CE205" s="310"/>
      <c r="CF205" s="310"/>
      <c r="CG205" s="310"/>
      <c r="CH205" s="310"/>
      <c r="CI205" s="310"/>
      <c r="CJ205" s="310"/>
      <c r="CK205" s="310"/>
      <c r="CL205" s="310"/>
      <c r="CM205" s="310"/>
      <c r="CN205" s="310"/>
      <c r="CO205" s="310"/>
      <c r="CP205" s="310"/>
      <c r="CQ205" s="310"/>
      <c r="CR205" s="310"/>
      <c r="CS205" s="310"/>
      <c r="CT205" s="310"/>
      <c r="CU205" s="310"/>
      <c r="CV205" s="310"/>
      <c r="CW205" s="310"/>
      <c r="CX205" s="310"/>
      <c r="CY205" s="310"/>
      <c r="CZ205" s="310"/>
      <c r="DA205" s="310"/>
      <c r="DB205" s="310"/>
      <c r="DC205" s="310"/>
      <c r="DD205" s="310"/>
      <c r="DE205" s="310"/>
      <c r="DF205" s="310"/>
      <c r="DG205" s="310"/>
      <c r="DH205" s="310"/>
      <c r="DI205" s="310"/>
      <c r="DJ205" s="310"/>
      <c r="DK205" s="310"/>
      <c r="DL205" s="310"/>
      <c r="DM205" s="310"/>
      <c r="DN205" s="310"/>
      <c r="DO205" s="310"/>
      <c r="DP205" s="310"/>
      <c r="DQ205" s="310"/>
      <c r="DR205" s="310"/>
      <c r="DS205" s="310"/>
      <c r="DT205" s="310"/>
      <c r="DU205" s="310"/>
      <c r="DV205" s="310"/>
      <c r="DW205" s="310"/>
      <c r="DX205" s="310"/>
      <c r="DY205" s="310"/>
      <c r="DZ205" s="310"/>
      <c r="EA205" s="310"/>
      <c r="EB205" s="310"/>
      <c r="EC205" s="310"/>
      <c r="ED205" s="310"/>
      <c r="EE205" s="310"/>
      <c r="EF205" s="310"/>
      <c r="EG205" s="310"/>
      <c r="EH205" s="310"/>
      <c r="EI205" s="310"/>
      <c r="EJ205" s="310"/>
      <c r="EK205" s="310"/>
      <c r="EL205" s="310"/>
      <c r="EM205" s="310"/>
      <c r="EN205" s="310"/>
      <c r="EO205" s="310"/>
      <c r="EP205" s="310"/>
      <c r="EQ205" s="310"/>
      <c r="ER205" s="310"/>
      <c r="ES205" s="310"/>
      <c r="ET205" s="310"/>
      <c r="EU205" s="310"/>
      <c r="EV205" s="310"/>
      <c r="EW205" s="310"/>
      <c r="EX205" s="310"/>
      <c r="EY205" s="310"/>
      <c r="EZ205" s="310"/>
      <c r="FA205" s="310"/>
      <c r="FB205" s="310"/>
      <c r="FC205" s="310"/>
      <c r="FD205" s="310"/>
      <c r="FE205" s="311"/>
      <c r="FF205" s="312"/>
    </row>
    <row r="206" spans="1:162" ht="12.75" x14ac:dyDescent="0.2">
      <c r="A206" s="446">
        <v>199</v>
      </c>
      <c r="B206" s="447" t="s">
        <v>281</v>
      </c>
      <c r="C206" s="448" t="s">
        <v>794</v>
      </c>
      <c r="D206" s="449" t="s">
        <v>1102</v>
      </c>
      <c r="E206" s="450" t="s">
        <v>736</v>
      </c>
      <c r="F206" s="451">
        <v>88047927</v>
      </c>
      <c r="G206" s="451">
        <v>0</v>
      </c>
      <c r="H206" s="451">
        <v>0</v>
      </c>
      <c r="I206" s="451">
        <v>88047927</v>
      </c>
      <c r="J206" s="451">
        <v>182952</v>
      </c>
      <c r="K206" s="451">
        <v>0</v>
      </c>
      <c r="L206" s="451">
        <v>0</v>
      </c>
      <c r="M206" s="451">
        <v>182952</v>
      </c>
      <c r="N206" s="451">
        <v>141113</v>
      </c>
      <c r="O206" s="451">
        <v>0</v>
      </c>
      <c r="P206" s="451">
        <v>0</v>
      </c>
      <c r="Q206" s="451">
        <v>141113</v>
      </c>
      <c r="R206" s="451">
        <v>477909</v>
      </c>
      <c r="S206" s="451">
        <v>0</v>
      </c>
      <c r="T206" s="451">
        <v>0</v>
      </c>
      <c r="U206" s="451">
        <v>477909</v>
      </c>
      <c r="V206" s="451">
        <v>902200</v>
      </c>
      <c r="W206" s="451">
        <v>0</v>
      </c>
      <c r="X206" s="451">
        <v>0</v>
      </c>
      <c r="Y206" s="451">
        <v>902200</v>
      </c>
      <c r="Z206" s="451">
        <v>86343753</v>
      </c>
      <c r="AA206" s="451">
        <v>0</v>
      </c>
      <c r="AB206" s="451">
        <v>0</v>
      </c>
      <c r="AC206" s="451">
        <v>86343753</v>
      </c>
      <c r="AD206" s="451">
        <v>0</v>
      </c>
      <c r="AE206" s="451">
        <v>0</v>
      </c>
      <c r="AF206" s="451">
        <v>0</v>
      </c>
      <c r="AG206" s="451">
        <v>0</v>
      </c>
      <c r="AH206" s="451">
        <v>0</v>
      </c>
      <c r="AI206" s="451">
        <v>0</v>
      </c>
      <c r="AJ206" s="451">
        <v>0</v>
      </c>
      <c r="AK206" s="451">
        <v>0</v>
      </c>
      <c r="AL206" s="451">
        <v>0</v>
      </c>
      <c r="AM206" s="451">
        <v>0</v>
      </c>
      <c r="AN206" s="451">
        <v>0</v>
      </c>
      <c r="AO206" s="451">
        <v>3696750</v>
      </c>
      <c r="AP206" s="451">
        <v>-1789074</v>
      </c>
      <c r="AQ206" s="324"/>
      <c r="AR206" s="310"/>
      <c r="AS206" s="310"/>
      <c r="AT206" s="310"/>
      <c r="AU206" s="310"/>
      <c r="AV206" s="310"/>
      <c r="AW206" s="310"/>
      <c r="AX206" s="310"/>
      <c r="AY206" s="310"/>
      <c r="AZ206" s="310"/>
      <c r="BA206" s="310"/>
      <c r="BB206" s="310"/>
      <c r="BC206" s="310"/>
      <c r="BD206" s="310"/>
      <c r="BE206" s="310"/>
      <c r="BF206" s="310"/>
      <c r="BG206" s="310"/>
      <c r="BH206" s="310"/>
      <c r="BI206" s="310"/>
      <c r="BJ206" s="310"/>
      <c r="BK206" s="310"/>
      <c r="BL206" s="310"/>
      <c r="BM206" s="310"/>
      <c r="BN206" s="310"/>
      <c r="BO206" s="310"/>
      <c r="BP206" s="310"/>
      <c r="BQ206" s="310"/>
      <c r="BR206" s="310"/>
      <c r="BS206" s="310"/>
      <c r="BT206" s="310"/>
      <c r="BU206" s="310"/>
      <c r="BV206" s="310"/>
      <c r="BW206" s="310"/>
      <c r="BX206" s="310"/>
      <c r="BY206" s="310"/>
      <c r="BZ206" s="310"/>
      <c r="CA206" s="310"/>
      <c r="CB206" s="310"/>
      <c r="CC206" s="310"/>
      <c r="CD206" s="310"/>
      <c r="CE206" s="310"/>
      <c r="CF206" s="310"/>
      <c r="CG206" s="310"/>
      <c r="CH206" s="310"/>
      <c r="CI206" s="310"/>
      <c r="CJ206" s="310"/>
      <c r="CK206" s="310"/>
      <c r="CL206" s="310"/>
      <c r="CM206" s="310"/>
      <c r="CN206" s="310"/>
      <c r="CO206" s="310"/>
      <c r="CP206" s="310"/>
      <c r="CQ206" s="310"/>
      <c r="CR206" s="310"/>
      <c r="CS206" s="310"/>
      <c r="CT206" s="310"/>
      <c r="CU206" s="310"/>
      <c r="CV206" s="310"/>
      <c r="CW206" s="310"/>
      <c r="CX206" s="310"/>
      <c r="CY206" s="310"/>
      <c r="CZ206" s="310"/>
      <c r="DA206" s="310"/>
      <c r="DB206" s="310"/>
      <c r="DC206" s="310"/>
      <c r="DD206" s="310"/>
      <c r="DE206" s="310"/>
      <c r="DF206" s="310"/>
      <c r="DG206" s="310"/>
      <c r="DH206" s="310"/>
      <c r="DI206" s="310"/>
      <c r="DJ206" s="310"/>
      <c r="DK206" s="310"/>
      <c r="DL206" s="310"/>
      <c r="DM206" s="310"/>
      <c r="DN206" s="310"/>
      <c r="DO206" s="310"/>
      <c r="DP206" s="310"/>
      <c r="DQ206" s="310"/>
      <c r="DR206" s="310"/>
      <c r="DS206" s="310"/>
      <c r="DT206" s="310"/>
      <c r="DU206" s="310"/>
      <c r="DV206" s="310"/>
      <c r="DW206" s="310"/>
      <c r="DX206" s="310"/>
      <c r="DY206" s="310"/>
      <c r="DZ206" s="310"/>
      <c r="EA206" s="310"/>
      <c r="EB206" s="310"/>
      <c r="EC206" s="310"/>
      <c r="ED206" s="310"/>
      <c r="EE206" s="310"/>
      <c r="EF206" s="310"/>
      <c r="EG206" s="310"/>
      <c r="EH206" s="310"/>
      <c r="EI206" s="310"/>
      <c r="EJ206" s="310"/>
      <c r="EK206" s="310"/>
      <c r="EL206" s="310"/>
      <c r="EM206" s="310"/>
      <c r="EN206" s="310"/>
      <c r="EO206" s="310"/>
      <c r="EP206" s="310"/>
      <c r="EQ206" s="310"/>
      <c r="ER206" s="310"/>
      <c r="ES206" s="310"/>
      <c r="ET206" s="310"/>
      <c r="EU206" s="310"/>
      <c r="EV206" s="310"/>
      <c r="EW206" s="310"/>
      <c r="EX206" s="310"/>
      <c r="EY206" s="310"/>
      <c r="EZ206" s="310"/>
      <c r="FA206" s="310"/>
      <c r="FB206" s="310"/>
      <c r="FC206" s="310"/>
      <c r="FD206" s="310"/>
      <c r="FE206" s="311"/>
      <c r="FF206" s="312"/>
    </row>
    <row r="207" spans="1:162" ht="12.75" x14ac:dyDescent="0.2">
      <c r="A207" s="446">
        <v>200</v>
      </c>
      <c r="B207" s="447" t="s">
        <v>283</v>
      </c>
      <c r="C207" s="448" t="s">
        <v>794</v>
      </c>
      <c r="D207" s="449" t="s">
        <v>1102</v>
      </c>
      <c r="E207" s="450" t="s">
        <v>737</v>
      </c>
      <c r="F207" s="451">
        <v>61022810.399999999</v>
      </c>
      <c r="G207" s="451">
        <v>0</v>
      </c>
      <c r="H207" s="451">
        <v>0</v>
      </c>
      <c r="I207" s="451">
        <v>61022810.399999999</v>
      </c>
      <c r="J207" s="451">
        <v>266390.53999999998</v>
      </c>
      <c r="K207" s="451">
        <v>0</v>
      </c>
      <c r="L207" s="451">
        <v>0</v>
      </c>
      <c r="M207" s="451">
        <v>266390.53999999998</v>
      </c>
      <c r="N207" s="451">
        <v>-44128</v>
      </c>
      <c r="O207" s="451">
        <v>0</v>
      </c>
      <c r="P207" s="451">
        <v>0</v>
      </c>
      <c r="Q207" s="451">
        <v>-44128</v>
      </c>
      <c r="R207" s="451">
        <v>967601</v>
      </c>
      <c r="S207" s="451">
        <v>0</v>
      </c>
      <c r="T207" s="451">
        <v>0</v>
      </c>
      <c r="U207" s="451">
        <v>967601</v>
      </c>
      <c r="V207" s="451">
        <v>2216511</v>
      </c>
      <c r="W207" s="451">
        <v>0</v>
      </c>
      <c r="X207" s="451">
        <v>0</v>
      </c>
      <c r="Y207" s="451">
        <v>2216511</v>
      </c>
      <c r="Z207" s="451">
        <v>57616436</v>
      </c>
      <c r="AA207" s="451">
        <v>0</v>
      </c>
      <c r="AB207" s="451">
        <v>0</v>
      </c>
      <c r="AC207" s="451">
        <v>57616436</v>
      </c>
      <c r="AD207" s="451">
        <v>0</v>
      </c>
      <c r="AE207" s="451">
        <v>0</v>
      </c>
      <c r="AF207" s="451">
        <v>0</v>
      </c>
      <c r="AG207" s="451">
        <v>0</v>
      </c>
      <c r="AH207" s="451">
        <v>0</v>
      </c>
      <c r="AI207" s="451">
        <v>0</v>
      </c>
      <c r="AJ207" s="451">
        <v>0</v>
      </c>
      <c r="AK207" s="451">
        <v>0</v>
      </c>
      <c r="AL207" s="451">
        <v>0</v>
      </c>
      <c r="AM207" s="451">
        <v>0</v>
      </c>
      <c r="AN207" s="451">
        <v>0</v>
      </c>
      <c r="AO207" s="451">
        <v>1293460.17</v>
      </c>
      <c r="AP207" s="451">
        <v>1050723.4099999999</v>
      </c>
      <c r="AQ207" s="324"/>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c r="EI207" s="310"/>
      <c r="EJ207" s="310"/>
      <c r="EK207" s="310"/>
      <c r="EL207" s="310"/>
      <c r="EM207" s="310"/>
      <c r="EN207" s="310"/>
      <c r="EO207" s="310"/>
      <c r="EP207" s="310"/>
      <c r="EQ207" s="310"/>
      <c r="ER207" s="310"/>
      <c r="ES207" s="310"/>
      <c r="ET207" s="310"/>
      <c r="EU207" s="310"/>
      <c r="EV207" s="310"/>
      <c r="EW207" s="310"/>
      <c r="EX207" s="310"/>
      <c r="EY207" s="310"/>
      <c r="EZ207" s="310"/>
      <c r="FA207" s="310"/>
      <c r="FB207" s="310"/>
      <c r="FC207" s="310"/>
      <c r="FD207" s="310"/>
      <c r="FE207" s="311"/>
      <c r="FF207" s="312"/>
    </row>
    <row r="208" spans="1:162" ht="12.75" x14ac:dyDescent="0.2">
      <c r="A208" s="446">
        <v>201</v>
      </c>
      <c r="B208" s="447" t="s">
        <v>285</v>
      </c>
      <c r="C208" s="448" t="s">
        <v>794</v>
      </c>
      <c r="D208" s="449" t="s">
        <v>1094</v>
      </c>
      <c r="E208" s="450" t="s">
        <v>738</v>
      </c>
      <c r="F208" s="451">
        <v>81196912</v>
      </c>
      <c r="G208" s="451">
        <v>0</v>
      </c>
      <c r="H208" s="451">
        <v>0</v>
      </c>
      <c r="I208" s="451">
        <v>81196912</v>
      </c>
      <c r="J208" s="451">
        <v>467108</v>
      </c>
      <c r="K208" s="451">
        <v>0</v>
      </c>
      <c r="L208" s="451">
        <v>0</v>
      </c>
      <c r="M208" s="451">
        <v>467108</v>
      </c>
      <c r="N208" s="451">
        <v>561000</v>
      </c>
      <c r="O208" s="451">
        <v>0</v>
      </c>
      <c r="P208" s="451">
        <v>0</v>
      </c>
      <c r="Q208" s="451">
        <v>561000</v>
      </c>
      <c r="R208" s="451">
        <v>2681603</v>
      </c>
      <c r="S208" s="451">
        <v>0</v>
      </c>
      <c r="T208" s="451">
        <v>0</v>
      </c>
      <c r="U208" s="451">
        <v>2681603</v>
      </c>
      <c r="V208" s="451">
        <v>11182658</v>
      </c>
      <c r="W208" s="451">
        <v>0</v>
      </c>
      <c r="X208" s="451">
        <v>0</v>
      </c>
      <c r="Y208" s="451">
        <v>11182658</v>
      </c>
      <c r="Z208" s="451">
        <v>66304543</v>
      </c>
      <c r="AA208" s="451">
        <v>0</v>
      </c>
      <c r="AB208" s="451">
        <v>0</v>
      </c>
      <c r="AC208" s="451">
        <v>66304543</v>
      </c>
      <c r="AD208" s="451">
        <v>0</v>
      </c>
      <c r="AE208" s="451">
        <v>0</v>
      </c>
      <c r="AF208" s="451">
        <v>0</v>
      </c>
      <c r="AG208" s="451">
        <v>0</v>
      </c>
      <c r="AH208" s="451">
        <v>0</v>
      </c>
      <c r="AI208" s="451">
        <v>0</v>
      </c>
      <c r="AJ208" s="451">
        <v>0</v>
      </c>
      <c r="AK208" s="451">
        <v>0</v>
      </c>
      <c r="AL208" s="451">
        <v>0</v>
      </c>
      <c r="AM208" s="451">
        <v>0</v>
      </c>
      <c r="AN208" s="451">
        <v>0</v>
      </c>
      <c r="AO208" s="451">
        <v>4496777</v>
      </c>
      <c r="AP208" s="451">
        <v>1045611</v>
      </c>
      <c r="AQ208" s="324"/>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c r="EI208" s="310"/>
      <c r="EJ208" s="310"/>
      <c r="EK208" s="310"/>
      <c r="EL208" s="310"/>
      <c r="EM208" s="310"/>
      <c r="EN208" s="310"/>
      <c r="EO208" s="310"/>
      <c r="EP208" s="310"/>
      <c r="EQ208" s="310"/>
      <c r="ER208" s="310"/>
      <c r="ES208" s="310"/>
      <c r="ET208" s="310"/>
      <c r="EU208" s="310"/>
      <c r="EV208" s="310"/>
      <c r="EW208" s="310"/>
      <c r="EX208" s="310"/>
      <c r="EY208" s="310"/>
      <c r="EZ208" s="310"/>
      <c r="FA208" s="310"/>
      <c r="FB208" s="310"/>
      <c r="FC208" s="310"/>
      <c r="FD208" s="310"/>
      <c r="FE208" s="311"/>
      <c r="FF208" s="312"/>
    </row>
    <row r="209" spans="1:162" ht="12.75" x14ac:dyDescent="0.2">
      <c r="A209" s="446">
        <v>202</v>
      </c>
      <c r="B209" s="447" t="s">
        <v>287</v>
      </c>
      <c r="C209" s="448" t="s">
        <v>1093</v>
      </c>
      <c r="D209" s="449" t="s">
        <v>1095</v>
      </c>
      <c r="E209" s="450" t="s">
        <v>286</v>
      </c>
      <c r="F209" s="451">
        <v>65964697.200000003</v>
      </c>
      <c r="G209" s="451">
        <v>0</v>
      </c>
      <c r="H209" s="451">
        <v>0</v>
      </c>
      <c r="I209" s="451">
        <v>65964697.200000003</v>
      </c>
      <c r="J209" s="451">
        <v>799109.4</v>
      </c>
      <c r="K209" s="451">
        <v>0</v>
      </c>
      <c r="L209" s="451">
        <v>0</v>
      </c>
      <c r="M209" s="451">
        <v>799109.4</v>
      </c>
      <c r="N209" s="451">
        <v>282732.94</v>
      </c>
      <c r="O209" s="451">
        <v>0</v>
      </c>
      <c r="P209" s="451">
        <v>0</v>
      </c>
      <c r="Q209" s="451">
        <v>282732.94</v>
      </c>
      <c r="R209" s="451">
        <v>1277327.1499999999</v>
      </c>
      <c r="S209" s="451">
        <v>0</v>
      </c>
      <c r="T209" s="451">
        <v>0</v>
      </c>
      <c r="U209" s="451">
        <v>1277327.1499999999</v>
      </c>
      <c r="V209" s="451">
        <v>3619184.12</v>
      </c>
      <c r="W209" s="451">
        <v>0</v>
      </c>
      <c r="X209" s="451">
        <v>0</v>
      </c>
      <c r="Y209" s="451">
        <v>3619184.12</v>
      </c>
      <c r="Z209" s="451">
        <v>59986344</v>
      </c>
      <c r="AA209" s="451">
        <v>0</v>
      </c>
      <c r="AB209" s="451">
        <v>0</v>
      </c>
      <c r="AC209" s="451">
        <v>59986344</v>
      </c>
      <c r="AD209" s="451">
        <v>0</v>
      </c>
      <c r="AE209" s="451">
        <v>0</v>
      </c>
      <c r="AF209" s="451">
        <v>0</v>
      </c>
      <c r="AG209" s="451">
        <v>0</v>
      </c>
      <c r="AH209" s="451">
        <v>0</v>
      </c>
      <c r="AI209" s="451">
        <v>0</v>
      </c>
      <c r="AJ209" s="451">
        <v>0</v>
      </c>
      <c r="AK209" s="451">
        <v>0</v>
      </c>
      <c r="AL209" s="451">
        <v>0</v>
      </c>
      <c r="AM209" s="451">
        <v>0</v>
      </c>
      <c r="AN209" s="451">
        <v>0</v>
      </c>
      <c r="AO209" s="451">
        <v>2694832</v>
      </c>
      <c r="AP209" s="451">
        <v>1096991.6100000001</v>
      </c>
      <c r="AQ209" s="324"/>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c r="EI209" s="310"/>
      <c r="EJ209" s="310"/>
      <c r="EK209" s="310"/>
      <c r="EL209" s="310"/>
      <c r="EM209" s="310"/>
      <c r="EN209" s="310"/>
      <c r="EO209" s="310"/>
      <c r="EP209" s="310"/>
      <c r="EQ209" s="310"/>
      <c r="ER209" s="310"/>
      <c r="ES209" s="310"/>
      <c r="ET209" s="310"/>
      <c r="EU209" s="310"/>
      <c r="EV209" s="310"/>
      <c r="EW209" s="310"/>
      <c r="EX209" s="310"/>
      <c r="EY209" s="310"/>
      <c r="EZ209" s="310"/>
      <c r="FA209" s="310"/>
      <c r="FB209" s="310"/>
      <c r="FC209" s="310"/>
      <c r="FD209" s="310"/>
      <c r="FE209" s="311"/>
      <c r="FF209" s="312"/>
    </row>
    <row r="210" spans="1:162" ht="12.75" x14ac:dyDescent="0.2">
      <c r="A210" s="446">
        <v>203</v>
      </c>
      <c r="B210" s="447" t="s">
        <v>289</v>
      </c>
      <c r="C210" s="448" t="s">
        <v>1093</v>
      </c>
      <c r="D210" s="449" t="s">
        <v>1102</v>
      </c>
      <c r="E210" s="450" t="s">
        <v>288</v>
      </c>
      <c r="F210" s="451">
        <v>17829472.899999999</v>
      </c>
      <c r="G210" s="451">
        <v>0</v>
      </c>
      <c r="H210" s="451">
        <v>0</v>
      </c>
      <c r="I210" s="451">
        <v>17829472.899999999</v>
      </c>
      <c r="J210" s="451">
        <v>99052.52</v>
      </c>
      <c r="K210" s="451">
        <v>0</v>
      </c>
      <c r="L210" s="451">
        <v>0</v>
      </c>
      <c r="M210" s="451">
        <v>99052.52</v>
      </c>
      <c r="N210" s="451">
        <v>20000</v>
      </c>
      <c r="O210" s="451">
        <v>0</v>
      </c>
      <c r="P210" s="451">
        <v>0</v>
      </c>
      <c r="Q210" s="451">
        <v>20000</v>
      </c>
      <c r="R210" s="451">
        <v>111481</v>
      </c>
      <c r="S210" s="451">
        <v>0</v>
      </c>
      <c r="T210" s="451">
        <v>0</v>
      </c>
      <c r="U210" s="451">
        <v>111481</v>
      </c>
      <c r="V210" s="451">
        <v>373218</v>
      </c>
      <c r="W210" s="451">
        <v>0</v>
      </c>
      <c r="X210" s="451">
        <v>0</v>
      </c>
      <c r="Y210" s="451">
        <v>373218</v>
      </c>
      <c r="Z210" s="451">
        <v>17225721</v>
      </c>
      <c r="AA210" s="451">
        <v>0</v>
      </c>
      <c r="AB210" s="451">
        <v>0</v>
      </c>
      <c r="AC210" s="451">
        <v>17225721</v>
      </c>
      <c r="AD210" s="451">
        <v>0</v>
      </c>
      <c r="AE210" s="451">
        <v>0</v>
      </c>
      <c r="AF210" s="451">
        <v>0</v>
      </c>
      <c r="AG210" s="451">
        <v>0</v>
      </c>
      <c r="AH210" s="451">
        <v>0</v>
      </c>
      <c r="AI210" s="451">
        <v>0</v>
      </c>
      <c r="AJ210" s="451">
        <v>0</v>
      </c>
      <c r="AK210" s="451">
        <v>0</v>
      </c>
      <c r="AL210" s="451">
        <v>0</v>
      </c>
      <c r="AM210" s="451">
        <v>0</v>
      </c>
      <c r="AN210" s="451">
        <v>0</v>
      </c>
      <c r="AO210" s="451">
        <v>553656.82999999996</v>
      </c>
      <c r="AP210" s="451">
        <v>233195.61</v>
      </c>
      <c r="AQ210" s="324"/>
      <c r="AR210" s="310"/>
      <c r="AS210" s="310"/>
      <c r="AT210" s="310"/>
      <c r="AU210" s="310"/>
      <c r="AV210" s="310"/>
      <c r="AW210" s="310"/>
      <c r="AX210" s="310"/>
      <c r="AY210" s="310"/>
      <c r="AZ210" s="310"/>
      <c r="BA210" s="310"/>
      <c r="BB210" s="310"/>
      <c r="BC210" s="310"/>
      <c r="BD210" s="310"/>
      <c r="BE210" s="310"/>
      <c r="BF210" s="310"/>
      <c r="BG210" s="310"/>
      <c r="BH210" s="310"/>
      <c r="BI210" s="310"/>
      <c r="BJ210" s="310"/>
      <c r="BK210" s="310"/>
      <c r="BL210" s="310"/>
      <c r="BM210" s="310"/>
      <c r="BN210" s="310"/>
      <c r="BO210" s="310"/>
      <c r="BP210" s="310"/>
      <c r="BQ210" s="310"/>
      <c r="BR210" s="310"/>
      <c r="BS210" s="310"/>
      <c r="BT210" s="310"/>
      <c r="BU210" s="310"/>
      <c r="BV210" s="310"/>
      <c r="BW210" s="310"/>
      <c r="BX210" s="310"/>
      <c r="BY210" s="310"/>
      <c r="BZ210" s="310"/>
      <c r="CA210" s="310"/>
      <c r="CB210" s="310"/>
      <c r="CC210" s="310"/>
      <c r="CD210" s="310"/>
      <c r="CE210" s="310"/>
      <c r="CF210" s="310"/>
      <c r="CG210" s="310"/>
      <c r="CH210" s="310"/>
      <c r="CI210" s="310"/>
      <c r="CJ210" s="310"/>
      <c r="CK210" s="310"/>
      <c r="CL210" s="310"/>
      <c r="CM210" s="310"/>
      <c r="CN210" s="310"/>
      <c r="CO210" s="310"/>
      <c r="CP210" s="310"/>
      <c r="CQ210" s="310"/>
      <c r="CR210" s="310"/>
      <c r="CS210" s="310"/>
      <c r="CT210" s="310"/>
      <c r="CU210" s="310"/>
      <c r="CV210" s="310"/>
      <c r="CW210" s="310"/>
      <c r="CX210" s="310"/>
      <c r="CY210" s="310"/>
      <c r="CZ210" s="310"/>
      <c r="DA210" s="310"/>
      <c r="DB210" s="310"/>
      <c r="DC210" s="310"/>
      <c r="DD210" s="310"/>
      <c r="DE210" s="310"/>
      <c r="DF210" s="310"/>
      <c r="DG210" s="310"/>
      <c r="DH210" s="310"/>
      <c r="DI210" s="310"/>
      <c r="DJ210" s="310"/>
      <c r="DK210" s="310"/>
      <c r="DL210" s="310"/>
      <c r="DM210" s="310"/>
      <c r="DN210" s="310"/>
      <c r="DO210" s="310"/>
      <c r="DP210" s="310"/>
      <c r="DQ210" s="310"/>
      <c r="DR210" s="310"/>
      <c r="DS210" s="310"/>
      <c r="DT210" s="310"/>
      <c r="DU210" s="310"/>
      <c r="DV210" s="310"/>
      <c r="DW210" s="310"/>
      <c r="DX210" s="310"/>
      <c r="DY210" s="310"/>
      <c r="DZ210" s="310"/>
      <c r="EA210" s="310"/>
      <c r="EB210" s="310"/>
      <c r="EC210" s="310"/>
      <c r="ED210" s="310"/>
      <c r="EE210" s="310"/>
      <c r="EF210" s="310"/>
      <c r="EG210" s="310"/>
      <c r="EH210" s="310"/>
      <c r="EI210" s="310"/>
      <c r="EJ210" s="310"/>
      <c r="EK210" s="310"/>
      <c r="EL210" s="310"/>
      <c r="EM210" s="310"/>
      <c r="EN210" s="310"/>
      <c r="EO210" s="310"/>
      <c r="EP210" s="310"/>
      <c r="EQ210" s="310"/>
      <c r="ER210" s="310"/>
      <c r="ES210" s="310"/>
      <c r="ET210" s="310"/>
      <c r="EU210" s="310"/>
      <c r="EV210" s="310"/>
      <c r="EW210" s="310"/>
      <c r="EX210" s="310"/>
      <c r="EY210" s="310"/>
      <c r="EZ210" s="310"/>
      <c r="FA210" s="310"/>
      <c r="FB210" s="310"/>
      <c r="FC210" s="310"/>
      <c r="FD210" s="310"/>
      <c r="FE210" s="311"/>
      <c r="FF210" s="312"/>
    </row>
    <row r="211" spans="1:162" ht="12.75" x14ac:dyDescent="0.2">
      <c r="A211" s="446">
        <v>204</v>
      </c>
      <c r="B211" s="447" t="s">
        <v>291</v>
      </c>
      <c r="C211" s="448" t="s">
        <v>794</v>
      </c>
      <c r="D211" s="449" t="s">
        <v>1094</v>
      </c>
      <c r="E211" s="450" t="s">
        <v>739</v>
      </c>
      <c r="F211" s="451">
        <v>105360932</v>
      </c>
      <c r="G211" s="451">
        <v>0</v>
      </c>
      <c r="H211" s="451">
        <v>0</v>
      </c>
      <c r="I211" s="451">
        <v>105360932</v>
      </c>
      <c r="J211" s="451">
        <v>107207</v>
      </c>
      <c r="K211" s="451">
        <v>0</v>
      </c>
      <c r="L211" s="451">
        <v>0</v>
      </c>
      <c r="M211" s="451">
        <v>107207</v>
      </c>
      <c r="N211" s="451">
        <v>1057071.18</v>
      </c>
      <c r="O211" s="451">
        <v>0</v>
      </c>
      <c r="P211" s="451">
        <v>0</v>
      </c>
      <c r="Q211" s="451">
        <v>1057071.18</v>
      </c>
      <c r="R211" s="451">
        <v>3000000</v>
      </c>
      <c r="S211" s="451">
        <v>0</v>
      </c>
      <c r="T211" s="451">
        <v>0</v>
      </c>
      <c r="U211" s="451">
        <v>3000000</v>
      </c>
      <c r="V211" s="451">
        <v>12000000</v>
      </c>
      <c r="W211" s="451">
        <v>0</v>
      </c>
      <c r="X211" s="451">
        <v>0</v>
      </c>
      <c r="Y211" s="451">
        <v>12000000</v>
      </c>
      <c r="Z211" s="451">
        <v>89196654</v>
      </c>
      <c r="AA211" s="451">
        <v>0</v>
      </c>
      <c r="AB211" s="451">
        <v>0</v>
      </c>
      <c r="AC211" s="451">
        <v>89196654</v>
      </c>
      <c r="AD211" s="451">
        <v>0</v>
      </c>
      <c r="AE211" s="451">
        <v>0</v>
      </c>
      <c r="AF211" s="451">
        <v>0</v>
      </c>
      <c r="AG211" s="451">
        <v>0</v>
      </c>
      <c r="AH211" s="451">
        <v>0</v>
      </c>
      <c r="AI211" s="451">
        <v>0</v>
      </c>
      <c r="AJ211" s="451">
        <v>0</v>
      </c>
      <c r="AK211" s="451">
        <v>0</v>
      </c>
      <c r="AL211" s="451">
        <v>0</v>
      </c>
      <c r="AM211" s="451">
        <v>0</v>
      </c>
      <c r="AN211" s="451">
        <v>0</v>
      </c>
      <c r="AO211" s="451">
        <v>4646907</v>
      </c>
      <c r="AP211" s="451">
        <v>1164988</v>
      </c>
      <c r="AQ211" s="324"/>
      <c r="AR211" s="310"/>
      <c r="AS211" s="310"/>
      <c r="AT211" s="310"/>
      <c r="AU211" s="310"/>
      <c r="AV211" s="310"/>
      <c r="AW211" s="310"/>
      <c r="AX211" s="310"/>
      <c r="AY211" s="310"/>
      <c r="AZ211" s="310"/>
      <c r="BA211" s="310"/>
      <c r="BB211" s="310"/>
      <c r="BC211" s="310"/>
      <c r="BD211" s="310"/>
      <c r="BE211" s="310"/>
      <c r="BF211" s="310"/>
      <c r="BG211" s="310"/>
      <c r="BH211" s="310"/>
      <c r="BI211" s="310"/>
      <c r="BJ211" s="310"/>
      <c r="BK211" s="310"/>
      <c r="BL211" s="310"/>
      <c r="BM211" s="310"/>
      <c r="BN211" s="310"/>
      <c r="BO211" s="310"/>
      <c r="BP211" s="310"/>
      <c r="BQ211" s="310"/>
      <c r="BR211" s="310"/>
      <c r="BS211" s="310"/>
      <c r="BT211" s="310"/>
      <c r="BU211" s="310"/>
      <c r="BV211" s="310"/>
      <c r="BW211" s="310"/>
      <c r="BX211" s="310"/>
      <c r="BY211" s="310"/>
      <c r="BZ211" s="310"/>
      <c r="CA211" s="310"/>
      <c r="CB211" s="310"/>
      <c r="CC211" s="310"/>
      <c r="CD211" s="310"/>
      <c r="CE211" s="310"/>
      <c r="CF211" s="310"/>
      <c r="CG211" s="310"/>
      <c r="CH211" s="310"/>
      <c r="CI211" s="310"/>
      <c r="CJ211" s="310"/>
      <c r="CK211" s="310"/>
      <c r="CL211" s="310"/>
      <c r="CM211" s="310"/>
      <c r="CN211" s="310"/>
      <c r="CO211" s="310"/>
      <c r="CP211" s="310"/>
      <c r="CQ211" s="310"/>
      <c r="CR211" s="310"/>
      <c r="CS211" s="310"/>
      <c r="CT211" s="310"/>
      <c r="CU211" s="310"/>
      <c r="CV211" s="310"/>
      <c r="CW211" s="310"/>
      <c r="CX211" s="310"/>
      <c r="CY211" s="310"/>
      <c r="CZ211" s="310"/>
      <c r="DA211" s="310"/>
      <c r="DB211" s="310"/>
      <c r="DC211" s="310"/>
      <c r="DD211" s="310"/>
      <c r="DE211" s="310"/>
      <c r="DF211" s="310"/>
      <c r="DG211" s="310"/>
      <c r="DH211" s="310"/>
      <c r="DI211" s="310"/>
      <c r="DJ211" s="310"/>
      <c r="DK211" s="310"/>
      <c r="DL211" s="310"/>
      <c r="DM211" s="310"/>
      <c r="DN211" s="310"/>
      <c r="DO211" s="310"/>
      <c r="DP211" s="310"/>
      <c r="DQ211" s="310"/>
      <c r="DR211" s="310"/>
      <c r="DS211" s="310"/>
      <c r="DT211" s="310"/>
      <c r="DU211" s="310"/>
      <c r="DV211" s="310"/>
      <c r="DW211" s="310"/>
      <c r="DX211" s="310"/>
      <c r="DY211" s="310"/>
      <c r="DZ211" s="310"/>
      <c r="EA211" s="310"/>
      <c r="EB211" s="310"/>
      <c r="EC211" s="310"/>
      <c r="ED211" s="310"/>
      <c r="EE211" s="310"/>
      <c r="EF211" s="310"/>
      <c r="EG211" s="310"/>
      <c r="EH211" s="310"/>
      <c r="EI211" s="310"/>
      <c r="EJ211" s="310"/>
      <c r="EK211" s="310"/>
      <c r="EL211" s="310"/>
      <c r="EM211" s="310"/>
      <c r="EN211" s="310"/>
      <c r="EO211" s="310"/>
      <c r="EP211" s="310"/>
      <c r="EQ211" s="310"/>
      <c r="ER211" s="310"/>
      <c r="ES211" s="310"/>
      <c r="ET211" s="310"/>
      <c r="EU211" s="310"/>
      <c r="EV211" s="310"/>
      <c r="EW211" s="310"/>
      <c r="EX211" s="310"/>
      <c r="EY211" s="310"/>
      <c r="EZ211" s="310"/>
      <c r="FA211" s="310"/>
      <c r="FB211" s="310"/>
      <c r="FC211" s="310"/>
      <c r="FD211" s="310"/>
      <c r="FE211" s="311"/>
      <c r="FF211" s="312"/>
    </row>
    <row r="212" spans="1:162" ht="12.75" x14ac:dyDescent="0.2">
      <c r="A212" s="446">
        <v>205</v>
      </c>
      <c r="B212" s="447" t="s">
        <v>293</v>
      </c>
      <c r="C212" s="448" t="s">
        <v>1098</v>
      </c>
      <c r="D212" s="449" t="s">
        <v>1099</v>
      </c>
      <c r="E212" s="450" t="s">
        <v>292</v>
      </c>
      <c r="F212" s="451">
        <v>53795558</v>
      </c>
      <c r="G212" s="451">
        <v>0</v>
      </c>
      <c r="H212" s="451">
        <v>0</v>
      </c>
      <c r="I212" s="451">
        <v>53795558</v>
      </c>
      <c r="J212" s="451">
        <v>627306.61</v>
      </c>
      <c r="K212" s="451">
        <v>0</v>
      </c>
      <c r="L212" s="451">
        <v>0</v>
      </c>
      <c r="M212" s="451">
        <v>627306.61</v>
      </c>
      <c r="N212" s="451">
        <v>1355000</v>
      </c>
      <c r="O212" s="451">
        <v>0</v>
      </c>
      <c r="P212" s="451">
        <v>0</v>
      </c>
      <c r="Q212" s="451">
        <v>1355000</v>
      </c>
      <c r="R212" s="451">
        <v>800000</v>
      </c>
      <c r="S212" s="451">
        <v>0</v>
      </c>
      <c r="T212" s="451">
        <v>0</v>
      </c>
      <c r="U212" s="451">
        <v>800000</v>
      </c>
      <c r="V212" s="451">
        <v>0</v>
      </c>
      <c r="W212" s="451">
        <v>0</v>
      </c>
      <c r="X212" s="451">
        <v>0</v>
      </c>
      <c r="Y212" s="451">
        <v>0</v>
      </c>
      <c r="Z212" s="451">
        <v>51013251</v>
      </c>
      <c r="AA212" s="451">
        <v>0</v>
      </c>
      <c r="AB212" s="451">
        <v>0</v>
      </c>
      <c r="AC212" s="451">
        <v>51013251</v>
      </c>
      <c r="AD212" s="451">
        <v>0</v>
      </c>
      <c r="AE212" s="451">
        <v>0</v>
      </c>
      <c r="AF212" s="451">
        <v>0</v>
      </c>
      <c r="AG212" s="451">
        <v>0</v>
      </c>
      <c r="AH212" s="451">
        <v>0</v>
      </c>
      <c r="AI212" s="451">
        <v>0</v>
      </c>
      <c r="AJ212" s="451">
        <v>0</v>
      </c>
      <c r="AK212" s="451">
        <v>0</v>
      </c>
      <c r="AL212" s="451">
        <v>0</v>
      </c>
      <c r="AM212" s="451">
        <v>0</v>
      </c>
      <c r="AN212" s="451">
        <v>0</v>
      </c>
      <c r="AO212" s="451">
        <v>8278783.1100000003</v>
      </c>
      <c r="AP212" s="451">
        <v>1636744.58</v>
      </c>
      <c r="AQ212" s="324"/>
      <c r="AR212" s="310"/>
      <c r="AS212" s="310"/>
      <c r="AT212" s="310"/>
      <c r="AU212" s="310"/>
      <c r="AV212" s="310"/>
      <c r="AW212" s="310"/>
      <c r="AX212" s="310"/>
      <c r="AY212" s="310"/>
      <c r="AZ212" s="310"/>
      <c r="BA212" s="310"/>
      <c r="BB212" s="310"/>
      <c r="BC212" s="310"/>
      <c r="BD212" s="310"/>
      <c r="BE212" s="310"/>
      <c r="BF212" s="310"/>
      <c r="BG212" s="310"/>
      <c r="BH212" s="310"/>
      <c r="BI212" s="310"/>
      <c r="BJ212" s="310"/>
      <c r="BK212" s="310"/>
      <c r="BL212" s="310"/>
      <c r="BM212" s="310"/>
      <c r="BN212" s="310"/>
      <c r="BO212" s="310"/>
      <c r="BP212" s="310"/>
      <c r="BQ212" s="310"/>
      <c r="BR212" s="310"/>
      <c r="BS212" s="310"/>
      <c r="BT212" s="310"/>
      <c r="BU212" s="310"/>
      <c r="BV212" s="310"/>
      <c r="BW212" s="310"/>
      <c r="BX212" s="310"/>
      <c r="BY212" s="310"/>
      <c r="BZ212" s="310"/>
      <c r="CA212" s="310"/>
      <c r="CB212" s="310"/>
      <c r="CC212" s="310"/>
      <c r="CD212" s="310"/>
      <c r="CE212" s="310"/>
      <c r="CF212" s="310"/>
      <c r="CG212" s="310"/>
      <c r="CH212" s="310"/>
      <c r="CI212" s="310"/>
      <c r="CJ212" s="310"/>
      <c r="CK212" s="310"/>
      <c r="CL212" s="310"/>
      <c r="CM212" s="310"/>
      <c r="CN212" s="310"/>
      <c r="CO212" s="310"/>
      <c r="CP212" s="310"/>
      <c r="CQ212" s="310"/>
      <c r="CR212" s="310"/>
      <c r="CS212" s="310"/>
      <c r="CT212" s="310"/>
      <c r="CU212" s="310"/>
      <c r="CV212" s="310"/>
      <c r="CW212" s="310"/>
      <c r="CX212" s="310"/>
      <c r="CY212" s="310"/>
      <c r="CZ212" s="310"/>
      <c r="DA212" s="310"/>
      <c r="DB212" s="310"/>
      <c r="DC212" s="310"/>
      <c r="DD212" s="310"/>
      <c r="DE212" s="310"/>
      <c r="DF212" s="310"/>
      <c r="DG212" s="310"/>
      <c r="DH212" s="310"/>
      <c r="DI212" s="310"/>
      <c r="DJ212" s="310"/>
      <c r="DK212" s="310"/>
      <c r="DL212" s="310"/>
      <c r="DM212" s="310"/>
      <c r="DN212" s="310"/>
      <c r="DO212" s="310"/>
      <c r="DP212" s="310"/>
      <c r="DQ212" s="310"/>
      <c r="DR212" s="310"/>
      <c r="DS212" s="310"/>
      <c r="DT212" s="310"/>
      <c r="DU212" s="310"/>
      <c r="DV212" s="310"/>
      <c r="DW212" s="310"/>
      <c r="DX212" s="310"/>
      <c r="DY212" s="310"/>
      <c r="DZ212" s="310"/>
      <c r="EA212" s="310"/>
      <c r="EB212" s="310"/>
      <c r="EC212" s="310"/>
      <c r="ED212" s="310"/>
      <c r="EE212" s="310"/>
      <c r="EF212" s="310"/>
      <c r="EG212" s="310"/>
      <c r="EH212" s="310"/>
      <c r="EI212" s="310"/>
      <c r="EJ212" s="310"/>
      <c r="EK212" s="310"/>
      <c r="EL212" s="310"/>
      <c r="EM212" s="310"/>
      <c r="EN212" s="310"/>
      <c r="EO212" s="310"/>
      <c r="EP212" s="310"/>
      <c r="EQ212" s="310"/>
      <c r="ER212" s="310"/>
      <c r="ES212" s="310"/>
      <c r="ET212" s="310"/>
      <c r="EU212" s="310"/>
      <c r="EV212" s="310"/>
      <c r="EW212" s="310"/>
      <c r="EX212" s="310"/>
      <c r="EY212" s="310"/>
      <c r="EZ212" s="310"/>
      <c r="FA212" s="310"/>
      <c r="FB212" s="310"/>
      <c r="FC212" s="310"/>
      <c r="FD212" s="310"/>
      <c r="FE212" s="311"/>
      <c r="FF212" s="312"/>
    </row>
    <row r="213" spans="1:162" ht="12.75" x14ac:dyDescent="0.2">
      <c r="A213" s="446">
        <v>206</v>
      </c>
      <c r="B213" s="447" t="s">
        <v>295</v>
      </c>
      <c r="C213" s="448" t="s">
        <v>794</v>
      </c>
      <c r="D213" s="449" t="s">
        <v>1105</v>
      </c>
      <c r="E213" s="450" t="s">
        <v>740</v>
      </c>
      <c r="F213" s="451">
        <v>51472286</v>
      </c>
      <c r="G213" s="451">
        <v>0</v>
      </c>
      <c r="H213" s="451">
        <v>11720</v>
      </c>
      <c r="I213" s="451">
        <v>51484006</v>
      </c>
      <c r="J213" s="451">
        <v>113488</v>
      </c>
      <c r="K213" s="451">
        <v>0</v>
      </c>
      <c r="L213" s="451">
        <v>0</v>
      </c>
      <c r="M213" s="451">
        <v>113488</v>
      </c>
      <c r="N213" s="451">
        <v>134632</v>
      </c>
      <c r="O213" s="451">
        <v>0</v>
      </c>
      <c r="P213" s="451">
        <v>0</v>
      </c>
      <c r="Q213" s="451">
        <v>134632</v>
      </c>
      <c r="R213" s="451">
        <v>1258593</v>
      </c>
      <c r="S213" s="451">
        <v>0</v>
      </c>
      <c r="T213" s="451">
        <v>0</v>
      </c>
      <c r="U213" s="451">
        <v>1258593</v>
      </c>
      <c r="V213" s="451">
        <v>3468479</v>
      </c>
      <c r="W213" s="451">
        <v>0</v>
      </c>
      <c r="X213" s="451">
        <v>0</v>
      </c>
      <c r="Y213" s="451">
        <v>3468479</v>
      </c>
      <c r="Z213" s="451">
        <v>46497094</v>
      </c>
      <c r="AA213" s="451">
        <v>0</v>
      </c>
      <c r="AB213" s="451">
        <v>11720</v>
      </c>
      <c r="AC213" s="451">
        <v>46508814</v>
      </c>
      <c r="AD213" s="451">
        <v>0</v>
      </c>
      <c r="AE213" s="451">
        <v>0</v>
      </c>
      <c r="AF213" s="451">
        <v>0</v>
      </c>
      <c r="AG213" s="451">
        <v>0</v>
      </c>
      <c r="AH213" s="451">
        <v>0</v>
      </c>
      <c r="AI213" s="451">
        <v>0</v>
      </c>
      <c r="AJ213" s="451">
        <v>0</v>
      </c>
      <c r="AK213" s="451">
        <v>0</v>
      </c>
      <c r="AL213" s="451">
        <v>0</v>
      </c>
      <c r="AM213" s="451">
        <v>11720</v>
      </c>
      <c r="AN213" s="451">
        <v>0</v>
      </c>
      <c r="AO213" s="451">
        <v>7863338</v>
      </c>
      <c r="AP213" s="451">
        <v>397975</v>
      </c>
      <c r="AQ213" s="324"/>
      <c r="AR213" s="310"/>
      <c r="AS213" s="310"/>
      <c r="AT213" s="310"/>
      <c r="AU213" s="310"/>
      <c r="AV213" s="310"/>
      <c r="AW213" s="310"/>
      <c r="AX213" s="310"/>
      <c r="AY213" s="310"/>
      <c r="AZ213" s="310"/>
      <c r="BA213" s="310"/>
      <c r="BB213" s="310"/>
      <c r="BC213" s="310"/>
      <c r="BD213" s="310"/>
      <c r="BE213" s="310"/>
      <c r="BF213" s="310"/>
      <c r="BG213" s="310"/>
      <c r="BH213" s="310"/>
      <c r="BI213" s="310"/>
      <c r="BJ213" s="310"/>
      <c r="BK213" s="310"/>
      <c r="BL213" s="310"/>
      <c r="BM213" s="310"/>
      <c r="BN213" s="310"/>
      <c r="BO213" s="310"/>
      <c r="BP213" s="310"/>
      <c r="BQ213" s="310"/>
      <c r="BR213" s="310"/>
      <c r="BS213" s="310"/>
      <c r="BT213" s="310"/>
      <c r="BU213" s="310"/>
      <c r="BV213" s="310"/>
      <c r="BW213" s="310"/>
      <c r="BX213" s="310"/>
      <c r="BY213" s="310"/>
      <c r="BZ213" s="310"/>
      <c r="CA213" s="310"/>
      <c r="CB213" s="310"/>
      <c r="CC213" s="310"/>
      <c r="CD213" s="310"/>
      <c r="CE213" s="310"/>
      <c r="CF213" s="310"/>
      <c r="CG213" s="310"/>
      <c r="CH213" s="310"/>
      <c r="CI213" s="310"/>
      <c r="CJ213" s="310"/>
      <c r="CK213" s="310"/>
      <c r="CL213" s="310"/>
      <c r="CM213" s="310"/>
      <c r="CN213" s="310"/>
      <c r="CO213" s="310"/>
      <c r="CP213" s="310"/>
      <c r="CQ213" s="310"/>
      <c r="CR213" s="310"/>
      <c r="CS213" s="310"/>
      <c r="CT213" s="310"/>
      <c r="CU213" s="310"/>
      <c r="CV213" s="310"/>
      <c r="CW213" s="310"/>
      <c r="CX213" s="310"/>
      <c r="CY213" s="310"/>
      <c r="CZ213" s="310"/>
      <c r="DA213" s="310"/>
      <c r="DB213" s="310"/>
      <c r="DC213" s="310"/>
      <c r="DD213" s="310"/>
      <c r="DE213" s="310"/>
      <c r="DF213" s="310"/>
      <c r="DG213" s="310"/>
      <c r="DH213" s="310"/>
      <c r="DI213" s="310"/>
      <c r="DJ213" s="310"/>
      <c r="DK213" s="310"/>
      <c r="DL213" s="310"/>
      <c r="DM213" s="310"/>
      <c r="DN213" s="310"/>
      <c r="DO213" s="310"/>
      <c r="DP213" s="310"/>
      <c r="DQ213" s="310"/>
      <c r="DR213" s="310"/>
      <c r="DS213" s="310"/>
      <c r="DT213" s="310"/>
      <c r="DU213" s="310"/>
      <c r="DV213" s="310"/>
      <c r="DW213" s="310"/>
      <c r="DX213" s="310"/>
      <c r="DY213" s="310"/>
      <c r="DZ213" s="310"/>
      <c r="EA213" s="310"/>
      <c r="EB213" s="310"/>
      <c r="EC213" s="310"/>
      <c r="ED213" s="310"/>
      <c r="EE213" s="310"/>
      <c r="EF213" s="310"/>
      <c r="EG213" s="310"/>
      <c r="EH213" s="310"/>
      <c r="EI213" s="310"/>
      <c r="EJ213" s="310"/>
      <c r="EK213" s="310"/>
      <c r="EL213" s="310"/>
      <c r="EM213" s="310"/>
      <c r="EN213" s="310"/>
      <c r="EO213" s="310"/>
      <c r="EP213" s="310"/>
      <c r="EQ213" s="310"/>
      <c r="ER213" s="310"/>
      <c r="ES213" s="310"/>
      <c r="ET213" s="310"/>
      <c r="EU213" s="310"/>
      <c r="EV213" s="310"/>
      <c r="EW213" s="310"/>
      <c r="EX213" s="310"/>
      <c r="EY213" s="310"/>
      <c r="EZ213" s="310"/>
      <c r="FA213" s="310"/>
      <c r="FB213" s="310"/>
      <c r="FC213" s="310"/>
      <c r="FD213" s="310"/>
      <c r="FE213" s="311"/>
      <c r="FF213" s="312"/>
    </row>
    <row r="214" spans="1:162" ht="12.75" x14ac:dyDescent="0.2">
      <c r="A214" s="446">
        <v>207</v>
      </c>
      <c r="B214" s="447" t="s">
        <v>297</v>
      </c>
      <c r="C214" s="448" t="s">
        <v>1093</v>
      </c>
      <c r="D214" s="449" t="s">
        <v>1103</v>
      </c>
      <c r="E214" s="450" t="s">
        <v>296</v>
      </c>
      <c r="F214" s="451">
        <v>34349142</v>
      </c>
      <c r="G214" s="451">
        <v>0</v>
      </c>
      <c r="H214" s="451">
        <v>0</v>
      </c>
      <c r="I214" s="451">
        <v>34349142</v>
      </c>
      <c r="J214" s="451">
        <v>167902</v>
      </c>
      <c r="K214" s="451">
        <v>0</v>
      </c>
      <c r="L214" s="451">
        <v>0</v>
      </c>
      <c r="M214" s="451">
        <v>167902</v>
      </c>
      <c r="N214" s="451">
        <v>134002</v>
      </c>
      <c r="O214" s="451">
        <v>0</v>
      </c>
      <c r="P214" s="451">
        <v>0</v>
      </c>
      <c r="Q214" s="451">
        <v>134002</v>
      </c>
      <c r="R214" s="451">
        <v>301038</v>
      </c>
      <c r="S214" s="451">
        <v>0</v>
      </c>
      <c r="T214" s="451">
        <v>0</v>
      </c>
      <c r="U214" s="451">
        <v>301038</v>
      </c>
      <c r="V214" s="451">
        <v>827065</v>
      </c>
      <c r="W214" s="451">
        <v>0</v>
      </c>
      <c r="X214" s="451">
        <v>0</v>
      </c>
      <c r="Y214" s="451">
        <v>827065</v>
      </c>
      <c r="Z214" s="451">
        <v>32919135</v>
      </c>
      <c r="AA214" s="451">
        <v>0</v>
      </c>
      <c r="AB214" s="451">
        <v>0</v>
      </c>
      <c r="AC214" s="451">
        <v>32919135</v>
      </c>
      <c r="AD214" s="451">
        <v>0</v>
      </c>
      <c r="AE214" s="451">
        <v>0</v>
      </c>
      <c r="AF214" s="451">
        <v>0</v>
      </c>
      <c r="AG214" s="451">
        <v>0</v>
      </c>
      <c r="AH214" s="451">
        <v>0</v>
      </c>
      <c r="AI214" s="451">
        <v>0</v>
      </c>
      <c r="AJ214" s="451">
        <v>0</v>
      </c>
      <c r="AK214" s="451">
        <v>0</v>
      </c>
      <c r="AL214" s="451">
        <v>0</v>
      </c>
      <c r="AM214" s="451">
        <v>0</v>
      </c>
      <c r="AN214" s="451">
        <v>0</v>
      </c>
      <c r="AO214" s="451">
        <v>1369339</v>
      </c>
      <c r="AP214" s="451">
        <v>517243</v>
      </c>
      <c r="AQ214" s="324"/>
      <c r="AR214" s="310"/>
      <c r="AS214" s="310"/>
      <c r="AT214" s="310"/>
      <c r="AU214" s="310"/>
      <c r="AV214" s="310"/>
      <c r="AW214" s="310"/>
      <c r="AX214" s="310"/>
      <c r="AY214" s="310"/>
      <c r="AZ214" s="310"/>
      <c r="BA214" s="310"/>
      <c r="BB214" s="310"/>
      <c r="BC214" s="310"/>
      <c r="BD214" s="310"/>
      <c r="BE214" s="310"/>
      <c r="BF214" s="310"/>
      <c r="BG214" s="310"/>
      <c r="BH214" s="310"/>
      <c r="BI214" s="310"/>
      <c r="BJ214" s="310"/>
      <c r="BK214" s="310"/>
      <c r="BL214" s="310"/>
      <c r="BM214" s="310"/>
      <c r="BN214" s="310"/>
      <c r="BO214" s="310"/>
      <c r="BP214" s="310"/>
      <c r="BQ214" s="310"/>
      <c r="BR214" s="310"/>
      <c r="BS214" s="310"/>
      <c r="BT214" s="310"/>
      <c r="BU214" s="310"/>
      <c r="BV214" s="310"/>
      <c r="BW214" s="310"/>
      <c r="BX214" s="310"/>
      <c r="BY214" s="310"/>
      <c r="BZ214" s="310"/>
      <c r="CA214" s="310"/>
      <c r="CB214" s="310"/>
      <c r="CC214" s="310"/>
      <c r="CD214" s="310"/>
      <c r="CE214" s="310"/>
      <c r="CF214" s="310"/>
      <c r="CG214" s="310"/>
      <c r="CH214" s="310"/>
      <c r="CI214" s="310"/>
      <c r="CJ214" s="310"/>
      <c r="CK214" s="310"/>
      <c r="CL214" s="310"/>
      <c r="CM214" s="310"/>
      <c r="CN214" s="310"/>
      <c r="CO214" s="310"/>
      <c r="CP214" s="310"/>
      <c r="CQ214" s="310"/>
      <c r="CR214" s="310"/>
      <c r="CS214" s="310"/>
      <c r="CT214" s="310"/>
      <c r="CU214" s="310"/>
      <c r="CV214" s="310"/>
      <c r="CW214" s="310"/>
      <c r="CX214" s="310"/>
      <c r="CY214" s="310"/>
      <c r="CZ214" s="310"/>
      <c r="DA214" s="310"/>
      <c r="DB214" s="310"/>
      <c r="DC214" s="310"/>
      <c r="DD214" s="310"/>
      <c r="DE214" s="310"/>
      <c r="DF214" s="310"/>
      <c r="DG214" s="310"/>
      <c r="DH214" s="310"/>
      <c r="DI214" s="310"/>
      <c r="DJ214" s="310"/>
      <c r="DK214" s="310"/>
      <c r="DL214" s="310"/>
      <c r="DM214" s="310"/>
      <c r="DN214" s="310"/>
      <c r="DO214" s="310"/>
      <c r="DP214" s="310"/>
      <c r="DQ214" s="310"/>
      <c r="DR214" s="310"/>
      <c r="DS214" s="310"/>
      <c r="DT214" s="310"/>
      <c r="DU214" s="310"/>
      <c r="DV214" s="310"/>
      <c r="DW214" s="310"/>
      <c r="DX214" s="310"/>
      <c r="DY214" s="310"/>
      <c r="DZ214" s="310"/>
      <c r="EA214" s="310"/>
      <c r="EB214" s="310"/>
      <c r="EC214" s="310"/>
      <c r="ED214" s="310"/>
      <c r="EE214" s="310"/>
      <c r="EF214" s="310"/>
      <c r="EG214" s="310"/>
      <c r="EH214" s="310"/>
      <c r="EI214" s="310"/>
      <c r="EJ214" s="310"/>
      <c r="EK214" s="310"/>
      <c r="EL214" s="310"/>
      <c r="EM214" s="310"/>
      <c r="EN214" s="310"/>
      <c r="EO214" s="310"/>
      <c r="EP214" s="310"/>
      <c r="EQ214" s="310"/>
      <c r="ER214" s="310"/>
      <c r="ES214" s="310"/>
      <c r="ET214" s="310"/>
      <c r="EU214" s="310"/>
      <c r="EV214" s="310"/>
      <c r="EW214" s="310"/>
      <c r="EX214" s="310"/>
      <c r="EY214" s="310"/>
      <c r="EZ214" s="310"/>
      <c r="FA214" s="310"/>
      <c r="FB214" s="310"/>
      <c r="FC214" s="310"/>
      <c r="FD214" s="310"/>
      <c r="FE214" s="311"/>
      <c r="FF214" s="312"/>
    </row>
    <row r="215" spans="1:162" ht="12.75" x14ac:dyDescent="0.2">
      <c r="A215" s="446">
        <v>208</v>
      </c>
      <c r="B215" s="447" t="s">
        <v>299</v>
      </c>
      <c r="C215" s="448" t="s">
        <v>1093</v>
      </c>
      <c r="D215" s="449" t="s">
        <v>1094</v>
      </c>
      <c r="E215" s="450" t="s">
        <v>741</v>
      </c>
      <c r="F215" s="451">
        <v>49164090.100000001</v>
      </c>
      <c r="G215" s="451">
        <v>0</v>
      </c>
      <c r="H215" s="451">
        <v>0</v>
      </c>
      <c r="I215" s="451">
        <v>49164090.100000001</v>
      </c>
      <c r="J215" s="451">
        <v>115695.87</v>
      </c>
      <c r="K215" s="451">
        <v>0</v>
      </c>
      <c r="L215" s="451">
        <v>0</v>
      </c>
      <c r="M215" s="451">
        <v>115695.87</v>
      </c>
      <c r="N215" s="451">
        <v>36248.410000000003</v>
      </c>
      <c r="O215" s="451">
        <v>0</v>
      </c>
      <c r="P215" s="451">
        <v>0</v>
      </c>
      <c r="Q215" s="451">
        <v>36248.410000000003</v>
      </c>
      <c r="R215" s="451">
        <v>176647</v>
      </c>
      <c r="S215" s="451">
        <v>0</v>
      </c>
      <c r="T215" s="451">
        <v>0</v>
      </c>
      <c r="U215" s="451">
        <v>176647</v>
      </c>
      <c r="V215" s="451">
        <v>1203969</v>
      </c>
      <c r="W215" s="451">
        <v>0</v>
      </c>
      <c r="X215" s="451">
        <v>0</v>
      </c>
      <c r="Y215" s="451">
        <v>1203969</v>
      </c>
      <c r="Z215" s="451">
        <v>47631530</v>
      </c>
      <c r="AA215" s="451">
        <v>0</v>
      </c>
      <c r="AB215" s="451">
        <v>0</v>
      </c>
      <c r="AC215" s="451">
        <v>47631530</v>
      </c>
      <c r="AD215" s="451">
        <v>0</v>
      </c>
      <c r="AE215" s="451">
        <v>0</v>
      </c>
      <c r="AF215" s="451">
        <v>0</v>
      </c>
      <c r="AG215" s="451">
        <v>0</v>
      </c>
      <c r="AH215" s="451">
        <v>0</v>
      </c>
      <c r="AI215" s="451">
        <v>0</v>
      </c>
      <c r="AJ215" s="451">
        <v>0</v>
      </c>
      <c r="AK215" s="451">
        <v>0</v>
      </c>
      <c r="AL215" s="451">
        <v>0</v>
      </c>
      <c r="AM215" s="451">
        <v>0</v>
      </c>
      <c r="AN215" s="451">
        <v>0</v>
      </c>
      <c r="AO215" s="451">
        <v>42671.99</v>
      </c>
      <c r="AP215" s="451">
        <v>593892.35</v>
      </c>
      <c r="AQ215" s="324"/>
      <c r="AR215" s="310"/>
      <c r="AS215" s="310"/>
      <c r="AT215" s="310"/>
      <c r="AU215" s="310"/>
      <c r="AV215" s="310"/>
      <c r="AW215" s="310"/>
      <c r="AX215" s="310"/>
      <c r="AY215" s="310"/>
      <c r="AZ215" s="310"/>
      <c r="BA215" s="310"/>
      <c r="BB215" s="310"/>
      <c r="BC215" s="310"/>
      <c r="BD215" s="310"/>
      <c r="BE215" s="310"/>
      <c r="BF215" s="310"/>
      <c r="BG215" s="310"/>
      <c r="BH215" s="310"/>
      <c r="BI215" s="310"/>
      <c r="BJ215" s="310"/>
      <c r="BK215" s="310"/>
      <c r="BL215" s="310"/>
      <c r="BM215" s="310"/>
      <c r="BN215" s="310"/>
      <c r="BO215" s="310"/>
      <c r="BP215" s="310"/>
      <c r="BQ215" s="310"/>
      <c r="BR215" s="310"/>
      <c r="BS215" s="310"/>
      <c r="BT215" s="310"/>
      <c r="BU215" s="310"/>
      <c r="BV215" s="310"/>
      <c r="BW215" s="310"/>
      <c r="BX215" s="310"/>
      <c r="BY215" s="310"/>
      <c r="BZ215" s="310"/>
      <c r="CA215" s="310"/>
      <c r="CB215" s="310"/>
      <c r="CC215" s="310"/>
      <c r="CD215" s="310"/>
      <c r="CE215" s="310"/>
      <c r="CF215" s="310"/>
      <c r="CG215" s="310"/>
      <c r="CH215" s="310"/>
      <c r="CI215" s="310"/>
      <c r="CJ215" s="310"/>
      <c r="CK215" s="310"/>
      <c r="CL215" s="310"/>
      <c r="CM215" s="310"/>
      <c r="CN215" s="310"/>
      <c r="CO215" s="310"/>
      <c r="CP215" s="310"/>
      <c r="CQ215" s="310"/>
      <c r="CR215" s="310"/>
      <c r="CS215" s="310"/>
      <c r="CT215" s="310"/>
      <c r="CU215" s="310"/>
      <c r="CV215" s="310"/>
      <c r="CW215" s="310"/>
      <c r="CX215" s="310"/>
      <c r="CY215" s="310"/>
      <c r="CZ215" s="310"/>
      <c r="DA215" s="310"/>
      <c r="DB215" s="310"/>
      <c r="DC215" s="310"/>
      <c r="DD215" s="310"/>
      <c r="DE215" s="310"/>
      <c r="DF215" s="310"/>
      <c r="DG215" s="310"/>
      <c r="DH215" s="310"/>
      <c r="DI215" s="310"/>
      <c r="DJ215" s="310"/>
      <c r="DK215" s="310"/>
      <c r="DL215" s="310"/>
      <c r="DM215" s="310"/>
      <c r="DN215" s="310"/>
      <c r="DO215" s="310"/>
      <c r="DP215" s="310"/>
      <c r="DQ215" s="310"/>
      <c r="DR215" s="310"/>
      <c r="DS215" s="310"/>
      <c r="DT215" s="310"/>
      <c r="DU215" s="310"/>
      <c r="DV215" s="310"/>
      <c r="DW215" s="310"/>
      <c r="DX215" s="310"/>
      <c r="DY215" s="310"/>
      <c r="DZ215" s="310"/>
      <c r="EA215" s="310"/>
      <c r="EB215" s="310"/>
      <c r="EC215" s="310"/>
      <c r="ED215" s="310"/>
      <c r="EE215" s="310"/>
      <c r="EF215" s="310"/>
      <c r="EG215" s="310"/>
      <c r="EH215" s="310"/>
      <c r="EI215" s="310"/>
      <c r="EJ215" s="310"/>
      <c r="EK215" s="310"/>
      <c r="EL215" s="310"/>
      <c r="EM215" s="310"/>
      <c r="EN215" s="310"/>
      <c r="EO215" s="310"/>
      <c r="EP215" s="310"/>
      <c r="EQ215" s="310"/>
      <c r="ER215" s="310"/>
      <c r="ES215" s="310"/>
      <c r="ET215" s="310"/>
      <c r="EU215" s="310"/>
      <c r="EV215" s="310"/>
      <c r="EW215" s="310"/>
      <c r="EX215" s="310"/>
      <c r="EY215" s="310"/>
      <c r="EZ215" s="310"/>
      <c r="FA215" s="310"/>
      <c r="FB215" s="310"/>
      <c r="FC215" s="310"/>
      <c r="FD215" s="310"/>
      <c r="FE215" s="311"/>
      <c r="FF215" s="312"/>
    </row>
    <row r="216" spans="1:162" ht="12.75" x14ac:dyDescent="0.2">
      <c r="A216" s="446">
        <v>209</v>
      </c>
      <c r="B216" s="447" t="s">
        <v>301</v>
      </c>
      <c r="C216" s="448" t="s">
        <v>1093</v>
      </c>
      <c r="D216" s="449" t="s">
        <v>1095</v>
      </c>
      <c r="E216" s="450" t="s">
        <v>300</v>
      </c>
      <c r="F216" s="451">
        <v>12227097</v>
      </c>
      <c r="G216" s="451">
        <v>0</v>
      </c>
      <c r="H216" s="451">
        <v>1794510</v>
      </c>
      <c r="I216" s="451">
        <v>14021607</v>
      </c>
      <c r="J216" s="451">
        <v>62584</v>
      </c>
      <c r="K216" s="451">
        <v>0</v>
      </c>
      <c r="L216" s="451">
        <v>0</v>
      </c>
      <c r="M216" s="451">
        <v>62584</v>
      </c>
      <c r="N216" s="451">
        <v>80000</v>
      </c>
      <c r="O216" s="451">
        <v>0</v>
      </c>
      <c r="P216" s="451">
        <v>0</v>
      </c>
      <c r="Q216" s="451">
        <v>80000</v>
      </c>
      <c r="R216" s="451">
        <v>107000</v>
      </c>
      <c r="S216" s="451">
        <v>0</v>
      </c>
      <c r="T216" s="451">
        <v>0</v>
      </c>
      <c r="U216" s="451">
        <v>107000</v>
      </c>
      <c r="V216" s="451">
        <v>261000</v>
      </c>
      <c r="W216" s="451">
        <v>0</v>
      </c>
      <c r="X216" s="451">
        <v>0</v>
      </c>
      <c r="Y216" s="451">
        <v>261000</v>
      </c>
      <c r="Z216" s="451">
        <v>11716513</v>
      </c>
      <c r="AA216" s="451">
        <v>0</v>
      </c>
      <c r="AB216" s="451">
        <v>1794510</v>
      </c>
      <c r="AC216" s="451">
        <v>13511023</v>
      </c>
      <c r="AD216" s="451">
        <v>0</v>
      </c>
      <c r="AE216" s="451">
        <v>0</v>
      </c>
      <c r="AF216" s="451">
        <v>0</v>
      </c>
      <c r="AG216" s="451">
        <v>0</v>
      </c>
      <c r="AH216" s="451">
        <v>0</v>
      </c>
      <c r="AI216" s="451">
        <v>0</v>
      </c>
      <c r="AJ216" s="451">
        <v>0</v>
      </c>
      <c r="AK216" s="451">
        <v>1791513</v>
      </c>
      <c r="AL216" s="451">
        <v>0</v>
      </c>
      <c r="AM216" s="451">
        <v>2997</v>
      </c>
      <c r="AN216" s="451">
        <v>0</v>
      </c>
      <c r="AO216" s="451">
        <v>601958</v>
      </c>
      <c r="AP216" s="451">
        <v>91542</v>
      </c>
      <c r="AQ216" s="324"/>
      <c r="AR216" s="310"/>
      <c r="AS216" s="310"/>
      <c r="AT216" s="310"/>
      <c r="AU216" s="310"/>
      <c r="AV216" s="310"/>
      <c r="AW216" s="310"/>
      <c r="AX216" s="310"/>
      <c r="AY216" s="310"/>
      <c r="AZ216" s="310"/>
      <c r="BA216" s="310"/>
      <c r="BB216" s="310"/>
      <c r="BC216" s="310"/>
      <c r="BD216" s="310"/>
      <c r="BE216" s="310"/>
      <c r="BF216" s="310"/>
      <c r="BG216" s="310"/>
      <c r="BH216" s="310"/>
      <c r="BI216" s="310"/>
      <c r="BJ216" s="310"/>
      <c r="BK216" s="310"/>
      <c r="BL216" s="310"/>
      <c r="BM216" s="310"/>
      <c r="BN216" s="310"/>
      <c r="BO216" s="310"/>
      <c r="BP216" s="310"/>
      <c r="BQ216" s="310"/>
      <c r="BR216" s="310"/>
      <c r="BS216" s="310"/>
      <c r="BT216" s="310"/>
      <c r="BU216" s="310"/>
      <c r="BV216" s="310"/>
      <c r="BW216" s="310"/>
      <c r="BX216" s="310"/>
      <c r="BY216" s="310"/>
      <c r="BZ216" s="310"/>
      <c r="CA216" s="310"/>
      <c r="CB216" s="310"/>
      <c r="CC216" s="310"/>
      <c r="CD216" s="310"/>
      <c r="CE216" s="310"/>
      <c r="CF216" s="310"/>
      <c r="CG216" s="310"/>
      <c r="CH216" s="310"/>
      <c r="CI216" s="310"/>
      <c r="CJ216" s="310"/>
      <c r="CK216" s="310"/>
      <c r="CL216" s="310"/>
      <c r="CM216" s="310"/>
      <c r="CN216" s="310"/>
      <c r="CO216" s="310"/>
      <c r="CP216" s="310"/>
      <c r="CQ216" s="310"/>
      <c r="CR216" s="310"/>
      <c r="CS216" s="310"/>
      <c r="CT216" s="310"/>
      <c r="CU216" s="310"/>
      <c r="CV216" s="310"/>
      <c r="CW216" s="310"/>
      <c r="CX216" s="310"/>
      <c r="CY216" s="310"/>
      <c r="CZ216" s="310"/>
      <c r="DA216" s="310"/>
      <c r="DB216" s="310"/>
      <c r="DC216" s="310"/>
      <c r="DD216" s="310"/>
      <c r="DE216" s="310"/>
      <c r="DF216" s="310"/>
      <c r="DG216" s="310"/>
      <c r="DH216" s="310"/>
      <c r="DI216" s="310"/>
      <c r="DJ216" s="310"/>
      <c r="DK216" s="310"/>
      <c r="DL216" s="310"/>
      <c r="DM216" s="310"/>
      <c r="DN216" s="310"/>
      <c r="DO216" s="310"/>
      <c r="DP216" s="310"/>
      <c r="DQ216" s="310"/>
      <c r="DR216" s="310"/>
      <c r="DS216" s="310"/>
      <c r="DT216" s="310"/>
      <c r="DU216" s="310"/>
      <c r="DV216" s="310"/>
      <c r="DW216" s="310"/>
      <c r="DX216" s="310"/>
      <c r="DY216" s="310"/>
      <c r="DZ216" s="310"/>
      <c r="EA216" s="310"/>
      <c r="EB216" s="310"/>
      <c r="EC216" s="310"/>
      <c r="ED216" s="310"/>
      <c r="EE216" s="310"/>
      <c r="EF216" s="310"/>
      <c r="EG216" s="310"/>
      <c r="EH216" s="310"/>
      <c r="EI216" s="310"/>
      <c r="EJ216" s="310"/>
      <c r="EK216" s="310"/>
      <c r="EL216" s="310"/>
      <c r="EM216" s="310"/>
      <c r="EN216" s="310"/>
      <c r="EO216" s="310"/>
      <c r="EP216" s="310"/>
      <c r="EQ216" s="310"/>
      <c r="ER216" s="310"/>
      <c r="ES216" s="310"/>
      <c r="ET216" s="310"/>
      <c r="EU216" s="310"/>
      <c r="EV216" s="310"/>
      <c r="EW216" s="310"/>
      <c r="EX216" s="310"/>
      <c r="EY216" s="310"/>
      <c r="EZ216" s="310"/>
      <c r="FA216" s="310"/>
      <c r="FB216" s="310"/>
      <c r="FC216" s="310"/>
      <c r="FD216" s="310"/>
      <c r="FE216" s="311"/>
      <c r="FF216" s="312"/>
    </row>
    <row r="217" spans="1:162" ht="12.75" x14ac:dyDescent="0.2">
      <c r="A217" s="446">
        <v>210</v>
      </c>
      <c r="B217" s="447" t="s">
        <v>303</v>
      </c>
      <c r="C217" s="448" t="s">
        <v>1098</v>
      </c>
      <c r="D217" s="449" t="s">
        <v>1099</v>
      </c>
      <c r="E217" s="450" t="s">
        <v>302</v>
      </c>
      <c r="F217" s="451">
        <v>82033995</v>
      </c>
      <c r="G217" s="451">
        <v>0</v>
      </c>
      <c r="H217" s="451">
        <v>0</v>
      </c>
      <c r="I217" s="451">
        <v>82033995</v>
      </c>
      <c r="J217" s="451">
        <v>753214</v>
      </c>
      <c r="K217" s="451">
        <v>0</v>
      </c>
      <c r="L217" s="451">
        <v>0</v>
      </c>
      <c r="M217" s="451">
        <v>753214</v>
      </c>
      <c r="N217" s="451">
        <v>256064</v>
      </c>
      <c r="O217" s="451">
        <v>0</v>
      </c>
      <c r="P217" s="451">
        <v>0</v>
      </c>
      <c r="Q217" s="451">
        <v>256064</v>
      </c>
      <c r="R217" s="451">
        <v>1101935</v>
      </c>
      <c r="S217" s="451">
        <v>0</v>
      </c>
      <c r="T217" s="451">
        <v>0</v>
      </c>
      <c r="U217" s="451">
        <v>1101935</v>
      </c>
      <c r="V217" s="451">
        <v>3023068</v>
      </c>
      <c r="W217" s="451">
        <v>0</v>
      </c>
      <c r="X217" s="451">
        <v>0</v>
      </c>
      <c r="Y217" s="451">
        <v>3023068</v>
      </c>
      <c r="Z217" s="451">
        <v>76899714</v>
      </c>
      <c r="AA217" s="451">
        <v>0</v>
      </c>
      <c r="AB217" s="451">
        <v>0</v>
      </c>
      <c r="AC217" s="451">
        <v>76899714</v>
      </c>
      <c r="AD217" s="451">
        <v>0</v>
      </c>
      <c r="AE217" s="451">
        <v>0</v>
      </c>
      <c r="AF217" s="451">
        <v>0</v>
      </c>
      <c r="AG217" s="451">
        <v>0</v>
      </c>
      <c r="AH217" s="451">
        <v>0</v>
      </c>
      <c r="AI217" s="451">
        <v>0</v>
      </c>
      <c r="AJ217" s="451">
        <v>0</v>
      </c>
      <c r="AK217" s="451">
        <v>0</v>
      </c>
      <c r="AL217" s="451">
        <v>0</v>
      </c>
      <c r="AM217" s="451">
        <v>0</v>
      </c>
      <c r="AN217" s="451">
        <v>0</v>
      </c>
      <c r="AO217" s="451">
        <v>4447214</v>
      </c>
      <c r="AP217" s="451">
        <v>-2685588.2</v>
      </c>
      <c r="AQ217" s="324"/>
      <c r="AR217" s="310"/>
      <c r="AS217" s="310"/>
      <c r="AT217" s="310"/>
      <c r="AU217" s="310"/>
      <c r="AV217" s="310"/>
      <c r="AW217" s="310"/>
      <c r="AX217" s="310"/>
      <c r="AY217" s="310"/>
      <c r="AZ217" s="310"/>
      <c r="BA217" s="310"/>
      <c r="BB217" s="310"/>
      <c r="BC217" s="310"/>
      <c r="BD217" s="310"/>
      <c r="BE217" s="310"/>
      <c r="BF217" s="310"/>
      <c r="BG217" s="310"/>
      <c r="BH217" s="310"/>
      <c r="BI217" s="310"/>
      <c r="BJ217" s="310"/>
      <c r="BK217" s="310"/>
      <c r="BL217" s="310"/>
      <c r="BM217" s="310"/>
      <c r="BN217" s="310"/>
      <c r="BO217" s="310"/>
      <c r="BP217" s="310"/>
      <c r="BQ217" s="310"/>
      <c r="BR217" s="310"/>
      <c r="BS217" s="310"/>
      <c r="BT217" s="310"/>
      <c r="BU217" s="310"/>
      <c r="BV217" s="310"/>
      <c r="BW217" s="310"/>
      <c r="BX217" s="310"/>
      <c r="BY217" s="310"/>
      <c r="BZ217" s="310"/>
      <c r="CA217" s="310"/>
      <c r="CB217" s="310"/>
      <c r="CC217" s="310"/>
      <c r="CD217" s="310"/>
      <c r="CE217" s="310"/>
      <c r="CF217" s="310"/>
      <c r="CG217" s="310"/>
      <c r="CH217" s="310"/>
      <c r="CI217" s="310"/>
      <c r="CJ217" s="310"/>
      <c r="CK217" s="310"/>
      <c r="CL217" s="310"/>
      <c r="CM217" s="310"/>
      <c r="CN217" s="310"/>
      <c r="CO217" s="310"/>
      <c r="CP217" s="310"/>
      <c r="CQ217" s="310"/>
      <c r="CR217" s="310"/>
      <c r="CS217" s="310"/>
      <c r="CT217" s="310"/>
      <c r="CU217" s="310"/>
      <c r="CV217" s="310"/>
      <c r="CW217" s="310"/>
      <c r="CX217" s="310"/>
      <c r="CY217" s="310"/>
      <c r="CZ217" s="310"/>
      <c r="DA217" s="310"/>
      <c r="DB217" s="310"/>
      <c r="DC217" s="310"/>
      <c r="DD217" s="310"/>
      <c r="DE217" s="310"/>
      <c r="DF217" s="310"/>
      <c r="DG217" s="310"/>
      <c r="DH217" s="310"/>
      <c r="DI217" s="310"/>
      <c r="DJ217" s="310"/>
      <c r="DK217" s="310"/>
      <c r="DL217" s="310"/>
      <c r="DM217" s="310"/>
      <c r="DN217" s="310"/>
      <c r="DO217" s="310"/>
      <c r="DP217" s="310"/>
      <c r="DQ217" s="310"/>
      <c r="DR217" s="310"/>
      <c r="DS217" s="310"/>
      <c r="DT217" s="310"/>
      <c r="DU217" s="310"/>
      <c r="DV217" s="310"/>
      <c r="DW217" s="310"/>
      <c r="DX217" s="310"/>
      <c r="DY217" s="310"/>
      <c r="DZ217" s="310"/>
      <c r="EA217" s="310"/>
      <c r="EB217" s="310"/>
      <c r="EC217" s="310"/>
      <c r="ED217" s="310"/>
      <c r="EE217" s="310"/>
      <c r="EF217" s="310"/>
      <c r="EG217" s="310"/>
      <c r="EH217" s="310"/>
      <c r="EI217" s="310"/>
      <c r="EJ217" s="310"/>
      <c r="EK217" s="310"/>
      <c r="EL217" s="310"/>
      <c r="EM217" s="310"/>
      <c r="EN217" s="310"/>
      <c r="EO217" s="310"/>
      <c r="EP217" s="310"/>
      <c r="EQ217" s="310"/>
      <c r="ER217" s="310"/>
      <c r="ES217" s="310"/>
      <c r="ET217" s="310"/>
      <c r="EU217" s="310"/>
      <c r="EV217" s="310"/>
      <c r="EW217" s="310"/>
      <c r="EX217" s="310"/>
      <c r="EY217" s="310"/>
      <c r="EZ217" s="310"/>
      <c r="FA217" s="310"/>
      <c r="FB217" s="310"/>
      <c r="FC217" s="310"/>
      <c r="FD217" s="310"/>
      <c r="FE217" s="311"/>
      <c r="FF217" s="312"/>
    </row>
    <row r="218" spans="1:162" ht="12.75" x14ac:dyDescent="0.2">
      <c r="A218" s="446">
        <v>211</v>
      </c>
      <c r="B218" s="447" t="s">
        <v>305</v>
      </c>
      <c r="C218" s="448" t="s">
        <v>1093</v>
      </c>
      <c r="D218" s="449" t="s">
        <v>1101</v>
      </c>
      <c r="E218" s="450" t="s">
        <v>304</v>
      </c>
      <c r="F218" s="451">
        <v>12988649</v>
      </c>
      <c r="G218" s="451">
        <v>0</v>
      </c>
      <c r="H218" s="451">
        <v>0</v>
      </c>
      <c r="I218" s="451">
        <v>12988649</v>
      </c>
      <c r="J218" s="451">
        <v>50995</v>
      </c>
      <c r="K218" s="451">
        <v>0</v>
      </c>
      <c r="L218" s="451">
        <v>0</v>
      </c>
      <c r="M218" s="451">
        <v>50995</v>
      </c>
      <c r="N218" s="451">
        <v>96732</v>
      </c>
      <c r="O218" s="451">
        <v>0</v>
      </c>
      <c r="P218" s="451">
        <v>0</v>
      </c>
      <c r="Q218" s="451">
        <v>96732</v>
      </c>
      <c r="R218" s="451">
        <v>100000</v>
      </c>
      <c r="S218" s="451">
        <v>0</v>
      </c>
      <c r="T218" s="451">
        <v>0</v>
      </c>
      <c r="U218" s="451">
        <v>100000</v>
      </c>
      <c r="V218" s="451">
        <v>1275000</v>
      </c>
      <c r="W218" s="451">
        <v>0</v>
      </c>
      <c r="X218" s="451">
        <v>0</v>
      </c>
      <c r="Y218" s="451">
        <v>1275000</v>
      </c>
      <c r="Z218" s="451">
        <v>11465922</v>
      </c>
      <c r="AA218" s="451">
        <v>0</v>
      </c>
      <c r="AB218" s="451">
        <v>0</v>
      </c>
      <c r="AC218" s="451">
        <v>11465922</v>
      </c>
      <c r="AD218" s="451">
        <v>0</v>
      </c>
      <c r="AE218" s="451">
        <v>0</v>
      </c>
      <c r="AF218" s="451">
        <v>0</v>
      </c>
      <c r="AG218" s="451">
        <v>0</v>
      </c>
      <c r="AH218" s="451">
        <v>0</v>
      </c>
      <c r="AI218" s="451">
        <v>0</v>
      </c>
      <c r="AJ218" s="451">
        <v>0</v>
      </c>
      <c r="AK218" s="451">
        <v>0</v>
      </c>
      <c r="AL218" s="451">
        <v>0</v>
      </c>
      <c r="AM218" s="451">
        <v>0</v>
      </c>
      <c r="AN218" s="451">
        <v>0</v>
      </c>
      <c r="AO218" s="451">
        <v>569029</v>
      </c>
      <c r="AP218" s="451">
        <v>79324</v>
      </c>
      <c r="AQ218" s="324"/>
      <c r="AR218" s="310"/>
      <c r="AS218" s="310"/>
      <c r="AT218" s="310"/>
      <c r="AU218" s="310"/>
      <c r="AV218" s="310"/>
      <c r="AW218" s="310"/>
      <c r="AX218" s="310"/>
      <c r="AY218" s="310"/>
      <c r="AZ218" s="310"/>
      <c r="BA218" s="310"/>
      <c r="BB218" s="310"/>
      <c r="BC218" s="310"/>
      <c r="BD218" s="310"/>
      <c r="BE218" s="310"/>
      <c r="BF218" s="310"/>
      <c r="BG218" s="310"/>
      <c r="BH218" s="310"/>
      <c r="BI218" s="310"/>
      <c r="BJ218" s="310"/>
      <c r="BK218" s="310"/>
      <c r="BL218" s="310"/>
      <c r="BM218" s="310"/>
      <c r="BN218" s="310"/>
      <c r="BO218" s="310"/>
      <c r="BP218" s="310"/>
      <c r="BQ218" s="310"/>
      <c r="BR218" s="310"/>
      <c r="BS218" s="310"/>
      <c r="BT218" s="310"/>
      <c r="BU218" s="310"/>
      <c r="BV218" s="310"/>
      <c r="BW218" s="310"/>
      <c r="BX218" s="310"/>
      <c r="BY218" s="310"/>
      <c r="BZ218" s="310"/>
      <c r="CA218" s="310"/>
      <c r="CB218" s="310"/>
      <c r="CC218" s="310"/>
      <c r="CD218" s="310"/>
      <c r="CE218" s="310"/>
      <c r="CF218" s="310"/>
      <c r="CG218" s="310"/>
      <c r="CH218" s="310"/>
      <c r="CI218" s="310"/>
      <c r="CJ218" s="310"/>
      <c r="CK218" s="310"/>
      <c r="CL218" s="310"/>
      <c r="CM218" s="310"/>
      <c r="CN218" s="310"/>
      <c r="CO218" s="310"/>
      <c r="CP218" s="310"/>
      <c r="CQ218" s="310"/>
      <c r="CR218" s="310"/>
      <c r="CS218" s="310"/>
      <c r="CT218" s="310"/>
      <c r="CU218" s="310"/>
      <c r="CV218" s="310"/>
      <c r="CW218" s="310"/>
      <c r="CX218" s="310"/>
      <c r="CY218" s="310"/>
      <c r="CZ218" s="310"/>
      <c r="DA218" s="310"/>
      <c r="DB218" s="310"/>
      <c r="DC218" s="310"/>
      <c r="DD218" s="310"/>
      <c r="DE218" s="310"/>
      <c r="DF218" s="310"/>
      <c r="DG218" s="310"/>
      <c r="DH218" s="310"/>
      <c r="DI218" s="310"/>
      <c r="DJ218" s="310"/>
      <c r="DK218" s="310"/>
      <c r="DL218" s="310"/>
      <c r="DM218" s="310"/>
      <c r="DN218" s="310"/>
      <c r="DO218" s="310"/>
      <c r="DP218" s="310"/>
      <c r="DQ218" s="310"/>
      <c r="DR218" s="310"/>
      <c r="DS218" s="310"/>
      <c r="DT218" s="310"/>
      <c r="DU218" s="310"/>
      <c r="DV218" s="310"/>
      <c r="DW218" s="310"/>
      <c r="DX218" s="310"/>
      <c r="DY218" s="310"/>
      <c r="DZ218" s="310"/>
      <c r="EA218" s="310"/>
      <c r="EB218" s="310"/>
      <c r="EC218" s="310"/>
      <c r="ED218" s="310"/>
      <c r="EE218" s="310"/>
      <c r="EF218" s="310"/>
      <c r="EG218" s="310"/>
      <c r="EH218" s="310"/>
      <c r="EI218" s="310"/>
      <c r="EJ218" s="310"/>
      <c r="EK218" s="310"/>
      <c r="EL218" s="310"/>
      <c r="EM218" s="310"/>
      <c r="EN218" s="310"/>
      <c r="EO218" s="310"/>
      <c r="EP218" s="310"/>
      <c r="EQ218" s="310"/>
      <c r="ER218" s="310"/>
      <c r="ES218" s="310"/>
      <c r="ET218" s="310"/>
      <c r="EU218" s="310"/>
      <c r="EV218" s="310"/>
      <c r="EW218" s="310"/>
      <c r="EX218" s="310"/>
      <c r="EY218" s="310"/>
      <c r="EZ218" s="310"/>
      <c r="FA218" s="310"/>
      <c r="FB218" s="310"/>
      <c r="FC218" s="310"/>
      <c r="FD218" s="310"/>
      <c r="FE218" s="311"/>
      <c r="FF218" s="312"/>
    </row>
    <row r="219" spans="1:162" ht="12.75" x14ac:dyDescent="0.2">
      <c r="A219" s="446">
        <v>212</v>
      </c>
      <c r="B219" s="447" t="s">
        <v>307</v>
      </c>
      <c r="C219" s="448" t="s">
        <v>1100</v>
      </c>
      <c r="D219" s="449" t="s">
        <v>1095</v>
      </c>
      <c r="E219" s="450" t="s">
        <v>306</v>
      </c>
      <c r="F219" s="451">
        <v>62470232</v>
      </c>
      <c r="G219" s="451">
        <v>0</v>
      </c>
      <c r="H219" s="451">
        <v>0</v>
      </c>
      <c r="I219" s="451">
        <v>62470232</v>
      </c>
      <c r="J219" s="451">
        <v>680537</v>
      </c>
      <c r="K219" s="451">
        <v>0</v>
      </c>
      <c r="L219" s="451">
        <v>0</v>
      </c>
      <c r="M219" s="451">
        <v>680537</v>
      </c>
      <c r="N219" s="451">
        <v>488000</v>
      </c>
      <c r="O219" s="451">
        <v>0</v>
      </c>
      <c r="P219" s="451">
        <v>0</v>
      </c>
      <c r="Q219" s="451">
        <v>488000</v>
      </c>
      <c r="R219" s="451">
        <v>701818</v>
      </c>
      <c r="S219" s="451">
        <v>0</v>
      </c>
      <c r="T219" s="451">
        <v>0</v>
      </c>
      <c r="U219" s="451">
        <v>701818</v>
      </c>
      <c r="V219" s="451">
        <v>1918448</v>
      </c>
      <c r="W219" s="451">
        <v>0</v>
      </c>
      <c r="X219" s="451">
        <v>0</v>
      </c>
      <c r="Y219" s="451">
        <v>1918448</v>
      </c>
      <c r="Z219" s="451">
        <v>58681429</v>
      </c>
      <c r="AA219" s="451">
        <v>0</v>
      </c>
      <c r="AB219" s="451">
        <v>0</v>
      </c>
      <c r="AC219" s="451">
        <v>58681429</v>
      </c>
      <c r="AD219" s="451">
        <v>0</v>
      </c>
      <c r="AE219" s="451">
        <v>0</v>
      </c>
      <c r="AF219" s="451">
        <v>0</v>
      </c>
      <c r="AG219" s="451">
        <v>0</v>
      </c>
      <c r="AH219" s="451">
        <v>0</v>
      </c>
      <c r="AI219" s="451">
        <v>0</v>
      </c>
      <c r="AJ219" s="451">
        <v>0</v>
      </c>
      <c r="AK219" s="451">
        <v>0</v>
      </c>
      <c r="AL219" s="451">
        <v>0</v>
      </c>
      <c r="AM219" s="451">
        <v>0</v>
      </c>
      <c r="AN219" s="451">
        <v>0</v>
      </c>
      <c r="AO219" s="451">
        <v>4036410</v>
      </c>
      <c r="AP219" s="451">
        <v>718651</v>
      </c>
      <c r="AQ219" s="324"/>
      <c r="AR219" s="310"/>
      <c r="AS219" s="310"/>
      <c r="AT219" s="310"/>
      <c r="AU219" s="310"/>
      <c r="AV219" s="310"/>
      <c r="AW219" s="310"/>
      <c r="AX219" s="310"/>
      <c r="AY219" s="310"/>
      <c r="AZ219" s="310"/>
      <c r="BA219" s="310"/>
      <c r="BB219" s="310"/>
      <c r="BC219" s="310"/>
      <c r="BD219" s="310"/>
      <c r="BE219" s="310"/>
      <c r="BF219" s="310"/>
      <c r="BG219" s="310"/>
      <c r="BH219" s="310"/>
      <c r="BI219" s="310"/>
      <c r="BJ219" s="310"/>
      <c r="BK219" s="310"/>
      <c r="BL219" s="310"/>
      <c r="BM219" s="310"/>
      <c r="BN219" s="310"/>
      <c r="BO219" s="310"/>
      <c r="BP219" s="310"/>
      <c r="BQ219" s="310"/>
      <c r="BR219" s="310"/>
      <c r="BS219" s="310"/>
      <c r="BT219" s="310"/>
      <c r="BU219" s="310"/>
      <c r="BV219" s="310"/>
      <c r="BW219" s="310"/>
      <c r="BX219" s="310"/>
      <c r="BY219" s="310"/>
      <c r="BZ219" s="310"/>
      <c r="CA219" s="310"/>
      <c r="CB219" s="310"/>
      <c r="CC219" s="310"/>
      <c r="CD219" s="310"/>
      <c r="CE219" s="310"/>
      <c r="CF219" s="310"/>
      <c r="CG219" s="310"/>
      <c r="CH219" s="310"/>
      <c r="CI219" s="310"/>
      <c r="CJ219" s="310"/>
      <c r="CK219" s="310"/>
      <c r="CL219" s="310"/>
      <c r="CM219" s="310"/>
      <c r="CN219" s="310"/>
      <c r="CO219" s="310"/>
      <c r="CP219" s="310"/>
      <c r="CQ219" s="310"/>
      <c r="CR219" s="310"/>
      <c r="CS219" s="310"/>
      <c r="CT219" s="310"/>
      <c r="CU219" s="310"/>
      <c r="CV219" s="310"/>
      <c r="CW219" s="310"/>
      <c r="CX219" s="310"/>
      <c r="CY219" s="310"/>
      <c r="CZ219" s="310"/>
      <c r="DA219" s="310"/>
      <c r="DB219" s="310"/>
      <c r="DC219" s="310"/>
      <c r="DD219" s="310"/>
      <c r="DE219" s="310"/>
      <c r="DF219" s="310"/>
      <c r="DG219" s="310"/>
      <c r="DH219" s="310"/>
      <c r="DI219" s="310"/>
      <c r="DJ219" s="310"/>
      <c r="DK219" s="310"/>
      <c r="DL219" s="310"/>
      <c r="DM219" s="310"/>
      <c r="DN219" s="310"/>
      <c r="DO219" s="310"/>
      <c r="DP219" s="310"/>
      <c r="DQ219" s="310"/>
      <c r="DR219" s="310"/>
      <c r="DS219" s="310"/>
      <c r="DT219" s="310"/>
      <c r="DU219" s="310"/>
      <c r="DV219" s="310"/>
      <c r="DW219" s="310"/>
      <c r="DX219" s="310"/>
      <c r="DY219" s="310"/>
      <c r="DZ219" s="310"/>
      <c r="EA219" s="310"/>
      <c r="EB219" s="310"/>
      <c r="EC219" s="310"/>
      <c r="ED219" s="310"/>
      <c r="EE219" s="310"/>
      <c r="EF219" s="310"/>
      <c r="EG219" s="310"/>
      <c r="EH219" s="310"/>
      <c r="EI219" s="310"/>
      <c r="EJ219" s="310"/>
      <c r="EK219" s="310"/>
      <c r="EL219" s="310"/>
      <c r="EM219" s="310"/>
      <c r="EN219" s="310"/>
      <c r="EO219" s="310"/>
      <c r="EP219" s="310"/>
      <c r="EQ219" s="310"/>
      <c r="ER219" s="310"/>
      <c r="ES219" s="310"/>
      <c r="ET219" s="310"/>
      <c r="EU219" s="310"/>
      <c r="EV219" s="310"/>
      <c r="EW219" s="310"/>
      <c r="EX219" s="310"/>
      <c r="EY219" s="310"/>
      <c r="EZ219" s="310"/>
      <c r="FA219" s="310"/>
      <c r="FB219" s="310"/>
      <c r="FC219" s="310"/>
      <c r="FD219" s="310"/>
      <c r="FE219" s="311"/>
      <c r="FF219" s="312"/>
    </row>
    <row r="220" spans="1:162" ht="12.75" x14ac:dyDescent="0.2">
      <c r="A220" s="446">
        <v>213</v>
      </c>
      <c r="B220" s="447" t="s">
        <v>309</v>
      </c>
      <c r="C220" s="448" t="s">
        <v>1093</v>
      </c>
      <c r="D220" s="449" t="s">
        <v>1097</v>
      </c>
      <c r="E220" s="450" t="s">
        <v>308</v>
      </c>
      <c r="F220" s="451">
        <v>15880581</v>
      </c>
      <c r="G220" s="451">
        <v>0</v>
      </c>
      <c r="H220" s="451">
        <v>0</v>
      </c>
      <c r="I220" s="451">
        <v>15880581</v>
      </c>
      <c r="J220" s="451">
        <v>24615</v>
      </c>
      <c r="K220" s="451">
        <v>0</v>
      </c>
      <c r="L220" s="451">
        <v>0</v>
      </c>
      <c r="M220" s="451">
        <v>24615</v>
      </c>
      <c r="N220" s="451">
        <v>161506</v>
      </c>
      <c r="O220" s="451">
        <v>0</v>
      </c>
      <c r="P220" s="451">
        <v>0</v>
      </c>
      <c r="Q220" s="451">
        <v>161506</v>
      </c>
      <c r="R220" s="451">
        <v>162278</v>
      </c>
      <c r="S220" s="451">
        <v>0</v>
      </c>
      <c r="T220" s="451">
        <v>0</v>
      </c>
      <c r="U220" s="451">
        <v>162278</v>
      </c>
      <c r="V220" s="451">
        <v>178056</v>
      </c>
      <c r="W220" s="451">
        <v>0</v>
      </c>
      <c r="X220" s="451">
        <v>0</v>
      </c>
      <c r="Y220" s="451">
        <v>178056</v>
      </c>
      <c r="Z220" s="451">
        <v>15354126</v>
      </c>
      <c r="AA220" s="451">
        <v>0</v>
      </c>
      <c r="AB220" s="451">
        <v>0</v>
      </c>
      <c r="AC220" s="451">
        <v>15354126</v>
      </c>
      <c r="AD220" s="451">
        <v>0</v>
      </c>
      <c r="AE220" s="451">
        <v>0</v>
      </c>
      <c r="AF220" s="451">
        <v>0</v>
      </c>
      <c r="AG220" s="451">
        <v>0</v>
      </c>
      <c r="AH220" s="451">
        <v>0</v>
      </c>
      <c r="AI220" s="451">
        <v>0</v>
      </c>
      <c r="AJ220" s="451">
        <v>0</v>
      </c>
      <c r="AK220" s="451">
        <v>0</v>
      </c>
      <c r="AL220" s="451">
        <v>0</v>
      </c>
      <c r="AM220" s="451">
        <v>0</v>
      </c>
      <c r="AN220" s="451">
        <v>0</v>
      </c>
      <c r="AO220" s="451">
        <v>531381</v>
      </c>
      <c r="AP220" s="451">
        <v>25419</v>
      </c>
      <c r="AQ220" s="324"/>
      <c r="AR220" s="310"/>
      <c r="AS220" s="310"/>
      <c r="AT220" s="310"/>
      <c r="AU220" s="310"/>
      <c r="AV220" s="310"/>
      <c r="AW220" s="310"/>
      <c r="AX220" s="310"/>
      <c r="AY220" s="310"/>
      <c r="AZ220" s="310"/>
      <c r="BA220" s="310"/>
      <c r="BB220" s="310"/>
      <c r="BC220" s="310"/>
      <c r="BD220" s="310"/>
      <c r="BE220" s="310"/>
      <c r="BF220" s="310"/>
      <c r="BG220" s="310"/>
      <c r="BH220" s="310"/>
      <c r="BI220" s="310"/>
      <c r="BJ220" s="310"/>
      <c r="BK220" s="310"/>
      <c r="BL220" s="310"/>
      <c r="BM220" s="310"/>
      <c r="BN220" s="310"/>
      <c r="BO220" s="310"/>
      <c r="BP220" s="310"/>
      <c r="BQ220" s="310"/>
      <c r="BR220" s="310"/>
      <c r="BS220" s="310"/>
      <c r="BT220" s="310"/>
      <c r="BU220" s="310"/>
      <c r="BV220" s="310"/>
      <c r="BW220" s="310"/>
      <c r="BX220" s="310"/>
      <c r="BY220" s="310"/>
      <c r="BZ220" s="310"/>
      <c r="CA220" s="310"/>
      <c r="CB220" s="310"/>
      <c r="CC220" s="310"/>
      <c r="CD220" s="310"/>
      <c r="CE220" s="310"/>
      <c r="CF220" s="310"/>
      <c r="CG220" s="310"/>
      <c r="CH220" s="310"/>
      <c r="CI220" s="310"/>
      <c r="CJ220" s="310"/>
      <c r="CK220" s="310"/>
      <c r="CL220" s="310"/>
      <c r="CM220" s="310"/>
      <c r="CN220" s="310"/>
      <c r="CO220" s="310"/>
      <c r="CP220" s="310"/>
      <c r="CQ220" s="310"/>
      <c r="CR220" s="310"/>
      <c r="CS220" s="310"/>
      <c r="CT220" s="310"/>
      <c r="CU220" s="310"/>
      <c r="CV220" s="310"/>
      <c r="CW220" s="310"/>
      <c r="CX220" s="310"/>
      <c r="CY220" s="310"/>
      <c r="CZ220" s="310"/>
      <c r="DA220" s="310"/>
      <c r="DB220" s="310"/>
      <c r="DC220" s="310"/>
      <c r="DD220" s="310"/>
      <c r="DE220" s="310"/>
      <c r="DF220" s="310"/>
      <c r="DG220" s="310"/>
      <c r="DH220" s="310"/>
      <c r="DI220" s="310"/>
      <c r="DJ220" s="310"/>
      <c r="DK220" s="310"/>
      <c r="DL220" s="310"/>
      <c r="DM220" s="310"/>
      <c r="DN220" s="310"/>
      <c r="DO220" s="310"/>
      <c r="DP220" s="310"/>
      <c r="DQ220" s="310"/>
      <c r="DR220" s="310"/>
      <c r="DS220" s="310"/>
      <c r="DT220" s="310"/>
      <c r="DU220" s="310"/>
      <c r="DV220" s="310"/>
      <c r="DW220" s="310"/>
      <c r="DX220" s="310"/>
      <c r="DY220" s="310"/>
      <c r="DZ220" s="310"/>
      <c r="EA220" s="310"/>
      <c r="EB220" s="310"/>
      <c r="EC220" s="310"/>
      <c r="ED220" s="310"/>
      <c r="EE220" s="310"/>
      <c r="EF220" s="310"/>
      <c r="EG220" s="310"/>
      <c r="EH220" s="310"/>
      <c r="EI220" s="310"/>
      <c r="EJ220" s="310"/>
      <c r="EK220" s="310"/>
      <c r="EL220" s="310"/>
      <c r="EM220" s="310"/>
      <c r="EN220" s="310"/>
      <c r="EO220" s="310"/>
      <c r="EP220" s="310"/>
      <c r="EQ220" s="310"/>
      <c r="ER220" s="310"/>
      <c r="ES220" s="310"/>
      <c r="ET220" s="310"/>
      <c r="EU220" s="310"/>
      <c r="EV220" s="310"/>
      <c r="EW220" s="310"/>
      <c r="EX220" s="310"/>
      <c r="EY220" s="310"/>
      <c r="EZ220" s="310"/>
      <c r="FA220" s="310"/>
      <c r="FB220" s="310"/>
      <c r="FC220" s="310"/>
      <c r="FD220" s="310"/>
      <c r="FE220" s="311"/>
      <c r="FF220" s="312"/>
    </row>
    <row r="221" spans="1:162" ht="12.75" x14ac:dyDescent="0.2">
      <c r="A221" s="446">
        <v>214</v>
      </c>
      <c r="B221" s="447" t="s">
        <v>311</v>
      </c>
      <c r="C221" s="448" t="s">
        <v>1093</v>
      </c>
      <c r="D221" s="449" t="s">
        <v>1095</v>
      </c>
      <c r="E221" s="450" t="s">
        <v>310</v>
      </c>
      <c r="F221" s="451">
        <v>13559482.699999999</v>
      </c>
      <c r="G221" s="451">
        <v>0</v>
      </c>
      <c r="H221" s="451">
        <v>0</v>
      </c>
      <c r="I221" s="451">
        <v>13559482.699999999</v>
      </c>
      <c r="J221" s="451">
        <v>259805</v>
      </c>
      <c r="K221" s="451">
        <v>0</v>
      </c>
      <c r="L221" s="451">
        <v>0</v>
      </c>
      <c r="M221" s="451">
        <v>259805</v>
      </c>
      <c r="N221" s="451">
        <v>614940</v>
      </c>
      <c r="O221" s="451">
        <v>0</v>
      </c>
      <c r="P221" s="451">
        <v>0</v>
      </c>
      <c r="Q221" s="451">
        <v>614940</v>
      </c>
      <c r="R221" s="451">
        <v>198827</v>
      </c>
      <c r="S221" s="451">
        <v>0</v>
      </c>
      <c r="T221" s="451">
        <v>0</v>
      </c>
      <c r="U221" s="451">
        <v>198827</v>
      </c>
      <c r="V221" s="451">
        <v>261144</v>
      </c>
      <c r="W221" s="451">
        <v>0</v>
      </c>
      <c r="X221" s="451">
        <v>0</v>
      </c>
      <c r="Y221" s="451">
        <v>261144</v>
      </c>
      <c r="Z221" s="451">
        <v>12224767</v>
      </c>
      <c r="AA221" s="451">
        <v>0</v>
      </c>
      <c r="AB221" s="451">
        <v>0</v>
      </c>
      <c r="AC221" s="451">
        <v>12224767</v>
      </c>
      <c r="AD221" s="451">
        <v>0</v>
      </c>
      <c r="AE221" s="451">
        <v>0</v>
      </c>
      <c r="AF221" s="451">
        <v>0</v>
      </c>
      <c r="AG221" s="451">
        <v>0</v>
      </c>
      <c r="AH221" s="451">
        <v>0</v>
      </c>
      <c r="AI221" s="451">
        <v>0</v>
      </c>
      <c r="AJ221" s="451">
        <v>0</v>
      </c>
      <c r="AK221" s="451">
        <v>0</v>
      </c>
      <c r="AL221" s="451">
        <v>0</v>
      </c>
      <c r="AM221" s="451">
        <v>0</v>
      </c>
      <c r="AN221" s="451">
        <v>0</v>
      </c>
      <c r="AO221" s="451">
        <v>1065593.76</v>
      </c>
      <c r="AP221" s="451">
        <v>23934.22</v>
      </c>
      <c r="AQ221" s="324"/>
      <c r="AR221" s="310"/>
      <c r="AS221" s="310"/>
      <c r="AT221" s="310"/>
      <c r="AU221" s="310"/>
      <c r="AV221" s="310"/>
      <c r="AW221" s="310"/>
      <c r="AX221" s="310"/>
      <c r="AY221" s="310"/>
      <c r="AZ221" s="310"/>
      <c r="BA221" s="310"/>
      <c r="BB221" s="310"/>
      <c r="BC221" s="310"/>
      <c r="BD221" s="310"/>
      <c r="BE221" s="310"/>
      <c r="BF221" s="310"/>
      <c r="BG221" s="310"/>
      <c r="BH221" s="310"/>
      <c r="BI221" s="310"/>
      <c r="BJ221" s="310"/>
      <c r="BK221" s="310"/>
      <c r="BL221" s="310"/>
      <c r="BM221" s="310"/>
      <c r="BN221" s="310"/>
      <c r="BO221" s="310"/>
      <c r="BP221" s="310"/>
      <c r="BQ221" s="310"/>
      <c r="BR221" s="310"/>
      <c r="BS221" s="310"/>
      <c r="BT221" s="310"/>
      <c r="BU221" s="310"/>
      <c r="BV221" s="310"/>
      <c r="BW221" s="310"/>
      <c r="BX221" s="310"/>
      <c r="BY221" s="310"/>
      <c r="BZ221" s="310"/>
      <c r="CA221" s="310"/>
      <c r="CB221" s="310"/>
      <c r="CC221" s="310"/>
      <c r="CD221" s="310"/>
      <c r="CE221" s="310"/>
      <c r="CF221" s="310"/>
      <c r="CG221" s="310"/>
      <c r="CH221" s="310"/>
      <c r="CI221" s="310"/>
      <c r="CJ221" s="310"/>
      <c r="CK221" s="310"/>
      <c r="CL221" s="310"/>
      <c r="CM221" s="310"/>
      <c r="CN221" s="310"/>
      <c r="CO221" s="310"/>
      <c r="CP221" s="310"/>
      <c r="CQ221" s="310"/>
      <c r="CR221" s="310"/>
      <c r="CS221" s="310"/>
      <c r="CT221" s="310"/>
      <c r="CU221" s="310"/>
      <c r="CV221" s="310"/>
      <c r="CW221" s="310"/>
      <c r="CX221" s="310"/>
      <c r="CY221" s="310"/>
      <c r="CZ221" s="310"/>
      <c r="DA221" s="310"/>
      <c r="DB221" s="310"/>
      <c r="DC221" s="310"/>
      <c r="DD221" s="310"/>
      <c r="DE221" s="310"/>
      <c r="DF221" s="310"/>
      <c r="DG221" s="310"/>
      <c r="DH221" s="310"/>
      <c r="DI221" s="310"/>
      <c r="DJ221" s="310"/>
      <c r="DK221" s="310"/>
      <c r="DL221" s="310"/>
      <c r="DM221" s="310"/>
      <c r="DN221" s="310"/>
      <c r="DO221" s="310"/>
      <c r="DP221" s="310"/>
      <c r="DQ221" s="310"/>
      <c r="DR221" s="310"/>
      <c r="DS221" s="310"/>
      <c r="DT221" s="310"/>
      <c r="DU221" s="310"/>
      <c r="DV221" s="310"/>
      <c r="DW221" s="310"/>
      <c r="DX221" s="310"/>
      <c r="DY221" s="310"/>
      <c r="DZ221" s="310"/>
      <c r="EA221" s="310"/>
      <c r="EB221" s="310"/>
      <c r="EC221" s="310"/>
      <c r="ED221" s="310"/>
      <c r="EE221" s="310"/>
      <c r="EF221" s="310"/>
      <c r="EG221" s="310"/>
      <c r="EH221" s="310"/>
      <c r="EI221" s="310"/>
      <c r="EJ221" s="310"/>
      <c r="EK221" s="310"/>
      <c r="EL221" s="310"/>
      <c r="EM221" s="310"/>
      <c r="EN221" s="310"/>
      <c r="EO221" s="310"/>
      <c r="EP221" s="310"/>
      <c r="EQ221" s="310"/>
      <c r="ER221" s="310"/>
      <c r="ES221" s="310"/>
      <c r="ET221" s="310"/>
      <c r="EU221" s="310"/>
      <c r="EV221" s="310"/>
      <c r="EW221" s="310"/>
      <c r="EX221" s="310"/>
      <c r="EY221" s="310"/>
      <c r="EZ221" s="310"/>
      <c r="FA221" s="310"/>
      <c r="FB221" s="310"/>
      <c r="FC221" s="310"/>
      <c r="FD221" s="310"/>
      <c r="FE221" s="311"/>
      <c r="FF221" s="312"/>
    </row>
    <row r="222" spans="1:162" ht="12.75" x14ac:dyDescent="0.2">
      <c r="A222" s="446">
        <v>215</v>
      </c>
      <c r="B222" s="447" t="s">
        <v>313</v>
      </c>
      <c r="C222" s="448" t="s">
        <v>1093</v>
      </c>
      <c r="D222" s="449" t="s">
        <v>1094</v>
      </c>
      <c r="E222" s="450" t="s">
        <v>312</v>
      </c>
      <c r="F222" s="451">
        <v>16463985.9</v>
      </c>
      <c r="G222" s="451">
        <v>0</v>
      </c>
      <c r="H222" s="451">
        <v>0</v>
      </c>
      <c r="I222" s="451">
        <v>16463985.9</v>
      </c>
      <c r="J222" s="451">
        <v>73143.64</v>
      </c>
      <c r="K222" s="451">
        <v>0</v>
      </c>
      <c r="L222" s="451">
        <v>0</v>
      </c>
      <c r="M222" s="451">
        <v>73143.64</v>
      </c>
      <c r="N222" s="451">
        <v>38572.910000000003</v>
      </c>
      <c r="O222" s="451">
        <v>0</v>
      </c>
      <c r="P222" s="451">
        <v>0</v>
      </c>
      <c r="Q222" s="451">
        <v>38572.910000000003</v>
      </c>
      <c r="R222" s="451">
        <v>276000</v>
      </c>
      <c r="S222" s="451">
        <v>0</v>
      </c>
      <c r="T222" s="451">
        <v>0</v>
      </c>
      <c r="U222" s="451">
        <v>276000</v>
      </c>
      <c r="V222" s="451">
        <v>751000</v>
      </c>
      <c r="W222" s="451">
        <v>0</v>
      </c>
      <c r="X222" s="451">
        <v>0</v>
      </c>
      <c r="Y222" s="451">
        <v>751000</v>
      </c>
      <c r="Z222" s="451">
        <v>15325269</v>
      </c>
      <c r="AA222" s="451">
        <v>0</v>
      </c>
      <c r="AB222" s="451">
        <v>0</v>
      </c>
      <c r="AC222" s="451">
        <v>15325269</v>
      </c>
      <c r="AD222" s="451">
        <v>0</v>
      </c>
      <c r="AE222" s="451">
        <v>0</v>
      </c>
      <c r="AF222" s="451">
        <v>0</v>
      </c>
      <c r="AG222" s="451">
        <v>0</v>
      </c>
      <c r="AH222" s="451">
        <v>0</v>
      </c>
      <c r="AI222" s="451">
        <v>0</v>
      </c>
      <c r="AJ222" s="451">
        <v>0</v>
      </c>
      <c r="AK222" s="451">
        <v>0</v>
      </c>
      <c r="AL222" s="451">
        <v>0</v>
      </c>
      <c r="AM222" s="451">
        <v>0</v>
      </c>
      <c r="AN222" s="451">
        <v>0</v>
      </c>
      <c r="AO222" s="451">
        <v>626404.24</v>
      </c>
      <c r="AP222" s="451">
        <v>63126.559999999998</v>
      </c>
      <c r="AQ222" s="324"/>
      <c r="AR222" s="310"/>
      <c r="AS222" s="310"/>
      <c r="AT222" s="310"/>
      <c r="AU222" s="310"/>
      <c r="AV222" s="310"/>
      <c r="AW222" s="310"/>
      <c r="AX222" s="310"/>
      <c r="AY222" s="310"/>
      <c r="AZ222" s="310"/>
      <c r="BA222" s="310"/>
      <c r="BB222" s="310"/>
      <c r="BC222" s="310"/>
      <c r="BD222" s="310"/>
      <c r="BE222" s="310"/>
      <c r="BF222" s="310"/>
      <c r="BG222" s="310"/>
      <c r="BH222" s="310"/>
      <c r="BI222" s="310"/>
      <c r="BJ222" s="310"/>
      <c r="BK222" s="310"/>
      <c r="BL222" s="310"/>
      <c r="BM222" s="310"/>
      <c r="BN222" s="310"/>
      <c r="BO222" s="310"/>
      <c r="BP222" s="310"/>
      <c r="BQ222" s="310"/>
      <c r="BR222" s="310"/>
      <c r="BS222" s="310"/>
      <c r="BT222" s="310"/>
      <c r="BU222" s="310"/>
      <c r="BV222" s="310"/>
      <c r="BW222" s="310"/>
      <c r="BX222" s="310"/>
      <c r="BY222" s="310"/>
      <c r="BZ222" s="310"/>
      <c r="CA222" s="310"/>
      <c r="CB222" s="310"/>
      <c r="CC222" s="310"/>
      <c r="CD222" s="310"/>
      <c r="CE222" s="310"/>
      <c r="CF222" s="310"/>
      <c r="CG222" s="310"/>
      <c r="CH222" s="310"/>
      <c r="CI222" s="310"/>
      <c r="CJ222" s="310"/>
      <c r="CK222" s="310"/>
      <c r="CL222" s="310"/>
      <c r="CM222" s="310"/>
      <c r="CN222" s="310"/>
      <c r="CO222" s="310"/>
      <c r="CP222" s="310"/>
      <c r="CQ222" s="310"/>
      <c r="CR222" s="310"/>
      <c r="CS222" s="310"/>
      <c r="CT222" s="310"/>
      <c r="CU222" s="310"/>
      <c r="CV222" s="310"/>
      <c r="CW222" s="310"/>
      <c r="CX222" s="310"/>
      <c r="CY222" s="310"/>
      <c r="CZ222" s="310"/>
      <c r="DA222" s="310"/>
      <c r="DB222" s="310"/>
      <c r="DC222" s="310"/>
      <c r="DD222" s="310"/>
      <c r="DE222" s="310"/>
      <c r="DF222" s="310"/>
      <c r="DG222" s="310"/>
      <c r="DH222" s="310"/>
      <c r="DI222" s="310"/>
      <c r="DJ222" s="310"/>
      <c r="DK222" s="310"/>
      <c r="DL222" s="310"/>
      <c r="DM222" s="310"/>
      <c r="DN222" s="310"/>
      <c r="DO222" s="310"/>
      <c r="DP222" s="310"/>
      <c r="DQ222" s="310"/>
      <c r="DR222" s="310"/>
      <c r="DS222" s="310"/>
      <c r="DT222" s="310"/>
      <c r="DU222" s="310"/>
      <c r="DV222" s="310"/>
      <c r="DW222" s="310"/>
      <c r="DX222" s="310"/>
      <c r="DY222" s="310"/>
      <c r="DZ222" s="310"/>
      <c r="EA222" s="310"/>
      <c r="EB222" s="310"/>
      <c r="EC222" s="310"/>
      <c r="ED222" s="310"/>
      <c r="EE222" s="310"/>
      <c r="EF222" s="310"/>
      <c r="EG222" s="310"/>
      <c r="EH222" s="310"/>
      <c r="EI222" s="310"/>
      <c r="EJ222" s="310"/>
      <c r="EK222" s="310"/>
      <c r="EL222" s="310"/>
      <c r="EM222" s="310"/>
      <c r="EN222" s="310"/>
      <c r="EO222" s="310"/>
      <c r="EP222" s="310"/>
      <c r="EQ222" s="310"/>
      <c r="ER222" s="310"/>
      <c r="ES222" s="310"/>
      <c r="ET222" s="310"/>
      <c r="EU222" s="310"/>
      <c r="EV222" s="310"/>
      <c r="EW222" s="310"/>
      <c r="EX222" s="310"/>
      <c r="EY222" s="310"/>
      <c r="EZ222" s="310"/>
      <c r="FA222" s="310"/>
      <c r="FB222" s="310"/>
      <c r="FC222" s="310"/>
      <c r="FD222" s="310"/>
      <c r="FE222" s="311"/>
      <c r="FF222" s="312"/>
    </row>
    <row r="223" spans="1:162" ht="12.75" x14ac:dyDescent="0.2">
      <c r="A223" s="446">
        <v>216</v>
      </c>
      <c r="B223" s="447" t="s">
        <v>315</v>
      </c>
      <c r="C223" s="448" t="s">
        <v>1100</v>
      </c>
      <c r="D223" s="449" t="s">
        <v>1101</v>
      </c>
      <c r="E223" s="450" t="s">
        <v>314</v>
      </c>
      <c r="F223" s="451">
        <v>73172093</v>
      </c>
      <c r="G223" s="451">
        <v>0</v>
      </c>
      <c r="H223" s="451">
        <v>0</v>
      </c>
      <c r="I223" s="451">
        <v>73172093</v>
      </c>
      <c r="J223" s="451">
        <v>474049</v>
      </c>
      <c r="K223" s="451">
        <v>0</v>
      </c>
      <c r="L223" s="451">
        <v>0</v>
      </c>
      <c r="M223" s="451">
        <v>474049</v>
      </c>
      <c r="N223" s="451">
        <v>270527</v>
      </c>
      <c r="O223" s="451">
        <v>0</v>
      </c>
      <c r="P223" s="451">
        <v>0</v>
      </c>
      <c r="Q223" s="451">
        <v>270527</v>
      </c>
      <c r="R223" s="451">
        <v>2167190</v>
      </c>
      <c r="S223" s="451">
        <v>0</v>
      </c>
      <c r="T223" s="451">
        <v>0</v>
      </c>
      <c r="U223" s="451">
        <v>2167190</v>
      </c>
      <c r="V223" s="451">
        <v>4803272</v>
      </c>
      <c r="W223" s="451">
        <v>0</v>
      </c>
      <c r="X223" s="451">
        <v>0</v>
      </c>
      <c r="Y223" s="451">
        <v>4803272</v>
      </c>
      <c r="Z223" s="451">
        <v>65457055</v>
      </c>
      <c r="AA223" s="451">
        <v>0</v>
      </c>
      <c r="AB223" s="451">
        <v>0</v>
      </c>
      <c r="AC223" s="451">
        <v>65457055</v>
      </c>
      <c r="AD223" s="451">
        <v>115440</v>
      </c>
      <c r="AE223" s="451">
        <v>0</v>
      </c>
      <c r="AF223" s="451">
        <v>0</v>
      </c>
      <c r="AG223" s="451">
        <v>115440</v>
      </c>
      <c r="AH223" s="451">
        <v>0</v>
      </c>
      <c r="AI223" s="451">
        <v>0</v>
      </c>
      <c r="AJ223" s="451">
        <v>0</v>
      </c>
      <c r="AK223" s="451">
        <v>324188</v>
      </c>
      <c r="AL223" s="451">
        <v>0</v>
      </c>
      <c r="AM223" s="451">
        <v>0</v>
      </c>
      <c r="AN223" s="451">
        <v>115440</v>
      </c>
      <c r="AO223" s="451">
        <v>2578478</v>
      </c>
      <c r="AP223" s="451">
        <v>547866</v>
      </c>
      <c r="AQ223" s="324"/>
      <c r="AR223" s="310"/>
      <c r="AS223" s="310"/>
      <c r="AT223" s="310"/>
      <c r="AU223" s="310"/>
      <c r="AV223" s="310"/>
      <c r="AW223" s="310"/>
      <c r="AX223" s="310"/>
      <c r="AY223" s="310"/>
      <c r="AZ223" s="310"/>
      <c r="BA223" s="310"/>
      <c r="BB223" s="310"/>
      <c r="BC223" s="310"/>
      <c r="BD223" s="310"/>
      <c r="BE223" s="310"/>
      <c r="BF223" s="310"/>
      <c r="BG223" s="310"/>
      <c r="BH223" s="310"/>
      <c r="BI223" s="310"/>
      <c r="BJ223" s="310"/>
      <c r="BK223" s="310"/>
      <c r="BL223" s="310"/>
      <c r="BM223" s="310"/>
      <c r="BN223" s="310"/>
      <c r="BO223" s="310"/>
      <c r="BP223" s="310"/>
      <c r="BQ223" s="310"/>
      <c r="BR223" s="310"/>
      <c r="BS223" s="310"/>
      <c r="BT223" s="310"/>
      <c r="BU223" s="310"/>
      <c r="BV223" s="310"/>
      <c r="BW223" s="310"/>
      <c r="BX223" s="310"/>
      <c r="BY223" s="310"/>
      <c r="BZ223" s="310"/>
      <c r="CA223" s="310"/>
      <c r="CB223" s="310"/>
      <c r="CC223" s="310"/>
      <c r="CD223" s="310"/>
      <c r="CE223" s="310"/>
      <c r="CF223" s="310"/>
      <c r="CG223" s="310"/>
      <c r="CH223" s="310"/>
      <c r="CI223" s="310"/>
      <c r="CJ223" s="310"/>
      <c r="CK223" s="310"/>
      <c r="CL223" s="310"/>
      <c r="CM223" s="310"/>
      <c r="CN223" s="310"/>
      <c r="CO223" s="310"/>
      <c r="CP223" s="310"/>
      <c r="CQ223" s="310"/>
      <c r="CR223" s="310"/>
      <c r="CS223" s="310"/>
      <c r="CT223" s="310"/>
      <c r="CU223" s="310"/>
      <c r="CV223" s="310"/>
      <c r="CW223" s="310"/>
      <c r="CX223" s="310"/>
      <c r="CY223" s="310"/>
      <c r="CZ223" s="310"/>
      <c r="DA223" s="310"/>
      <c r="DB223" s="310"/>
      <c r="DC223" s="310"/>
      <c r="DD223" s="310"/>
      <c r="DE223" s="310"/>
      <c r="DF223" s="310"/>
      <c r="DG223" s="310"/>
      <c r="DH223" s="310"/>
      <c r="DI223" s="310"/>
      <c r="DJ223" s="310"/>
      <c r="DK223" s="310"/>
      <c r="DL223" s="310"/>
      <c r="DM223" s="310"/>
      <c r="DN223" s="310"/>
      <c r="DO223" s="310"/>
      <c r="DP223" s="310"/>
      <c r="DQ223" s="310"/>
      <c r="DR223" s="310"/>
      <c r="DS223" s="310"/>
      <c r="DT223" s="310"/>
      <c r="DU223" s="310"/>
      <c r="DV223" s="310"/>
      <c r="DW223" s="310"/>
      <c r="DX223" s="310"/>
      <c r="DY223" s="310"/>
      <c r="DZ223" s="310"/>
      <c r="EA223" s="310"/>
      <c r="EB223" s="310"/>
      <c r="EC223" s="310"/>
      <c r="ED223" s="310"/>
      <c r="EE223" s="310"/>
      <c r="EF223" s="310"/>
      <c r="EG223" s="310"/>
      <c r="EH223" s="310"/>
      <c r="EI223" s="310"/>
      <c r="EJ223" s="310"/>
      <c r="EK223" s="310"/>
      <c r="EL223" s="310"/>
      <c r="EM223" s="310"/>
      <c r="EN223" s="310"/>
      <c r="EO223" s="310"/>
      <c r="EP223" s="310"/>
      <c r="EQ223" s="310"/>
      <c r="ER223" s="310"/>
      <c r="ES223" s="310"/>
      <c r="ET223" s="310"/>
      <c r="EU223" s="310"/>
      <c r="EV223" s="310"/>
      <c r="EW223" s="310"/>
      <c r="EX223" s="310"/>
      <c r="EY223" s="310"/>
      <c r="EZ223" s="310"/>
      <c r="FA223" s="310"/>
      <c r="FB223" s="310"/>
      <c r="FC223" s="310"/>
      <c r="FD223" s="310"/>
      <c r="FE223" s="311"/>
      <c r="FF223" s="312"/>
    </row>
    <row r="224" spans="1:162" ht="12.75" x14ac:dyDescent="0.2">
      <c r="A224" s="446">
        <v>217</v>
      </c>
      <c r="B224" s="447" t="s">
        <v>317</v>
      </c>
      <c r="C224" s="448" t="s">
        <v>1093</v>
      </c>
      <c r="D224" s="449" t="s">
        <v>1103</v>
      </c>
      <c r="E224" s="450" t="s">
        <v>316</v>
      </c>
      <c r="F224" s="451">
        <v>40330838.799999997</v>
      </c>
      <c r="G224" s="451">
        <v>0</v>
      </c>
      <c r="H224" s="451">
        <v>0</v>
      </c>
      <c r="I224" s="451">
        <v>40330838.799999997</v>
      </c>
      <c r="J224" s="451">
        <v>73799</v>
      </c>
      <c r="K224" s="451">
        <v>0</v>
      </c>
      <c r="L224" s="451">
        <v>0</v>
      </c>
      <c r="M224" s="451">
        <v>73799</v>
      </c>
      <c r="N224" s="451">
        <v>27074</v>
      </c>
      <c r="O224" s="451">
        <v>0</v>
      </c>
      <c r="P224" s="451">
        <v>0</v>
      </c>
      <c r="Q224" s="451">
        <v>27074</v>
      </c>
      <c r="R224" s="451">
        <v>424473</v>
      </c>
      <c r="S224" s="451">
        <v>0</v>
      </c>
      <c r="T224" s="451">
        <v>0</v>
      </c>
      <c r="U224" s="451">
        <v>424473</v>
      </c>
      <c r="V224" s="451">
        <v>1776949</v>
      </c>
      <c r="W224" s="451">
        <v>0</v>
      </c>
      <c r="X224" s="451">
        <v>0</v>
      </c>
      <c r="Y224" s="451">
        <v>1776949</v>
      </c>
      <c r="Z224" s="451">
        <v>38028544</v>
      </c>
      <c r="AA224" s="451">
        <v>0</v>
      </c>
      <c r="AB224" s="451">
        <v>0</v>
      </c>
      <c r="AC224" s="451">
        <v>38028544</v>
      </c>
      <c r="AD224" s="451">
        <v>0</v>
      </c>
      <c r="AE224" s="451">
        <v>0</v>
      </c>
      <c r="AF224" s="451">
        <v>0</v>
      </c>
      <c r="AG224" s="451">
        <v>0</v>
      </c>
      <c r="AH224" s="451">
        <v>0</v>
      </c>
      <c r="AI224" s="451">
        <v>0</v>
      </c>
      <c r="AJ224" s="451">
        <v>0</v>
      </c>
      <c r="AK224" s="451">
        <v>0</v>
      </c>
      <c r="AL224" s="451">
        <v>0</v>
      </c>
      <c r="AM224" s="451">
        <v>0</v>
      </c>
      <c r="AN224" s="451">
        <v>0</v>
      </c>
      <c r="AO224" s="451">
        <v>1004497</v>
      </c>
      <c r="AP224" s="451">
        <v>573255</v>
      </c>
      <c r="AQ224" s="324"/>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310"/>
      <c r="BS224" s="310"/>
      <c r="BT224" s="310"/>
      <c r="BU224" s="310"/>
      <c r="BV224" s="310"/>
      <c r="BW224" s="310"/>
      <c r="BX224" s="310"/>
      <c r="BY224" s="310"/>
      <c r="BZ224" s="310"/>
      <c r="CA224" s="310"/>
      <c r="CB224" s="310"/>
      <c r="CC224" s="310"/>
      <c r="CD224" s="310"/>
      <c r="CE224" s="310"/>
      <c r="CF224" s="310"/>
      <c r="CG224" s="310"/>
      <c r="CH224" s="310"/>
      <c r="CI224" s="310"/>
      <c r="CJ224" s="310"/>
      <c r="CK224" s="310"/>
      <c r="CL224" s="310"/>
      <c r="CM224" s="310"/>
      <c r="CN224" s="310"/>
      <c r="CO224" s="310"/>
      <c r="CP224" s="310"/>
      <c r="CQ224" s="310"/>
      <c r="CR224" s="310"/>
      <c r="CS224" s="310"/>
      <c r="CT224" s="310"/>
      <c r="CU224" s="310"/>
      <c r="CV224" s="310"/>
      <c r="CW224" s="310"/>
      <c r="CX224" s="310"/>
      <c r="CY224" s="310"/>
      <c r="CZ224" s="310"/>
      <c r="DA224" s="310"/>
      <c r="DB224" s="310"/>
      <c r="DC224" s="310"/>
      <c r="DD224" s="310"/>
      <c r="DE224" s="310"/>
      <c r="DF224" s="310"/>
      <c r="DG224" s="310"/>
      <c r="DH224" s="310"/>
      <c r="DI224" s="310"/>
      <c r="DJ224" s="310"/>
      <c r="DK224" s="310"/>
      <c r="DL224" s="310"/>
      <c r="DM224" s="310"/>
      <c r="DN224" s="310"/>
      <c r="DO224" s="310"/>
      <c r="DP224" s="310"/>
      <c r="DQ224" s="310"/>
      <c r="DR224" s="310"/>
      <c r="DS224" s="310"/>
      <c r="DT224" s="310"/>
      <c r="DU224" s="310"/>
      <c r="DV224" s="310"/>
      <c r="DW224" s="310"/>
      <c r="DX224" s="310"/>
      <c r="DY224" s="310"/>
      <c r="DZ224" s="310"/>
      <c r="EA224" s="310"/>
      <c r="EB224" s="310"/>
      <c r="EC224" s="310"/>
      <c r="ED224" s="310"/>
      <c r="EE224" s="310"/>
      <c r="EF224" s="310"/>
      <c r="EG224" s="310"/>
      <c r="EH224" s="310"/>
      <c r="EI224" s="310"/>
      <c r="EJ224" s="310"/>
      <c r="EK224" s="310"/>
      <c r="EL224" s="310"/>
      <c r="EM224" s="310"/>
      <c r="EN224" s="310"/>
      <c r="EO224" s="310"/>
      <c r="EP224" s="310"/>
      <c r="EQ224" s="310"/>
      <c r="ER224" s="310"/>
      <c r="ES224" s="310"/>
      <c r="ET224" s="310"/>
      <c r="EU224" s="310"/>
      <c r="EV224" s="310"/>
      <c r="EW224" s="310"/>
      <c r="EX224" s="310"/>
      <c r="EY224" s="310"/>
      <c r="EZ224" s="310"/>
      <c r="FA224" s="310"/>
      <c r="FB224" s="310"/>
      <c r="FC224" s="310"/>
      <c r="FD224" s="310"/>
      <c r="FE224" s="311"/>
      <c r="FF224" s="312"/>
    </row>
    <row r="225" spans="1:162" ht="12.75" x14ac:dyDescent="0.2">
      <c r="A225" s="446">
        <v>218</v>
      </c>
      <c r="B225" s="447" t="s">
        <v>319</v>
      </c>
      <c r="C225" s="448" t="s">
        <v>1093</v>
      </c>
      <c r="D225" s="449" t="s">
        <v>1094</v>
      </c>
      <c r="E225" s="450" t="s">
        <v>318</v>
      </c>
      <c r="F225" s="451">
        <v>43149639</v>
      </c>
      <c r="G225" s="451">
        <v>0</v>
      </c>
      <c r="H225" s="451">
        <v>0</v>
      </c>
      <c r="I225" s="451">
        <v>43149639</v>
      </c>
      <c r="J225" s="451">
        <v>16091</v>
      </c>
      <c r="K225" s="451">
        <v>0</v>
      </c>
      <c r="L225" s="451">
        <v>0</v>
      </c>
      <c r="M225" s="451">
        <v>16091</v>
      </c>
      <c r="N225" s="451">
        <v>353200</v>
      </c>
      <c r="O225" s="451">
        <v>0</v>
      </c>
      <c r="P225" s="451">
        <v>0</v>
      </c>
      <c r="Q225" s="451">
        <v>353200</v>
      </c>
      <c r="R225" s="451">
        <v>573205</v>
      </c>
      <c r="S225" s="451">
        <v>0</v>
      </c>
      <c r="T225" s="451">
        <v>0</v>
      </c>
      <c r="U225" s="451">
        <v>573205</v>
      </c>
      <c r="V225" s="451">
        <v>1657549</v>
      </c>
      <c r="W225" s="451">
        <v>0</v>
      </c>
      <c r="X225" s="451">
        <v>0</v>
      </c>
      <c r="Y225" s="451">
        <v>1657549</v>
      </c>
      <c r="Z225" s="451">
        <v>40549594</v>
      </c>
      <c r="AA225" s="451">
        <v>0</v>
      </c>
      <c r="AB225" s="451">
        <v>0</v>
      </c>
      <c r="AC225" s="451">
        <v>40549594</v>
      </c>
      <c r="AD225" s="451">
        <v>0</v>
      </c>
      <c r="AE225" s="451">
        <v>0</v>
      </c>
      <c r="AF225" s="451">
        <v>0</v>
      </c>
      <c r="AG225" s="451">
        <v>0</v>
      </c>
      <c r="AH225" s="451">
        <v>0</v>
      </c>
      <c r="AI225" s="451">
        <v>0</v>
      </c>
      <c r="AJ225" s="451">
        <v>0</v>
      </c>
      <c r="AK225" s="451">
        <v>0</v>
      </c>
      <c r="AL225" s="451">
        <v>0</v>
      </c>
      <c r="AM225" s="451">
        <v>0</v>
      </c>
      <c r="AN225" s="451">
        <v>0</v>
      </c>
      <c r="AO225" s="451">
        <v>1357079</v>
      </c>
      <c r="AP225" s="451">
        <v>-826560</v>
      </c>
      <c r="AQ225" s="324"/>
      <c r="AR225" s="310"/>
      <c r="AS225" s="310"/>
      <c r="AT225" s="310"/>
      <c r="AU225" s="310"/>
      <c r="AV225" s="310"/>
      <c r="AW225" s="310"/>
      <c r="AX225" s="310"/>
      <c r="AY225" s="310"/>
      <c r="AZ225" s="310"/>
      <c r="BA225" s="310"/>
      <c r="BB225" s="310"/>
      <c r="BC225" s="310"/>
      <c r="BD225" s="310"/>
      <c r="BE225" s="310"/>
      <c r="BF225" s="310"/>
      <c r="BG225" s="310"/>
      <c r="BH225" s="310"/>
      <c r="BI225" s="310"/>
      <c r="BJ225" s="310"/>
      <c r="BK225" s="310"/>
      <c r="BL225" s="310"/>
      <c r="BM225" s="310"/>
      <c r="BN225" s="310"/>
      <c r="BO225" s="310"/>
      <c r="BP225" s="310"/>
      <c r="BQ225" s="310"/>
      <c r="BR225" s="310"/>
      <c r="BS225" s="310"/>
      <c r="BT225" s="310"/>
      <c r="BU225" s="310"/>
      <c r="BV225" s="310"/>
      <c r="BW225" s="310"/>
      <c r="BX225" s="310"/>
      <c r="BY225" s="310"/>
      <c r="BZ225" s="310"/>
      <c r="CA225" s="310"/>
      <c r="CB225" s="310"/>
      <c r="CC225" s="310"/>
      <c r="CD225" s="310"/>
      <c r="CE225" s="310"/>
      <c r="CF225" s="310"/>
      <c r="CG225" s="310"/>
      <c r="CH225" s="310"/>
      <c r="CI225" s="310"/>
      <c r="CJ225" s="310"/>
      <c r="CK225" s="310"/>
      <c r="CL225" s="310"/>
      <c r="CM225" s="310"/>
      <c r="CN225" s="310"/>
      <c r="CO225" s="310"/>
      <c r="CP225" s="310"/>
      <c r="CQ225" s="310"/>
      <c r="CR225" s="310"/>
      <c r="CS225" s="310"/>
      <c r="CT225" s="310"/>
      <c r="CU225" s="310"/>
      <c r="CV225" s="310"/>
      <c r="CW225" s="310"/>
      <c r="CX225" s="310"/>
      <c r="CY225" s="310"/>
      <c r="CZ225" s="310"/>
      <c r="DA225" s="310"/>
      <c r="DB225" s="310"/>
      <c r="DC225" s="310"/>
      <c r="DD225" s="310"/>
      <c r="DE225" s="310"/>
      <c r="DF225" s="310"/>
      <c r="DG225" s="310"/>
      <c r="DH225" s="310"/>
      <c r="DI225" s="310"/>
      <c r="DJ225" s="310"/>
      <c r="DK225" s="310"/>
      <c r="DL225" s="310"/>
      <c r="DM225" s="310"/>
      <c r="DN225" s="310"/>
      <c r="DO225" s="310"/>
      <c r="DP225" s="310"/>
      <c r="DQ225" s="310"/>
      <c r="DR225" s="310"/>
      <c r="DS225" s="310"/>
      <c r="DT225" s="310"/>
      <c r="DU225" s="310"/>
      <c r="DV225" s="310"/>
      <c r="DW225" s="310"/>
      <c r="DX225" s="310"/>
      <c r="DY225" s="310"/>
      <c r="DZ225" s="310"/>
      <c r="EA225" s="310"/>
      <c r="EB225" s="310"/>
      <c r="EC225" s="310"/>
      <c r="ED225" s="310"/>
      <c r="EE225" s="310"/>
      <c r="EF225" s="310"/>
      <c r="EG225" s="310"/>
      <c r="EH225" s="310"/>
      <c r="EI225" s="310"/>
      <c r="EJ225" s="310"/>
      <c r="EK225" s="310"/>
      <c r="EL225" s="310"/>
      <c r="EM225" s="310"/>
      <c r="EN225" s="310"/>
      <c r="EO225" s="310"/>
      <c r="EP225" s="310"/>
      <c r="EQ225" s="310"/>
      <c r="ER225" s="310"/>
      <c r="ES225" s="310"/>
      <c r="ET225" s="310"/>
      <c r="EU225" s="310"/>
      <c r="EV225" s="310"/>
      <c r="EW225" s="310"/>
      <c r="EX225" s="310"/>
      <c r="EY225" s="310"/>
      <c r="EZ225" s="310"/>
      <c r="FA225" s="310"/>
      <c r="FB225" s="310"/>
      <c r="FC225" s="310"/>
      <c r="FD225" s="310"/>
      <c r="FE225" s="311"/>
      <c r="FF225" s="312"/>
    </row>
    <row r="226" spans="1:162" ht="12.75" x14ac:dyDescent="0.2">
      <c r="A226" s="446">
        <v>219</v>
      </c>
      <c r="B226" s="447" t="s">
        <v>321</v>
      </c>
      <c r="C226" s="448" t="s">
        <v>1093</v>
      </c>
      <c r="D226" s="449" t="s">
        <v>1096</v>
      </c>
      <c r="E226" s="450" t="s">
        <v>320</v>
      </c>
      <c r="F226" s="451">
        <v>24729483.899999999</v>
      </c>
      <c r="G226" s="451">
        <v>0</v>
      </c>
      <c r="H226" s="451">
        <v>0</v>
      </c>
      <c r="I226" s="451">
        <v>24729483.899999999</v>
      </c>
      <c r="J226" s="451">
        <v>0</v>
      </c>
      <c r="K226" s="451">
        <v>0</v>
      </c>
      <c r="L226" s="451">
        <v>0</v>
      </c>
      <c r="M226" s="451">
        <v>0</v>
      </c>
      <c r="N226" s="451">
        <v>-131600</v>
      </c>
      <c r="O226" s="451">
        <v>0</v>
      </c>
      <c r="P226" s="451">
        <v>0</v>
      </c>
      <c r="Q226" s="451">
        <v>-131600</v>
      </c>
      <c r="R226" s="451">
        <v>342222</v>
      </c>
      <c r="S226" s="451">
        <v>0</v>
      </c>
      <c r="T226" s="451">
        <v>0</v>
      </c>
      <c r="U226" s="451">
        <v>342222</v>
      </c>
      <c r="V226" s="451">
        <v>948195</v>
      </c>
      <c r="W226" s="451">
        <v>0</v>
      </c>
      <c r="X226" s="451">
        <v>0</v>
      </c>
      <c r="Y226" s="451">
        <v>948195</v>
      </c>
      <c r="Z226" s="451">
        <v>23570667</v>
      </c>
      <c r="AA226" s="451">
        <v>0</v>
      </c>
      <c r="AB226" s="451">
        <v>0</v>
      </c>
      <c r="AC226" s="451">
        <v>23570667</v>
      </c>
      <c r="AD226" s="451">
        <v>0</v>
      </c>
      <c r="AE226" s="451">
        <v>0</v>
      </c>
      <c r="AF226" s="451">
        <v>0</v>
      </c>
      <c r="AG226" s="451">
        <v>0</v>
      </c>
      <c r="AH226" s="451">
        <v>0</v>
      </c>
      <c r="AI226" s="451">
        <v>0</v>
      </c>
      <c r="AJ226" s="451">
        <v>0</v>
      </c>
      <c r="AK226" s="451">
        <v>0</v>
      </c>
      <c r="AL226" s="451">
        <v>0</v>
      </c>
      <c r="AM226" s="451">
        <v>0</v>
      </c>
      <c r="AN226" s="451">
        <v>0</v>
      </c>
      <c r="AO226" s="451">
        <v>524287.29</v>
      </c>
      <c r="AP226" s="451">
        <v>375780.31</v>
      </c>
      <c r="AQ226" s="324"/>
      <c r="AR226" s="310"/>
      <c r="AS226" s="310"/>
      <c r="AT226" s="310"/>
      <c r="AU226" s="310"/>
      <c r="AV226" s="310"/>
      <c r="AW226" s="310"/>
      <c r="AX226" s="310"/>
      <c r="AY226" s="310"/>
      <c r="AZ226" s="310"/>
      <c r="BA226" s="310"/>
      <c r="BB226" s="310"/>
      <c r="BC226" s="310"/>
      <c r="BD226" s="310"/>
      <c r="BE226" s="310"/>
      <c r="BF226" s="310"/>
      <c r="BG226" s="310"/>
      <c r="BH226" s="310"/>
      <c r="BI226" s="310"/>
      <c r="BJ226" s="310"/>
      <c r="BK226" s="310"/>
      <c r="BL226" s="310"/>
      <c r="BM226" s="310"/>
      <c r="BN226" s="310"/>
      <c r="BO226" s="310"/>
      <c r="BP226" s="310"/>
      <c r="BQ226" s="310"/>
      <c r="BR226" s="310"/>
      <c r="BS226" s="310"/>
      <c r="BT226" s="310"/>
      <c r="BU226" s="310"/>
      <c r="BV226" s="310"/>
      <c r="BW226" s="310"/>
      <c r="BX226" s="310"/>
      <c r="BY226" s="310"/>
      <c r="BZ226" s="310"/>
      <c r="CA226" s="310"/>
      <c r="CB226" s="310"/>
      <c r="CC226" s="310"/>
      <c r="CD226" s="310"/>
      <c r="CE226" s="310"/>
      <c r="CF226" s="310"/>
      <c r="CG226" s="310"/>
      <c r="CH226" s="310"/>
      <c r="CI226" s="310"/>
      <c r="CJ226" s="310"/>
      <c r="CK226" s="310"/>
      <c r="CL226" s="310"/>
      <c r="CM226" s="310"/>
      <c r="CN226" s="310"/>
      <c r="CO226" s="310"/>
      <c r="CP226" s="310"/>
      <c r="CQ226" s="310"/>
      <c r="CR226" s="310"/>
      <c r="CS226" s="310"/>
      <c r="CT226" s="310"/>
      <c r="CU226" s="310"/>
      <c r="CV226" s="310"/>
      <c r="CW226" s="310"/>
      <c r="CX226" s="310"/>
      <c r="CY226" s="310"/>
      <c r="CZ226" s="310"/>
      <c r="DA226" s="310"/>
      <c r="DB226" s="310"/>
      <c r="DC226" s="310"/>
      <c r="DD226" s="310"/>
      <c r="DE226" s="310"/>
      <c r="DF226" s="310"/>
      <c r="DG226" s="310"/>
      <c r="DH226" s="310"/>
      <c r="DI226" s="310"/>
      <c r="DJ226" s="310"/>
      <c r="DK226" s="310"/>
      <c r="DL226" s="310"/>
      <c r="DM226" s="310"/>
      <c r="DN226" s="310"/>
      <c r="DO226" s="310"/>
      <c r="DP226" s="310"/>
      <c r="DQ226" s="310"/>
      <c r="DR226" s="310"/>
      <c r="DS226" s="310"/>
      <c r="DT226" s="310"/>
      <c r="DU226" s="310"/>
      <c r="DV226" s="310"/>
      <c r="DW226" s="310"/>
      <c r="DX226" s="310"/>
      <c r="DY226" s="310"/>
      <c r="DZ226" s="310"/>
      <c r="EA226" s="310"/>
      <c r="EB226" s="310"/>
      <c r="EC226" s="310"/>
      <c r="ED226" s="310"/>
      <c r="EE226" s="310"/>
      <c r="EF226" s="310"/>
      <c r="EG226" s="310"/>
      <c r="EH226" s="310"/>
      <c r="EI226" s="310"/>
      <c r="EJ226" s="310"/>
      <c r="EK226" s="310"/>
      <c r="EL226" s="310"/>
      <c r="EM226" s="310"/>
      <c r="EN226" s="310"/>
      <c r="EO226" s="310"/>
      <c r="EP226" s="310"/>
      <c r="EQ226" s="310"/>
      <c r="ER226" s="310"/>
      <c r="ES226" s="310"/>
      <c r="ET226" s="310"/>
      <c r="EU226" s="310"/>
      <c r="EV226" s="310"/>
      <c r="EW226" s="310"/>
      <c r="EX226" s="310"/>
      <c r="EY226" s="310"/>
      <c r="EZ226" s="310"/>
      <c r="FA226" s="310"/>
      <c r="FB226" s="310"/>
      <c r="FC226" s="310"/>
      <c r="FD226" s="310"/>
      <c r="FE226" s="311"/>
      <c r="FF226" s="312"/>
    </row>
    <row r="227" spans="1:162" ht="12.75" x14ac:dyDescent="0.2">
      <c r="A227" s="446">
        <v>220</v>
      </c>
      <c r="B227" s="447" t="s">
        <v>323</v>
      </c>
      <c r="C227" s="448" t="s">
        <v>1093</v>
      </c>
      <c r="D227" s="449" t="s">
        <v>1094</v>
      </c>
      <c r="E227" s="450" t="s">
        <v>322</v>
      </c>
      <c r="F227" s="451">
        <v>44209453.399999999</v>
      </c>
      <c r="G227" s="451">
        <v>0</v>
      </c>
      <c r="H227" s="451">
        <v>0</v>
      </c>
      <c r="I227" s="451">
        <v>44209453.399999999</v>
      </c>
      <c r="J227" s="451">
        <v>330105</v>
      </c>
      <c r="K227" s="451">
        <v>0</v>
      </c>
      <c r="L227" s="451">
        <v>0</v>
      </c>
      <c r="M227" s="451">
        <v>330105</v>
      </c>
      <c r="N227" s="451">
        <v>84754.73</v>
      </c>
      <c r="O227" s="451">
        <v>0</v>
      </c>
      <c r="P227" s="451">
        <v>0</v>
      </c>
      <c r="Q227" s="451">
        <v>84754.73</v>
      </c>
      <c r="R227" s="451">
        <v>3032558</v>
      </c>
      <c r="S227" s="451">
        <v>0</v>
      </c>
      <c r="T227" s="451">
        <v>0</v>
      </c>
      <c r="U227" s="451">
        <v>3032558</v>
      </c>
      <c r="V227" s="451">
        <v>7663574</v>
      </c>
      <c r="W227" s="451">
        <v>0</v>
      </c>
      <c r="X227" s="451">
        <v>0</v>
      </c>
      <c r="Y227" s="451">
        <v>7663574</v>
      </c>
      <c r="Z227" s="451">
        <v>33098462</v>
      </c>
      <c r="AA227" s="451">
        <v>0</v>
      </c>
      <c r="AB227" s="451">
        <v>0</v>
      </c>
      <c r="AC227" s="451">
        <v>33098462</v>
      </c>
      <c r="AD227" s="451">
        <v>0</v>
      </c>
      <c r="AE227" s="451">
        <v>0</v>
      </c>
      <c r="AF227" s="451">
        <v>0</v>
      </c>
      <c r="AG227" s="451">
        <v>0</v>
      </c>
      <c r="AH227" s="451">
        <v>0</v>
      </c>
      <c r="AI227" s="451">
        <v>0</v>
      </c>
      <c r="AJ227" s="451">
        <v>0</v>
      </c>
      <c r="AK227" s="451">
        <v>0</v>
      </c>
      <c r="AL227" s="451">
        <v>0</v>
      </c>
      <c r="AM227" s="451">
        <v>0</v>
      </c>
      <c r="AN227" s="451">
        <v>0</v>
      </c>
      <c r="AO227" s="451">
        <v>1397214</v>
      </c>
      <c r="AP227" s="451">
        <v>1160460</v>
      </c>
      <c r="AQ227" s="324"/>
      <c r="AR227" s="310"/>
      <c r="AS227" s="310"/>
      <c r="AT227" s="310"/>
      <c r="AU227" s="310"/>
      <c r="AV227" s="310"/>
      <c r="AW227" s="310"/>
      <c r="AX227" s="310"/>
      <c r="AY227" s="310"/>
      <c r="AZ227" s="310"/>
      <c r="BA227" s="310"/>
      <c r="BB227" s="310"/>
      <c r="BC227" s="310"/>
      <c r="BD227" s="310"/>
      <c r="BE227" s="310"/>
      <c r="BF227" s="310"/>
      <c r="BG227" s="310"/>
      <c r="BH227" s="310"/>
      <c r="BI227" s="310"/>
      <c r="BJ227" s="310"/>
      <c r="BK227" s="310"/>
      <c r="BL227" s="310"/>
      <c r="BM227" s="310"/>
      <c r="BN227" s="310"/>
      <c r="BO227" s="310"/>
      <c r="BP227" s="310"/>
      <c r="BQ227" s="310"/>
      <c r="BR227" s="310"/>
      <c r="BS227" s="310"/>
      <c r="BT227" s="310"/>
      <c r="BU227" s="310"/>
      <c r="BV227" s="310"/>
      <c r="BW227" s="310"/>
      <c r="BX227" s="310"/>
      <c r="BY227" s="310"/>
      <c r="BZ227" s="310"/>
      <c r="CA227" s="310"/>
      <c r="CB227" s="310"/>
      <c r="CC227" s="310"/>
      <c r="CD227" s="310"/>
      <c r="CE227" s="310"/>
      <c r="CF227" s="310"/>
      <c r="CG227" s="310"/>
      <c r="CH227" s="310"/>
      <c r="CI227" s="310"/>
      <c r="CJ227" s="310"/>
      <c r="CK227" s="310"/>
      <c r="CL227" s="310"/>
      <c r="CM227" s="310"/>
      <c r="CN227" s="310"/>
      <c r="CO227" s="310"/>
      <c r="CP227" s="310"/>
      <c r="CQ227" s="310"/>
      <c r="CR227" s="310"/>
      <c r="CS227" s="310"/>
      <c r="CT227" s="310"/>
      <c r="CU227" s="310"/>
      <c r="CV227" s="310"/>
      <c r="CW227" s="310"/>
      <c r="CX227" s="310"/>
      <c r="CY227" s="310"/>
      <c r="CZ227" s="310"/>
      <c r="DA227" s="310"/>
      <c r="DB227" s="310"/>
      <c r="DC227" s="310"/>
      <c r="DD227" s="310"/>
      <c r="DE227" s="310"/>
      <c r="DF227" s="310"/>
      <c r="DG227" s="310"/>
      <c r="DH227" s="310"/>
      <c r="DI227" s="310"/>
      <c r="DJ227" s="310"/>
      <c r="DK227" s="310"/>
      <c r="DL227" s="310"/>
      <c r="DM227" s="310"/>
      <c r="DN227" s="310"/>
      <c r="DO227" s="310"/>
      <c r="DP227" s="310"/>
      <c r="DQ227" s="310"/>
      <c r="DR227" s="310"/>
      <c r="DS227" s="310"/>
      <c r="DT227" s="310"/>
      <c r="DU227" s="310"/>
      <c r="DV227" s="310"/>
      <c r="DW227" s="310"/>
      <c r="DX227" s="310"/>
      <c r="DY227" s="310"/>
      <c r="DZ227" s="310"/>
      <c r="EA227" s="310"/>
      <c r="EB227" s="310"/>
      <c r="EC227" s="310"/>
      <c r="ED227" s="310"/>
      <c r="EE227" s="310"/>
      <c r="EF227" s="310"/>
      <c r="EG227" s="310"/>
      <c r="EH227" s="310"/>
      <c r="EI227" s="310"/>
      <c r="EJ227" s="310"/>
      <c r="EK227" s="310"/>
      <c r="EL227" s="310"/>
      <c r="EM227" s="310"/>
      <c r="EN227" s="310"/>
      <c r="EO227" s="310"/>
      <c r="EP227" s="310"/>
      <c r="EQ227" s="310"/>
      <c r="ER227" s="310"/>
      <c r="ES227" s="310"/>
      <c r="ET227" s="310"/>
      <c r="EU227" s="310"/>
      <c r="EV227" s="310"/>
      <c r="EW227" s="310"/>
      <c r="EX227" s="310"/>
      <c r="EY227" s="310"/>
      <c r="EZ227" s="310"/>
      <c r="FA227" s="310"/>
      <c r="FB227" s="310"/>
      <c r="FC227" s="310"/>
      <c r="FD227" s="310"/>
      <c r="FE227" s="311"/>
      <c r="FF227" s="312"/>
    </row>
    <row r="228" spans="1:162" ht="12.75" x14ac:dyDescent="0.2">
      <c r="A228" s="446">
        <v>221</v>
      </c>
      <c r="B228" s="447" t="s">
        <v>325</v>
      </c>
      <c r="C228" s="448" t="s">
        <v>794</v>
      </c>
      <c r="D228" s="449" t="s">
        <v>1096</v>
      </c>
      <c r="E228" s="450" t="s">
        <v>742</v>
      </c>
      <c r="F228" s="451">
        <v>9755554</v>
      </c>
      <c r="G228" s="451">
        <v>0</v>
      </c>
      <c r="H228" s="451">
        <v>0</v>
      </c>
      <c r="I228" s="451">
        <v>9755554</v>
      </c>
      <c r="J228" s="451">
        <v>20607</v>
      </c>
      <c r="K228" s="451">
        <v>0</v>
      </c>
      <c r="L228" s="451">
        <v>0</v>
      </c>
      <c r="M228" s="451">
        <v>20607</v>
      </c>
      <c r="N228" s="451">
        <v>10670</v>
      </c>
      <c r="O228" s="451">
        <v>0</v>
      </c>
      <c r="P228" s="451">
        <v>0</v>
      </c>
      <c r="Q228" s="451">
        <v>10670</v>
      </c>
      <c r="R228" s="451">
        <v>138430.19</v>
      </c>
      <c r="S228" s="451">
        <v>0</v>
      </c>
      <c r="T228" s="451">
        <v>0</v>
      </c>
      <c r="U228" s="451">
        <v>138430.19</v>
      </c>
      <c r="V228" s="451">
        <v>279743.21000000002</v>
      </c>
      <c r="W228" s="451">
        <v>0</v>
      </c>
      <c r="X228" s="451">
        <v>0</v>
      </c>
      <c r="Y228" s="451">
        <v>279743.21000000002</v>
      </c>
      <c r="Z228" s="451">
        <v>9306104</v>
      </c>
      <c r="AA228" s="451">
        <v>0</v>
      </c>
      <c r="AB228" s="451">
        <v>0</v>
      </c>
      <c r="AC228" s="451">
        <v>9306104</v>
      </c>
      <c r="AD228" s="451">
        <v>0</v>
      </c>
      <c r="AE228" s="451">
        <v>0</v>
      </c>
      <c r="AF228" s="451">
        <v>0</v>
      </c>
      <c r="AG228" s="451">
        <v>0</v>
      </c>
      <c r="AH228" s="451">
        <v>0</v>
      </c>
      <c r="AI228" s="451">
        <v>0</v>
      </c>
      <c r="AJ228" s="451">
        <v>0</v>
      </c>
      <c r="AK228" s="451">
        <v>0</v>
      </c>
      <c r="AL228" s="451">
        <v>0</v>
      </c>
      <c r="AM228" s="451">
        <v>0</v>
      </c>
      <c r="AN228" s="451">
        <v>0</v>
      </c>
      <c r="AO228" s="451">
        <v>208419</v>
      </c>
      <c r="AP228" s="451">
        <v>95815</v>
      </c>
      <c r="AQ228" s="324"/>
      <c r="AR228" s="310"/>
      <c r="AS228" s="310"/>
      <c r="AT228" s="310"/>
      <c r="AU228" s="310"/>
      <c r="AV228" s="310"/>
      <c r="AW228" s="310"/>
      <c r="AX228" s="310"/>
      <c r="AY228" s="310"/>
      <c r="AZ228" s="310"/>
      <c r="BA228" s="310"/>
      <c r="BB228" s="310"/>
      <c r="BC228" s="310"/>
      <c r="BD228" s="310"/>
      <c r="BE228" s="310"/>
      <c r="BF228" s="310"/>
      <c r="BG228" s="310"/>
      <c r="BH228" s="310"/>
      <c r="BI228" s="310"/>
      <c r="BJ228" s="310"/>
      <c r="BK228" s="310"/>
      <c r="BL228" s="310"/>
      <c r="BM228" s="310"/>
      <c r="BN228" s="310"/>
      <c r="BO228" s="310"/>
      <c r="BP228" s="310"/>
      <c r="BQ228" s="310"/>
      <c r="BR228" s="310"/>
      <c r="BS228" s="310"/>
      <c r="BT228" s="310"/>
      <c r="BU228" s="310"/>
      <c r="BV228" s="310"/>
      <c r="BW228" s="310"/>
      <c r="BX228" s="310"/>
      <c r="BY228" s="310"/>
      <c r="BZ228" s="310"/>
      <c r="CA228" s="310"/>
      <c r="CB228" s="310"/>
      <c r="CC228" s="310"/>
      <c r="CD228" s="310"/>
      <c r="CE228" s="310"/>
      <c r="CF228" s="310"/>
      <c r="CG228" s="310"/>
      <c r="CH228" s="310"/>
      <c r="CI228" s="310"/>
      <c r="CJ228" s="310"/>
      <c r="CK228" s="310"/>
      <c r="CL228" s="310"/>
      <c r="CM228" s="310"/>
      <c r="CN228" s="310"/>
      <c r="CO228" s="310"/>
      <c r="CP228" s="310"/>
      <c r="CQ228" s="310"/>
      <c r="CR228" s="310"/>
      <c r="CS228" s="310"/>
      <c r="CT228" s="310"/>
      <c r="CU228" s="310"/>
      <c r="CV228" s="310"/>
      <c r="CW228" s="310"/>
      <c r="CX228" s="310"/>
      <c r="CY228" s="310"/>
      <c r="CZ228" s="310"/>
      <c r="DA228" s="310"/>
      <c r="DB228" s="310"/>
      <c r="DC228" s="310"/>
      <c r="DD228" s="310"/>
      <c r="DE228" s="310"/>
      <c r="DF228" s="310"/>
      <c r="DG228" s="310"/>
      <c r="DH228" s="310"/>
      <c r="DI228" s="310"/>
      <c r="DJ228" s="310"/>
      <c r="DK228" s="310"/>
      <c r="DL228" s="310"/>
      <c r="DM228" s="310"/>
      <c r="DN228" s="310"/>
      <c r="DO228" s="310"/>
      <c r="DP228" s="310"/>
      <c r="DQ228" s="310"/>
      <c r="DR228" s="310"/>
      <c r="DS228" s="310"/>
      <c r="DT228" s="310"/>
      <c r="DU228" s="310"/>
      <c r="DV228" s="310"/>
      <c r="DW228" s="310"/>
      <c r="DX228" s="310"/>
      <c r="DY228" s="310"/>
      <c r="DZ228" s="310"/>
      <c r="EA228" s="310"/>
      <c r="EB228" s="310"/>
      <c r="EC228" s="310"/>
      <c r="ED228" s="310"/>
      <c r="EE228" s="310"/>
      <c r="EF228" s="310"/>
      <c r="EG228" s="310"/>
      <c r="EH228" s="310"/>
      <c r="EI228" s="310"/>
      <c r="EJ228" s="310"/>
      <c r="EK228" s="310"/>
      <c r="EL228" s="310"/>
      <c r="EM228" s="310"/>
      <c r="EN228" s="310"/>
      <c r="EO228" s="310"/>
      <c r="EP228" s="310"/>
      <c r="EQ228" s="310"/>
      <c r="ER228" s="310"/>
      <c r="ES228" s="310"/>
      <c r="ET228" s="310"/>
      <c r="EU228" s="310"/>
      <c r="EV228" s="310"/>
      <c r="EW228" s="310"/>
      <c r="EX228" s="310"/>
      <c r="EY228" s="310"/>
      <c r="EZ228" s="310"/>
      <c r="FA228" s="310"/>
      <c r="FB228" s="310"/>
      <c r="FC228" s="310"/>
      <c r="FD228" s="310"/>
      <c r="FE228" s="311"/>
      <c r="FF228" s="312"/>
    </row>
    <row r="229" spans="1:162" ht="12.75" x14ac:dyDescent="0.2">
      <c r="A229" s="446">
        <v>222</v>
      </c>
      <c r="B229" s="447" t="s">
        <v>327</v>
      </c>
      <c r="C229" s="448" t="s">
        <v>1093</v>
      </c>
      <c r="D229" s="449" t="s">
        <v>1101</v>
      </c>
      <c r="E229" s="450" t="s">
        <v>326</v>
      </c>
      <c r="F229" s="451">
        <v>15179360</v>
      </c>
      <c r="G229" s="451">
        <v>0</v>
      </c>
      <c r="H229" s="451">
        <v>0</v>
      </c>
      <c r="I229" s="451">
        <v>15179360</v>
      </c>
      <c r="J229" s="451">
        <v>56216</v>
      </c>
      <c r="K229" s="451">
        <v>0</v>
      </c>
      <c r="L229" s="451">
        <v>0</v>
      </c>
      <c r="M229" s="451">
        <v>56216</v>
      </c>
      <c r="N229" s="451">
        <v>0</v>
      </c>
      <c r="O229" s="451">
        <v>0</v>
      </c>
      <c r="P229" s="451">
        <v>0</v>
      </c>
      <c r="Q229" s="451">
        <v>0</v>
      </c>
      <c r="R229" s="451">
        <v>338000</v>
      </c>
      <c r="S229" s="451">
        <v>0</v>
      </c>
      <c r="T229" s="451">
        <v>0</v>
      </c>
      <c r="U229" s="451">
        <v>338000</v>
      </c>
      <c r="V229" s="451">
        <v>931000</v>
      </c>
      <c r="W229" s="451">
        <v>0</v>
      </c>
      <c r="X229" s="451">
        <v>0</v>
      </c>
      <c r="Y229" s="451">
        <v>931000</v>
      </c>
      <c r="Z229" s="451">
        <v>13854144</v>
      </c>
      <c r="AA229" s="451">
        <v>0</v>
      </c>
      <c r="AB229" s="451">
        <v>0</v>
      </c>
      <c r="AC229" s="451">
        <v>13854144</v>
      </c>
      <c r="AD229" s="451">
        <v>0</v>
      </c>
      <c r="AE229" s="451">
        <v>0</v>
      </c>
      <c r="AF229" s="451">
        <v>0</v>
      </c>
      <c r="AG229" s="451">
        <v>0</v>
      </c>
      <c r="AH229" s="451">
        <v>0</v>
      </c>
      <c r="AI229" s="451">
        <v>0</v>
      </c>
      <c r="AJ229" s="451">
        <v>0</v>
      </c>
      <c r="AK229" s="451">
        <v>0</v>
      </c>
      <c r="AL229" s="451">
        <v>0</v>
      </c>
      <c r="AM229" s="451">
        <v>0</v>
      </c>
      <c r="AN229" s="451">
        <v>0</v>
      </c>
      <c r="AO229" s="451">
        <v>211159.13</v>
      </c>
      <c r="AP229" s="451">
        <v>149384</v>
      </c>
      <c r="AQ229" s="324"/>
      <c r="AR229" s="310"/>
      <c r="AS229" s="310"/>
      <c r="AT229" s="310"/>
      <c r="AU229" s="310"/>
      <c r="AV229" s="310"/>
      <c r="AW229" s="310"/>
      <c r="AX229" s="310"/>
      <c r="AY229" s="310"/>
      <c r="AZ229" s="310"/>
      <c r="BA229" s="310"/>
      <c r="BB229" s="310"/>
      <c r="BC229" s="310"/>
      <c r="BD229" s="310"/>
      <c r="BE229" s="310"/>
      <c r="BF229" s="310"/>
      <c r="BG229" s="310"/>
      <c r="BH229" s="310"/>
      <c r="BI229" s="310"/>
      <c r="BJ229" s="310"/>
      <c r="BK229" s="310"/>
      <c r="BL229" s="310"/>
      <c r="BM229" s="310"/>
      <c r="BN229" s="310"/>
      <c r="BO229" s="310"/>
      <c r="BP229" s="310"/>
      <c r="BQ229" s="310"/>
      <c r="BR229" s="310"/>
      <c r="BS229" s="310"/>
      <c r="BT229" s="310"/>
      <c r="BU229" s="310"/>
      <c r="BV229" s="310"/>
      <c r="BW229" s="310"/>
      <c r="BX229" s="310"/>
      <c r="BY229" s="310"/>
      <c r="BZ229" s="310"/>
      <c r="CA229" s="310"/>
      <c r="CB229" s="310"/>
      <c r="CC229" s="310"/>
      <c r="CD229" s="310"/>
      <c r="CE229" s="310"/>
      <c r="CF229" s="310"/>
      <c r="CG229" s="310"/>
      <c r="CH229" s="310"/>
      <c r="CI229" s="310"/>
      <c r="CJ229" s="310"/>
      <c r="CK229" s="310"/>
      <c r="CL229" s="310"/>
      <c r="CM229" s="310"/>
      <c r="CN229" s="310"/>
      <c r="CO229" s="310"/>
      <c r="CP229" s="310"/>
      <c r="CQ229" s="310"/>
      <c r="CR229" s="310"/>
      <c r="CS229" s="310"/>
      <c r="CT229" s="310"/>
      <c r="CU229" s="310"/>
      <c r="CV229" s="310"/>
      <c r="CW229" s="310"/>
      <c r="CX229" s="310"/>
      <c r="CY229" s="310"/>
      <c r="CZ229" s="310"/>
      <c r="DA229" s="310"/>
      <c r="DB229" s="310"/>
      <c r="DC229" s="310"/>
      <c r="DD229" s="310"/>
      <c r="DE229" s="310"/>
      <c r="DF229" s="310"/>
      <c r="DG229" s="310"/>
      <c r="DH229" s="310"/>
      <c r="DI229" s="310"/>
      <c r="DJ229" s="310"/>
      <c r="DK229" s="310"/>
      <c r="DL229" s="310"/>
      <c r="DM229" s="310"/>
      <c r="DN229" s="310"/>
      <c r="DO229" s="310"/>
      <c r="DP229" s="310"/>
      <c r="DQ229" s="310"/>
      <c r="DR229" s="310"/>
      <c r="DS229" s="310"/>
      <c r="DT229" s="310"/>
      <c r="DU229" s="310"/>
      <c r="DV229" s="310"/>
      <c r="DW229" s="310"/>
      <c r="DX229" s="310"/>
      <c r="DY229" s="310"/>
      <c r="DZ229" s="310"/>
      <c r="EA229" s="310"/>
      <c r="EB229" s="310"/>
      <c r="EC229" s="310"/>
      <c r="ED229" s="310"/>
      <c r="EE229" s="310"/>
      <c r="EF229" s="310"/>
      <c r="EG229" s="310"/>
      <c r="EH229" s="310"/>
      <c r="EI229" s="310"/>
      <c r="EJ229" s="310"/>
      <c r="EK229" s="310"/>
      <c r="EL229" s="310"/>
      <c r="EM229" s="310"/>
      <c r="EN229" s="310"/>
      <c r="EO229" s="310"/>
      <c r="EP229" s="310"/>
      <c r="EQ229" s="310"/>
      <c r="ER229" s="310"/>
      <c r="ES229" s="310"/>
      <c r="ET229" s="310"/>
      <c r="EU229" s="310"/>
      <c r="EV229" s="310"/>
      <c r="EW229" s="310"/>
      <c r="EX229" s="310"/>
      <c r="EY229" s="310"/>
      <c r="EZ229" s="310"/>
      <c r="FA229" s="310"/>
      <c r="FB229" s="310"/>
      <c r="FC229" s="310"/>
      <c r="FD229" s="310"/>
      <c r="FE229" s="311"/>
      <c r="FF229" s="312"/>
    </row>
    <row r="230" spans="1:162" ht="12.75" x14ac:dyDescent="0.2">
      <c r="A230" s="446">
        <v>223</v>
      </c>
      <c r="B230" s="447" t="s">
        <v>329</v>
      </c>
      <c r="C230" s="448" t="s">
        <v>1100</v>
      </c>
      <c r="D230" s="449" t="s">
        <v>1095</v>
      </c>
      <c r="E230" s="450" t="s">
        <v>328</v>
      </c>
      <c r="F230" s="451">
        <v>100856614</v>
      </c>
      <c r="G230" s="451">
        <v>0</v>
      </c>
      <c r="H230" s="451">
        <v>0</v>
      </c>
      <c r="I230" s="451">
        <v>100856614</v>
      </c>
      <c r="J230" s="451">
        <v>1416694</v>
      </c>
      <c r="K230" s="451">
        <v>0</v>
      </c>
      <c r="L230" s="451">
        <v>0</v>
      </c>
      <c r="M230" s="451">
        <v>1416694</v>
      </c>
      <c r="N230" s="451">
        <v>3280063</v>
      </c>
      <c r="O230" s="451">
        <v>0</v>
      </c>
      <c r="P230" s="451">
        <v>0</v>
      </c>
      <c r="Q230" s="451">
        <v>3280063</v>
      </c>
      <c r="R230" s="451">
        <v>2009973</v>
      </c>
      <c r="S230" s="451">
        <v>0</v>
      </c>
      <c r="T230" s="451">
        <v>0</v>
      </c>
      <c r="U230" s="451">
        <v>2009973</v>
      </c>
      <c r="V230" s="451">
        <v>4540091</v>
      </c>
      <c r="W230" s="451">
        <v>0</v>
      </c>
      <c r="X230" s="451">
        <v>0</v>
      </c>
      <c r="Y230" s="451">
        <v>4540091</v>
      </c>
      <c r="Z230" s="451">
        <v>89609793</v>
      </c>
      <c r="AA230" s="451">
        <v>0</v>
      </c>
      <c r="AB230" s="451">
        <v>0</v>
      </c>
      <c r="AC230" s="451">
        <v>89609793</v>
      </c>
      <c r="AD230" s="451">
        <v>0</v>
      </c>
      <c r="AE230" s="451">
        <v>0</v>
      </c>
      <c r="AF230" s="451">
        <v>0</v>
      </c>
      <c r="AG230" s="451">
        <v>0</v>
      </c>
      <c r="AH230" s="451">
        <v>0</v>
      </c>
      <c r="AI230" s="451">
        <v>0</v>
      </c>
      <c r="AJ230" s="451">
        <v>0</v>
      </c>
      <c r="AK230" s="451">
        <v>0</v>
      </c>
      <c r="AL230" s="451">
        <v>0</v>
      </c>
      <c r="AM230" s="451">
        <v>0</v>
      </c>
      <c r="AN230" s="451">
        <v>0</v>
      </c>
      <c r="AO230" s="451">
        <v>19419871</v>
      </c>
      <c r="AP230" s="451">
        <v>3348786</v>
      </c>
      <c r="AQ230" s="324"/>
      <c r="AR230" s="310"/>
      <c r="AS230" s="310"/>
      <c r="AT230" s="310"/>
      <c r="AU230" s="310"/>
      <c r="AV230" s="310"/>
      <c r="AW230" s="310"/>
      <c r="AX230" s="310"/>
      <c r="AY230" s="310"/>
      <c r="AZ230" s="310"/>
      <c r="BA230" s="310"/>
      <c r="BB230" s="310"/>
      <c r="BC230" s="310"/>
      <c r="BD230" s="310"/>
      <c r="BE230" s="310"/>
      <c r="BF230" s="310"/>
      <c r="BG230" s="310"/>
      <c r="BH230" s="310"/>
      <c r="BI230" s="310"/>
      <c r="BJ230" s="310"/>
      <c r="BK230" s="310"/>
      <c r="BL230" s="310"/>
      <c r="BM230" s="310"/>
      <c r="BN230" s="310"/>
      <c r="BO230" s="310"/>
      <c r="BP230" s="310"/>
      <c r="BQ230" s="310"/>
      <c r="BR230" s="310"/>
      <c r="BS230" s="310"/>
      <c r="BT230" s="310"/>
      <c r="BU230" s="310"/>
      <c r="BV230" s="310"/>
      <c r="BW230" s="310"/>
      <c r="BX230" s="310"/>
      <c r="BY230" s="310"/>
      <c r="BZ230" s="310"/>
      <c r="CA230" s="310"/>
      <c r="CB230" s="310"/>
      <c r="CC230" s="310"/>
      <c r="CD230" s="310"/>
      <c r="CE230" s="310"/>
      <c r="CF230" s="310"/>
      <c r="CG230" s="310"/>
      <c r="CH230" s="310"/>
      <c r="CI230" s="310"/>
      <c r="CJ230" s="310"/>
      <c r="CK230" s="310"/>
      <c r="CL230" s="310"/>
      <c r="CM230" s="310"/>
      <c r="CN230" s="310"/>
      <c r="CO230" s="310"/>
      <c r="CP230" s="310"/>
      <c r="CQ230" s="310"/>
      <c r="CR230" s="310"/>
      <c r="CS230" s="310"/>
      <c r="CT230" s="310"/>
      <c r="CU230" s="310"/>
      <c r="CV230" s="310"/>
      <c r="CW230" s="310"/>
      <c r="CX230" s="310"/>
      <c r="CY230" s="310"/>
      <c r="CZ230" s="310"/>
      <c r="DA230" s="310"/>
      <c r="DB230" s="310"/>
      <c r="DC230" s="310"/>
      <c r="DD230" s="310"/>
      <c r="DE230" s="310"/>
      <c r="DF230" s="310"/>
      <c r="DG230" s="310"/>
      <c r="DH230" s="310"/>
      <c r="DI230" s="310"/>
      <c r="DJ230" s="310"/>
      <c r="DK230" s="310"/>
      <c r="DL230" s="310"/>
      <c r="DM230" s="310"/>
      <c r="DN230" s="310"/>
      <c r="DO230" s="310"/>
      <c r="DP230" s="310"/>
      <c r="DQ230" s="310"/>
      <c r="DR230" s="310"/>
      <c r="DS230" s="310"/>
      <c r="DT230" s="310"/>
      <c r="DU230" s="310"/>
      <c r="DV230" s="310"/>
      <c r="DW230" s="310"/>
      <c r="DX230" s="310"/>
      <c r="DY230" s="310"/>
      <c r="DZ230" s="310"/>
      <c r="EA230" s="310"/>
      <c r="EB230" s="310"/>
      <c r="EC230" s="310"/>
      <c r="ED230" s="310"/>
      <c r="EE230" s="310"/>
      <c r="EF230" s="310"/>
      <c r="EG230" s="310"/>
      <c r="EH230" s="310"/>
      <c r="EI230" s="310"/>
      <c r="EJ230" s="310"/>
      <c r="EK230" s="310"/>
      <c r="EL230" s="310"/>
      <c r="EM230" s="310"/>
      <c r="EN230" s="310"/>
      <c r="EO230" s="310"/>
      <c r="EP230" s="310"/>
      <c r="EQ230" s="310"/>
      <c r="ER230" s="310"/>
      <c r="ES230" s="310"/>
      <c r="ET230" s="310"/>
      <c r="EU230" s="310"/>
      <c r="EV230" s="310"/>
      <c r="EW230" s="310"/>
      <c r="EX230" s="310"/>
      <c r="EY230" s="310"/>
      <c r="EZ230" s="310"/>
      <c r="FA230" s="310"/>
      <c r="FB230" s="310"/>
      <c r="FC230" s="310"/>
      <c r="FD230" s="310"/>
      <c r="FE230" s="311"/>
      <c r="FF230" s="312"/>
    </row>
    <row r="231" spans="1:162" ht="12.75" x14ac:dyDescent="0.2">
      <c r="A231" s="446">
        <v>224</v>
      </c>
      <c r="B231" s="447" t="s">
        <v>331</v>
      </c>
      <c r="C231" s="448" t="s">
        <v>1100</v>
      </c>
      <c r="D231" s="449" t="s">
        <v>1103</v>
      </c>
      <c r="E231" s="450" t="s">
        <v>330</v>
      </c>
      <c r="F231" s="451">
        <v>97844729</v>
      </c>
      <c r="G231" s="451">
        <v>0</v>
      </c>
      <c r="H231" s="451">
        <v>0</v>
      </c>
      <c r="I231" s="451">
        <v>97844729</v>
      </c>
      <c r="J231" s="451">
        <v>0</v>
      </c>
      <c r="K231" s="451">
        <v>0</v>
      </c>
      <c r="L231" s="451">
        <v>0</v>
      </c>
      <c r="M231" s="451">
        <v>0</v>
      </c>
      <c r="N231" s="451">
        <v>-71026</v>
      </c>
      <c r="O231" s="451">
        <v>0</v>
      </c>
      <c r="P231" s="451">
        <v>0</v>
      </c>
      <c r="Q231" s="451">
        <v>-71026</v>
      </c>
      <c r="R231" s="451">
        <v>1100000</v>
      </c>
      <c r="S231" s="451">
        <v>0</v>
      </c>
      <c r="T231" s="451">
        <v>0</v>
      </c>
      <c r="U231" s="451">
        <v>1100000</v>
      </c>
      <c r="V231" s="451">
        <v>1000000</v>
      </c>
      <c r="W231" s="451">
        <v>0</v>
      </c>
      <c r="X231" s="451">
        <v>0</v>
      </c>
      <c r="Y231" s="451">
        <v>1000000</v>
      </c>
      <c r="Z231" s="451">
        <v>95815755</v>
      </c>
      <c r="AA231" s="451">
        <v>0</v>
      </c>
      <c r="AB231" s="451">
        <v>0</v>
      </c>
      <c r="AC231" s="451">
        <v>95815755</v>
      </c>
      <c r="AD231" s="451">
        <v>0</v>
      </c>
      <c r="AE231" s="451">
        <v>0</v>
      </c>
      <c r="AF231" s="451">
        <v>0</v>
      </c>
      <c r="AG231" s="451">
        <v>0</v>
      </c>
      <c r="AH231" s="451">
        <v>0</v>
      </c>
      <c r="AI231" s="451">
        <v>0</v>
      </c>
      <c r="AJ231" s="451">
        <v>0</v>
      </c>
      <c r="AK231" s="451">
        <v>0</v>
      </c>
      <c r="AL231" s="451">
        <v>0</v>
      </c>
      <c r="AM231" s="451">
        <v>0</v>
      </c>
      <c r="AN231" s="451">
        <v>0</v>
      </c>
      <c r="AO231" s="451">
        <v>4925017</v>
      </c>
      <c r="AP231" s="451">
        <v>-1061660</v>
      </c>
      <c r="AQ231" s="324"/>
      <c r="AR231" s="310"/>
      <c r="AS231" s="310"/>
      <c r="AT231" s="310"/>
      <c r="AU231" s="310"/>
      <c r="AV231" s="310"/>
      <c r="AW231" s="310"/>
      <c r="AX231" s="310"/>
      <c r="AY231" s="310"/>
      <c r="AZ231" s="310"/>
      <c r="BA231" s="310"/>
      <c r="BB231" s="310"/>
      <c r="BC231" s="310"/>
      <c r="BD231" s="310"/>
      <c r="BE231" s="310"/>
      <c r="BF231" s="310"/>
      <c r="BG231" s="310"/>
      <c r="BH231" s="310"/>
      <c r="BI231" s="310"/>
      <c r="BJ231" s="310"/>
      <c r="BK231" s="310"/>
      <c r="BL231" s="310"/>
      <c r="BM231" s="310"/>
      <c r="BN231" s="310"/>
      <c r="BO231" s="310"/>
      <c r="BP231" s="310"/>
      <c r="BQ231" s="310"/>
      <c r="BR231" s="310"/>
      <c r="BS231" s="310"/>
      <c r="BT231" s="310"/>
      <c r="BU231" s="310"/>
      <c r="BV231" s="310"/>
      <c r="BW231" s="310"/>
      <c r="BX231" s="310"/>
      <c r="BY231" s="310"/>
      <c r="BZ231" s="310"/>
      <c r="CA231" s="310"/>
      <c r="CB231" s="310"/>
      <c r="CC231" s="310"/>
      <c r="CD231" s="310"/>
      <c r="CE231" s="310"/>
      <c r="CF231" s="310"/>
      <c r="CG231" s="310"/>
      <c r="CH231" s="310"/>
      <c r="CI231" s="310"/>
      <c r="CJ231" s="310"/>
      <c r="CK231" s="310"/>
      <c r="CL231" s="310"/>
      <c r="CM231" s="310"/>
      <c r="CN231" s="310"/>
      <c r="CO231" s="310"/>
      <c r="CP231" s="310"/>
      <c r="CQ231" s="310"/>
      <c r="CR231" s="310"/>
      <c r="CS231" s="310"/>
      <c r="CT231" s="310"/>
      <c r="CU231" s="310"/>
      <c r="CV231" s="310"/>
      <c r="CW231" s="310"/>
      <c r="CX231" s="310"/>
      <c r="CY231" s="310"/>
      <c r="CZ231" s="310"/>
      <c r="DA231" s="310"/>
      <c r="DB231" s="310"/>
      <c r="DC231" s="310"/>
      <c r="DD231" s="310"/>
      <c r="DE231" s="310"/>
      <c r="DF231" s="310"/>
      <c r="DG231" s="310"/>
      <c r="DH231" s="310"/>
      <c r="DI231" s="310"/>
      <c r="DJ231" s="310"/>
      <c r="DK231" s="310"/>
      <c r="DL231" s="310"/>
      <c r="DM231" s="310"/>
      <c r="DN231" s="310"/>
      <c r="DO231" s="310"/>
      <c r="DP231" s="310"/>
      <c r="DQ231" s="310"/>
      <c r="DR231" s="310"/>
      <c r="DS231" s="310"/>
      <c r="DT231" s="310"/>
      <c r="DU231" s="310"/>
      <c r="DV231" s="310"/>
      <c r="DW231" s="310"/>
      <c r="DX231" s="310"/>
      <c r="DY231" s="310"/>
      <c r="DZ231" s="310"/>
      <c r="EA231" s="310"/>
      <c r="EB231" s="310"/>
      <c r="EC231" s="310"/>
      <c r="ED231" s="310"/>
      <c r="EE231" s="310"/>
      <c r="EF231" s="310"/>
      <c r="EG231" s="310"/>
      <c r="EH231" s="310"/>
      <c r="EI231" s="310"/>
      <c r="EJ231" s="310"/>
      <c r="EK231" s="310"/>
      <c r="EL231" s="310"/>
      <c r="EM231" s="310"/>
      <c r="EN231" s="310"/>
      <c r="EO231" s="310"/>
      <c r="EP231" s="310"/>
      <c r="EQ231" s="310"/>
      <c r="ER231" s="310"/>
      <c r="ES231" s="310"/>
      <c r="ET231" s="310"/>
      <c r="EU231" s="310"/>
      <c r="EV231" s="310"/>
      <c r="EW231" s="310"/>
      <c r="EX231" s="310"/>
      <c r="EY231" s="310"/>
      <c r="EZ231" s="310"/>
      <c r="FA231" s="310"/>
      <c r="FB231" s="310"/>
      <c r="FC231" s="310"/>
      <c r="FD231" s="310"/>
      <c r="FE231" s="311"/>
      <c r="FF231" s="312"/>
    </row>
    <row r="232" spans="1:162" ht="12.75" x14ac:dyDescent="0.2">
      <c r="A232" s="446">
        <v>225</v>
      </c>
      <c r="B232" s="447" t="s">
        <v>333</v>
      </c>
      <c r="C232" s="448" t="s">
        <v>1093</v>
      </c>
      <c r="D232" s="449" t="s">
        <v>1101</v>
      </c>
      <c r="E232" s="450" t="s">
        <v>332</v>
      </c>
      <c r="F232" s="451">
        <v>33769912</v>
      </c>
      <c r="G232" s="451">
        <v>0</v>
      </c>
      <c r="H232" s="451">
        <v>0</v>
      </c>
      <c r="I232" s="451">
        <v>33769912</v>
      </c>
      <c r="J232" s="451">
        <v>128668</v>
      </c>
      <c r="K232" s="451">
        <v>0</v>
      </c>
      <c r="L232" s="451">
        <v>0</v>
      </c>
      <c r="M232" s="451">
        <v>128668</v>
      </c>
      <c r="N232" s="451">
        <v>137415</v>
      </c>
      <c r="O232" s="451">
        <v>0</v>
      </c>
      <c r="P232" s="451">
        <v>0</v>
      </c>
      <c r="Q232" s="451">
        <v>137415</v>
      </c>
      <c r="R232" s="451">
        <v>989184</v>
      </c>
      <c r="S232" s="451">
        <v>0</v>
      </c>
      <c r="T232" s="451">
        <v>0</v>
      </c>
      <c r="U232" s="451">
        <v>989184</v>
      </c>
      <c r="V232" s="451">
        <v>2623779</v>
      </c>
      <c r="W232" s="451">
        <v>0</v>
      </c>
      <c r="X232" s="451">
        <v>0</v>
      </c>
      <c r="Y232" s="451">
        <v>2623779</v>
      </c>
      <c r="Z232" s="451">
        <v>29890866</v>
      </c>
      <c r="AA232" s="451">
        <v>0</v>
      </c>
      <c r="AB232" s="451">
        <v>0</v>
      </c>
      <c r="AC232" s="451">
        <v>29890866</v>
      </c>
      <c r="AD232" s="451">
        <v>0</v>
      </c>
      <c r="AE232" s="451">
        <v>0</v>
      </c>
      <c r="AF232" s="451">
        <v>0</v>
      </c>
      <c r="AG232" s="451">
        <v>0</v>
      </c>
      <c r="AH232" s="451">
        <v>0</v>
      </c>
      <c r="AI232" s="451">
        <v>0</v>
      </c>
      <c r="AJ232" s="451">
        <v>0</v>
      </c>
      <c r="AK232" s="451">
        <v>0</v>
      </c>
      <c r="AL232" s="451">
        <v>0</v>
      </c>
      <c r="AM232" s="451">
        <v>0</v>
      </c>
      <c r="AN232" s="451">
        <v>0</v>
      </c>
      <c r="AO232" s="451">
        <v>1300256</v>
      </c>
      <c r="AP232" s="451">
        <v>757271</v>
      </c>
      <c r="AQ232" s="324"/>
      <c r="AR232" s="310"/>
      <c r="AS232" s="310"/>
      <c r="AT232" s="310"/>
      <c r="AU232" s="310"/>
      <c r="AV232" s="310"/>
      <c r="AW232" s="310"/>
      <c r="AX232" s="310"/>
      <c r="AY232" s="310"/>
      <c r="AZ232" s="310"/>
      <c r="BA232" s="310"/>
      <c r="BB232" s="310"/>
      <c r="BC232" s="310"/>
      <c r="BD232" s="310"/>
      <c r="BE232" s="310"/>
      <c r="BF232" s="310"/>
      <c r="BG232" s="310"/>
      <c r="BH232" s="310"/>
      <c r="BI232" s="310"/>
      <c r="BJ232" s="310"/>
      <c r="BK232" s="310"/>
      <c r="BL232" s="310"/>
      <c r="BM232" s="310"/>
      <c r="BN232" s="310"/>
      <c r="BO232" s="310"/>
      <c r="BP232" s="310"/>
      <c r="BQ232" s="310"/>
      <c r="BR232" s="310"/>
      <c r="BS232" s="310"/>
      <c r="BT232" s="310"/>
      <c r="BU232" s="310"/>
      <c r="BV232" s="310"/>
      <c r="BW232" s="310"/>
      <c r="BX232" s="310"/>
      <c r="BY232" s="310"/>
      <c r="BZ232" s="310"/>
      <c r="CA232" s="310"/>
      <c r="CB232" s="310"/>
      <c r="CC232" s="310"/>
      <c r="CD232" s="310"/>
      <c r="CE232" s="310"/>
      <c r="CF232" s="310"/>
      <c r="CG232" s="310"/>
      <c r="CH232" s="310"/>
      <c r="CI232" s="310"/>
      <c r="CJ232" s="310"/>
      <c r="CK232" s="310"/>
      <c r="CL232" s="310"/>
      <c r="CM232" s="310"/>
      <c r="CN232" s="310"/>
      <c r="CO232" s="310"/>
      <c r="CP232" s="310"/>
      <c r="CQ232" s="310"/>
      <c r="CR232" s="310"/>
      <c r="CS232" s="310"/>
      <c r="CT232" s="310"/>
      <c r="CU232" s="310"/>
      <c r="CV232" s="310"/>
      <c r="CW232" s="310"/>
      <c r="CX232" s="310"/>
      <c r="CY232" s="310"/>
      <c r="CZ232" s="310"/>
      <c r="DA232" s="310"/>
      <c r="DB232" s="310"/>
      <c r="DC232" s="310"/>
      <c r="DD232" s="310"/>
      <c r="DE232" s="310"/>
      <c r="DF232" s="310"/>
      <c r="DG232" s="310"/>
      <c r="DH232" s="310"/>
      <c r="DI232" s="310"/>
      <c r="DJ232" s="310"/>
      <c r="DK232" s="310"/>
      <c r="DL232" s="310"/>
      <c r="DM232" s="310"/>
      <c r="DN232" s="310"/>
      <c r="DO232" s="310"/>
      <c r="DP232" s="310"/>
      <c r="DQ232" s="310"/>
      <c r="DR232" s="310"/>
      <c r="DS232" s="310"/>
      <c r="DT232" s="310"/>
      <c r="DU232" s="310"/>
      <c r="DV232" s="310"/>
      <c r="DW232" s="310"/>
      <c r="DX232" s="310"/>
      <c r="DY232" s="310"/>
      <c r="DZ232" s="310"/>
      <c r="EA232" s="310"/>
      <c r="EB232" s="310"/>
      <c r="EC232" s="310"/>
      <c r="ED232" s="310"/>
      <c r="EE232" s="310"/>
      <c r="EF232" s="310"/>
      <c r="EG232" s="310"/>
      <c r="EH232" s="310"/>
      <c r="EI232" s="310"/>
      <c r="EJ232" s="310"/>
      <c r="EK232" s="310"/>
      <c r="EL232" s="310"/>
      <c r="EM232" s="310"/>
      <c r="EN232" s="310"/>
      <c r="EO232" s="310"/>
      <c r="EP232" s="310"/>
      <c r="EQ232" s="310"/>
      <c r="ER232" s="310"/>
      <c r="ES232" s="310"/>
      <c r="ET232" s="310"/>
      <c r="EU232" s="310"/>
      <c r="EV232" s="310"/>
      <c r="EW232" s="310"/>
      <c r="EX232" s="310"/>
      <c r="EY232" s="310"/>
      <c r="EZ232" s="310"/>
      <c r="FA232" s="310"/>
      <c r="FB232" s="310"/>
      <c r="FC232" s="310"/>
      <c r="FD232" s="310"/>
      <c r="FE232" s="311"/>
      <c r="FF232" s="312"/>
    </row>
    <row r="233" spans="1:162" ht="12.75" x14ac:dyDescent="0.2">
      <c r="A233" s="446">
        <v>226</v>
      </c>
      <c r="B233" s="447" t="s">
        <v>335</v>
      </c>
      <c r="C233" s="448" t="s">
        <v>1093</v>
      </c>
      <c r="D233" s="449" t="s">
        <v>1102</v>
      </c>
      <c r="E233" s="450" t="s">
        <v>334</v>
      </c>
      <c r="F233" s="451">
        <v>35299147</v>
      </c>
      <c r="G233" s="451">
        <v>0</v>
      </c>
      <c r="H233" s="451">
        <v>0</v>
      </c>
      <c r="I233" s="451">
        <v>35299147</v>
      </c>
      <c r="J233" s="451">
        <v>108452</v>
      </c>
      <c r="K233" s="451">
        <v>0</v>
      </c>
      <c r="L233" s="451">
        <v>0</v>
      </c>
      <c r="M233" s="451">
        <v>108452</v>
      </c>
      <c r="N233" s="451">
        <v>278203</v>
      </c>
      <c r="O233" s="451">
        <v>0</v>
      </c>
      <c r="P233" s="451">
        <v>0</v>
      </c>
      <c r="Q233" s="451">
        <v>278203</v>
      </c>
      <c r="R233" s="451">
        <v>871398</v>
      </c>
      <c r="S233" s="451">
        <v>0</v>
      </c>
      <c r="T233" s="451">
        <v>0</v>
      </c>
      <c r="U233" s="451">
        <v>871398</v>
      </c>
      <c r="V233" s="451">
        <v>2198594</v>
      </c>
      <c r="W233" s="451">
        <v>0</v>
      </c>
      <c r="X233" s="451">
        <v>0</v>
      </c>
      <c r="Y233" s="451">
        <v>2198594</v>
      </c>
      <c r="Z233" s="451">
        <v>31842500</v>
      </c>
      <c r="AA233" s="451">
        <v>0</v>
      </c>
      <c r="AB233" s="451">
        <v>0</v>
      </c>
      <c r="AC233" s="451">
        <v>31842500</v>
      </c>
      <c r="AD233" s="451">
        <v>507</v>
      </c>
      <c r="AE233" s="451">
        <v>0</v>
      </c>
      <c r="AF233" s="451">
        <v>0</v>
      </c>
      <c r="AG233" s="451">
        <v>507</v>
      </c>
      <c r="AH233" s="451">
        <v>0</v>
      </c>
      <c r="AI233" s="451">
        <v>0</v>
      </c>
      <c r="AJ233" s="451">
        <v>0</v>
      </c>
      <c r="AK233" s="451">
        <v>0</v>
      </c>
      <c r="AL233" s="451">
        <v>0</v>
      </c>
      <c r="AM233" s="451">
        <v>0</v>
      </c>
      <c r="AN233" s="451">
        <v>507</v>
      </c>
      <c r="AO233" s="451">
        <v>1166342</v>
      </c>
      <c r="AP233" s="451">
        <v>292130</v>
      </c>
      <c r="AQ233" s="324"/>
      <c r="AR233" s="310"/>
      <c r="AS233" s="310"/>
      <c r="AT233" s="310"/>
      <c r="AU233" s="310"/>
      <c r="AV233" s="310"/>
      <c r="AW233" s="310"/>
      <c r="AX233" s="310"/>
      <c r="AY233" s="310"/>
      <c r="AZ233" s="310"/>
      <c r="BA233" s="310"/>
      <c r="BB233" s="310"/>
      <c r="BC233" s="310"/>
      <c r="BD233" s="310"/>
      <c r="BE233" s="310"/>
      <c r="BF233" s="310"/>
      <c r="BG233" s="310"/>
      <c r="BH233" s="310"/>
      <c r="BI233" s="310"/>
      <c r="BJ233" s="310"/>
      <c r="BK233" s="310"/>
      <c r="BL233" s="310"/>
      <c r="BM233" s="310"/>
      <c r="BN233" s="310"/>
      <c r="BO233" s="310"/>
      <c r="BP233" s="310"/>
      <c r="BQ233" s="310"/>
      <c r="BR233" s="310"/>
      <c r="BS233" s="310"/>
      <c r="BT233" s="310"/>
      <c r="BU233" s="310"/>
      <c r="BV233" s="310"/>
      <c r="BW233" s="310"/>
      <c r="BX233" s="310"/>
      <c r="BY233" s="310"/>
      <c r="BZ233" s="310"/>
      <c r="CA233" s="310"/>
      <c r="CB233" s="310"/>
      <c r="CC233" s="310"/>
      <c r="CD233" s="310"/>
      <c r="CE233" s="310"/>
      <c r="CF233" s="310"/>
      <c r="CG233" s="310"/>
      <c r="CH233" s="310"/>
      <c r="CI233" s="310"/>
      <c r="CJ233" s="310"/>
      <c r="CK233" s="310"/>
      <c r="CL233" s="310"/>
      <c r="CM233" s="310"/>
      <c r="CN233" s="310"/>
      <c r="CO233" s="310"/>
      <c r="CP233" s="310"/>
      <c r="CQ233" s="310"/>
      <c r="CR233" s="310"/>
      <c r="CS233" s="310"/>
      <c r="CT233" s="310"/>
      <c r="CU233" s="310"/>
      <c r="CV233" s="310"/>
      <c r="CW233" s="310"/>
      <c r="CX233" s="310"/>
      <c r="CY233" s="310"/>
      <c r="CZ233" s="310"/>
      <c r="DA233" s="310"/>
      <c r="DB233" s="310"/>
      <c r="DC233" s="310"/>
      <c r="DD233" s="310"/>
      <c r="DE233" s="310"/>
      <c r="DF233" s="310"/>
      <c r="DG233" s="310"/>
      <c r="DH233" s="310"/>
      <c r="DI233" s="310"/>
      <c r="DJ233" s="310"/>
      <c r="DK233" s="310"/>
      <c r="DL233" s="310"/>
      <c r="DM233" s="310"/>
      <c r="DN233" s="310"/>
      <c r="DO233" s="310"/>
      <c r="DP233" s="310"/>
      <c r="DQ233" s="310"/>
      <c r="DR233" s="310"/>
      <c r="DS233" s="310"/>
      <c r="DT233" s="310"/>
      <c r="DU233" s="310"/>
      <c r="DV233" s="310"/>
      <c r="DW233" s="310"/>
      <c r="DX233" s="310"/>
      <c r="DY233" s="310"/>
      <c r="DZ233" s="310"/>
      <c r="EA233" s="310"/>
      <c r="EB233" s="310"/>
      <c r="EC233" s="310"/>
      <c r="ED233" s="310"/>
      <c r="EE233" s="310"/>
      <c r="EF233" s="310"/>
      <c r="EG233" s="310"/>
      <c r="EH233" s="310"/>
      <c r="EI233" s="310"/>
      <c r="EJ233" s="310"/>
      <c r="EK233" s="310"/>
      <c r="EL233" s="310"/>
      <c r="EM233" s="310"/>
      <c r="EN233" s="310"/>
      <c r="EO233" s="310"/>
      <c r="EP233" s="310"/>
      <c r="EQ233" s="310"/>
      <c r="ER233" s="310"/>
      <c r="ES233" s="310"/>
      <c r="ET233" s="310"/>
      <c r="EU233" s="310"/>
      <c r="EV233" s="310"/>
      <c r="EW233" s="310"/>
      <c r="EX233" s="310"/>
      <c r="EY233" s="310"/>
      <c r="EZ233" s="310"/>
      <c r="FA233" s="310"/>
      <c r="FB233" s="310"/>
      <c r="FC233" s="310"/>
      <c r="FD233" s="310"/>
      <c r="FE233" s="311"/>
      <c r="FF233" s="312"/>
    </row>
    <row r="234" spans="1:162" ht="12.75" x14ac:dyDescent="0.2">
      <c r="A234" s="446">
        <v>227</v>
      </c>
      <c r="B234" s="447" t="s">
        <v>337</v>
      </c>
      <c r="C234" s="448" t="s">
        <v>1100</v>
      </c>
      <c r="D234" s="449" t="s">
        <v>1095</v>
      </c>
      <c r="E234" s="450" t="s">
        <v>336</v>
      </c>
      <c r="F234" s="451">
        <v>65932430</v>
      </c>
      <c r="G234" s="451">
        <v>0</v>
      </c>
      <c r="H234" s="451">
        <v>0</v>
      </c>
      <c r="I234" s="451">
        <v>65932430</v>
      </c>
      <c r="J234" s="451">
        <v>1817266</v>
      </c>
      <c r="K234" s="451">
        <v>0</v>
      </c>
      <c r="L234" s="451">
        <v>0</v>
      </c>
      <c r="M234" s="451">
        <v>1817266</v>
      </c>
      <c r="N234" s="451">
        <v>-890170</v>
      </c>
      <c r="O234" s="451">
        <v>0</v>
      </c>
      <c r="P234" s="451">
        <v>0</v>
      </c>
      <c r="Q234" s="451">
        <v>-890170</v>
      </c>
      <c r="R234" s="451">
        <v>1327600</v>
      </c>
      <c r="S234" s="451">
        <v>0</v>
      </c>
      <c r="T234" s="451">
        <v>0</v>
      </c>
      <c r="U234" s="451">
        <v>1327600</v>
      </c>
      <c r="V234" s="451">
        <v>3308000</v>
      </c>
      <c r="W234" s="451">
        <v>0</v>
      </c>
      <c r="X234" s="451">
        <v>0</v>
      </c>
      <c r="Y234" s="451">
        <v>3308000</v>
      </c>
      <c r="Z234" s="451">
        <v>60369734</v>
      </c>
      <c r="AA234" s="451">
        <v>0</v>
      </c>
      <c r="AB234" s="451">
        <v>0</v>
      </c>
      <c r="AC234" s="451">
        <v>60369734</v>
      </c>
      <c r="AD234" s="451">
        <v>0</v>
      </c>
      <c r="AE234" s="451">
        <v>0</v>
      </c>
      <c r="AF234" s="451">
        <v>0</v>
      </c>
      <c r="AG234" s="451">
        <v>0</v>
      </c>
      <c r="AH234" s="451">
        <v>0</v>
      </c>
      <c r="AI234" s="451">
        <v>0</v>
      </c>
      <c r="AJ234" s="451">
        <v>0</v>
      </c>
      <c r="AK234" s="451">
        <v>0</v>
      </c>
      <c r="AL234" s="451">
        <v>0</v>
      </c>
      <c r="AM234" s="451">
        <v>0</v>
      </c>
      <c r="AN234" s="451">
        <v>0</v>
      </c>
      <c r="AO234" s="451">
        <v>3563636</v>
      </c>
      <c r="AP234" s="451">
        <v>423367</v>
      </c>
      <c r="AQ234" s="324"/>
      <c r="AR234" s="310"/>
      <c r="AS234" s="310"/>
      <c r="AT234" s="310"/>
      <c r="AU234" s="310"/>
      <c r="AV234" s="310"/>
      <c r="AW234" s="310"/>
      <c r="AX234" s="310"/>
      <c r="AY234" s="310"/>
      <c r="AZ234" s="310"/>
      <c r="BA234" s="310"/>
      <c r="BB234" s="310"/>
      <c r="BC234" s="310"/>
      <c r="BD234" s="310"/>
      <c r="BE234" s="310"/>
      <c r="BF234" s="310"/>
      <c r="BG234" s="310"/>
      <c r="BH234" s="310"/>
      <c r="BI234" s="310"/>
      <c r="BJ234" s="310"/>
      <c r="BK234" s="310"/>
      <c r="BL234" s="310"/>
      <c r="BM234" s="310"/>
      <c r="BN234" s="310"/>
      <c r="BO234" s="310"/>
      <c r="BP234" s="310"/>
      <c r="BQ234" s="310"/>
      <c r="BR234" s="310"/>
      <c r="BS234" s="310"/>
      <c r="BT234" s="310"/>
      <c r="BU234" s="310"/>
      <c r="BV234" s="310"/>
      <c r="BW234" s="310"/>
      <c r="BX234" s="310"/>
      <c r="BY234" s="310"/>
      <c r="BZ234" s="310"/>
      <c r="CA234" s="310"/>
      <c r="CB234" s="310"/>
      <c r="CC234" s="310"/>
      <c r="CD234" s="310"/>
      <c r="CE234" s="310"/>
      <c r="CF234" s="310"/>
      <c r="CG234" s="310"/>
      <c r="CH234" s="310"/>
      <c r="CI234" s="310"/>
      <c r="CJ234" s="310"/>
      <c r="CK234" s="310"/>
      <c r="CL234" s="310"/>
      <c r="CM234" s="310"/>
      <c r="CN234" s="310"/>
      <c r="CO234" s="310"/>
      <c r="CP234" s="310"/>
      <c r="CQ234" s="310"/>
      <c r="CR234" s="310"/>
      <c r="CS234" s="310"/>
      <c r="CT234" s="310"/>
      <c r="CU234" s="310"/>
      <c r="CV234" s="310"/>
      <c r="CW234" s="310"/>
      <c r="CX234" s="310"/>
      <c r="CY234" s="310"/>
      <c r="CZ234" s="310"/>
      <c r="DA234" s="310"/>
      <c r="DB234" s="310"/>
      <c r="DC234" s="310"/>
      <c r="DD234" s="310"/>
      <c r="DE234" s="310"/>
      <c r="DF234" s="310"/>
      <c r="DG234" s="310"/>
      <c r="DH234" s="310"/>
      <c r="DI234" s="310"/>
      <c r="DJ234" s="310"/>
      <c r="DK234" s="310"/>
      <c r="DL234" s="310"/>
      <c r="DM234" s="310"/>
      <c r="DN234" s="310"/>
      <c r="DO234" s="310"/>
      <c r="DP234" s="310"/>
      <c r="DQ234" s="310"/>
      <c r="DR234" s="310"/>
      <c r="DS234" s="310"/>
      <c r="DT234" s="310"/>
      <c r="DU234" s="310"/>
      <c r="DV234" s="310"/>
      <c r="DW234" s="310"/>
      <c r="DX234" s="310"/>
      <c r="DY234" s="310"/>
      <c r="DZ234" s="310"/>
      <c r="EA234" s="310"/>
      <c r="EB234" s="310"/>
      <c r="EC234" s="310"/>
      <c r="ED234" s="310"/>
      <c r="EE234" s="310"/>
      <c r="EF234" s="310"/>
      <c r="EG234" s="310"/>
      <c r="EH234" s="310"/>
      <c r="EI234" s="310"/>
      <c r="EJ234" s="310"/>
      <c r="EK234" s="310"/>
      <c r="EL234" s="310"/>
      <c r="EM234" s="310"/>
      <c r="EN234" s="310"/>
      <c r="EO234" s="310"/>
      <c r="EP234" s="310"/>
      <c r="EQ234" s="310"/>
      <c r="ER234" s="310"/>
      <c r="ES234" s="310"/>
      <c r="ET234" s="310"/>
      <c r="EU234" s="310"/>
      <c r="EV234" s="310"/>
      <c r="EW234" s="310"/>
      <c r="EX234" s="310"/>
      <c r="EY234" s="310"/>
      <c r="EZ234" s="310"/>
      <c r="FA234" s="310"/>
      <c r="FB234" s="310"/>
      <c r="FC234" s="310"/>
      <c r="FD234" s="310"/>
      <c r="FE234" s="311"/>
      <c r="FF234" s="312"/>
    </row>
    <row r="235" spans="1:162" ht="12.75" x14ac:dyDescent="0.2">
      <c r="A235" s="446">
        <v>228</v>
      </c>
      <c r="B235" s="447" t="s">
        <v>339</v>
      </c>
      <c r="C235" s="448" t="s">
        <v>1093</v>
      </c>
      <c r="D235" s="449" t="s">
        <v>1101</v>
      </c>
      <c r="E235" s="450" t="s">
        <v>338</v>
      </c>
      <c r="F235" s="451">
        <v>41939969</v>
      </c>
      <c r="G235" s="451">
        <v>0</v>
      </c>
      <c r="H235" s="451">
        <v>0</v>
      </c>
      <c r="I235" s="451">
        <v>41939969</v>
      </c>
      <c r="J235" s="451">
        <v>68475</v>
      </c>
      <c r="K235" s="451">
        <v>0</v>
      </c>
      <c r="L235" s="451">
        <v>0</v>
      </c>
      <c r="M235" s="451">
        <v>68475</v>
      </c>
      <c r="N235" s="451">
        <v>170430</v>
      </c>
      <c r="O235" s="451">
        <v>0</v>
      </c>
      <c r="P235" s="451">
        <v>0</v>
      </c>
      <c r="Q235" s="451">
        <v>170430</v>
      </c>
      <c r="R235" s="451">
        <v>368382</v>
      </c>
      <c r="S235" s="451">
        <v>0</v>
      </c>
      <c r="T235" s="451">
        <v>0</v>
      </c>
      <c r="U235" s="451">
        <v>368382</v>
      </c>
      <c r="V235" s="451">
        <v>916912</v>
      </c>
      <c r="W235" s="451">
        <v>0</v>
      </c>
      <c r="X235" s="451">
        <v>0</v>
      </c>
      <c r="Y235" s="451">
        <v>916912</v>
      </c>
      <c r="Z235" s="451">
        <v>40415770</v>
      </c>
      <c r="AA235" s="451">
        <v>0</v>
      </c>
      <c r="AB235" s="451">
        <v>0</v>
      </c>
      <c r="AC235" s="451">
        <v>40415770</v>
      </c>
      <c r="AD235" s="451">
        <v>9186</v>
      </c>
      <c r="AE235" s="451">
        <v>0</v>
      </c>
      <c r="AF235" s="451">
        <v>0</v>
      </c>
      <c r="AG235" s="451">
        <v>9186</v>
      </c>
      <c r="AH235" s="451">
        <v>0</v>
      </c>
      <c r="AI235" s="451">
        <v>0</v>
      </c>
      <c r="AJ235" s="451">
        <v>0</v>
      </c>
      <c r="AK235" s="451">
        <v>0</v>
      </c>
      <c r="AL235" s="451">
        <v>0</v>
      </c>
      <c r="AM235" s="451">
        <v>0</v>
      </c>
      <c r="AN235" s="451">
        <v>9186</v>
      </c>
      <c r="AO235" s="451">
        <v>1330416</v>
      </c>
      <c r="AP235" s="451">
        <v>386029</v>
      </c>
      <c r="AQ235" s="324"/>
      <c r="AR235" s="310"/>
      <c r="AS235" s="310"/>
      <c r="AT235" s="310"/>
      <c r="AU235" s="310"/>
      <c r="AV235" s="310"/>
      <c r="AW235" s="310"/>
      <c r="AX235" s="310"/>
      <c r="AY235" s="310"/>
      <c r="AZ235" s="310"/>
      <c r="BA235" s="310"/>
      <c r="BB235" s="310"/>
      <c r="BC235" s="310"/>
      <c r="BD235" s="310"/>
      <c r="BE235" s="310"/>
      <c r="BF235" s="310"/>
      <c r="BG235" s="310"/>
      <c r="BH235" s="310"/>
      <c r="BI235" s="310"/>
      <c r="BJ235" s="310"/>
      <c r="BK235" s="310"/>
      <c r="BL235" s="310"/>
      <c r="BM235" s="310"/>
      <c r="BN235" s="310"/>
      <c r="BO235" s="310"/>
      <c r="BP235" s="310"/>
      <c r="BQ235" s="310"/>
      <c r="BR235" s="310"/>
      <c r="BS235" s="310"/>
      <c r="BT235" s="310"/>
      <c r="BU235" s="310"/>
      <c r="BV235" s="310"/>
      <c r="BW235" s="310"/>
      <c r="BX235" s="310"/>
      <c r="BY235" s="310"/>
      <c r="BZ235" s="310"/>
      <c r="CA235" s="310"/>
      <c r="CB235" s="310"/>
      <c r="CC235" s="310"/>
      <c r="CD235" s="310"/>
      <c r="CE235" s="310"/>
      <c r="CF235" s="310"/>
      <c r="CG235" s="310"/>
      <c r="CH235" s="310"/>
      <c r="CI235" s="310"/>
      <c r="CJ235" s="310"/>
      <c r="CK235" s="310"/>
      <c r="CL235" s="310"/>
      <c r="CM235" s="310"/>
      <c r="CN235" s="310"/>
      <c r="CO235" s="310"/>
      <c r="CP235" s="310"/>
      <c r="CQ235" s="310"/>
      <c r="CR235" s="310"/>
      <c r="CS235" s="310"/>
      <c r="CT235" s="310"/>
      <c r="CU235" s="310"/>
      <c r="CV235" s="310"/>
      <c r="CW235" s="310"/>
      <c r="CX235" s="310"/>
      <c r="CY235" s="310"/>
      <c r="CZ235" s="310"/>
      <c r="DA235" s="310"/>
      <c r="DB235" s="310"/>
      <c r="DC235" s="310"/>
      <c r="DD235" s="310"/>
      <c r="DE235" s="310"/>
      <c r="DF235" s="310"/>
      <c r="DG235" s="310"/>
      <c r="DH235" s="310"/>
      <c r="DI235" s="310"/>
      <c r="DJ235" s="310"/>
      <c r="DK235" s="310"/>
      <c r="DL235" s="310"/>
      <c r="DM235" s="310"/>
      <c r="DN235" s="310"/>
      <c r="DO235" s="310"/>
      <c r="DP235" s="310"/>
      <c r="DQ235" s="310"/>
      <c r="DR235" s="310"/>
      <c r="DS235" s="310"/>
      <c r="DT235" s="310"/>
      <c r="DU235" s="310"/>
      <c r="DV235" s="310"/>
      <c r="DW235" s="310"/>
      <c r="DX235" s="310"/>
      <c r="DY235" s="310"/>
      <c r="DZ235" s="310"/>
      <c r="EA235" s="310"/>
      <c r="EB235" s="310"/>
      <c r="EC235" s="310"/>
      <c r="ED235" s="310"/>
      <c r="EE235" s="310"/>
      <c r="EF235" s="310"/>
      <c r="EG235" s="310"/>
      <c r="EH235" s="310"/>
      <c r="EI235" s="310"/>
      <c r="EJ235" s="310"/>
      <c r="EK235" s="310"/>
      <c r="EL235" s="310"/>
      <c r="EM235" s="310"/>
      <c r="EN235" s="310"/>
      <c r="EO235" s="310"/>
      <c r="EP235" s="310"/>
      <c r="EQ235" s="310"/>
      <c r="ER235" s="310"/>
      <c r="ES235" s="310"/>
      <c r="ET235" s="310"/>
      <c r="EU235" s="310"/>
      <c r="EV235" s="310"/>
      <c r="EW235" s="310"/>
      <c r="EX235" s="310"/>
      <c r="EY235" s="310"/>
      <c r="EZ235" s="310"/>
      <c r="FA235" s="310"/>
      <c r="FB235" s="310"/>
      <c r="FC235" s="310"/>
      <c r="FD235" s="310"/>
      <c r="FE235" s="311"/>
      <c r="FF235" s="312"/>
    </row>
    <row r="236" spans="1:162" ht="12.75" x14ac:dyDescent="0.2">
      <c r="A236" s="446">
        <v>229</v>
      </c>
      <c r="B236" s="447" t="s">
        <v>341</v>
      </c>
      <c r="C236" s="448" t="s">
        <v>1093</v>
      </c>
      <c r="D236" s="449" t="s">
        <v>1094</v>
      </c>
      <c r="E236" s="450" t="s">
        <v>340</v>
      </c>
      <c r="F236" s="451">
        <v>35177993</v>
      </c>
      <c r="G236" s="451">
        <v>0</v>
      </c>
      <c r="H236" s="451">
        <v>0</v>
      </c>
      <c r="I236" s="451">
        <v>35177993</v>
      </c>
      <c r="J236" s="451">
        <v>442654</v>
      </c>
      <c r="K236" s="451">
        <v>0</v>
      </c>
      <c r="L236" s="451">
        <v>0</v>
      </c>
      <c r="M236" s="451">
        <v>442654</v>
      </c>
      <c r="N236" s="451">
        <v>54400</v>
      </c>
      <c r="O236" s="451">
        <v>0</v>
      </c>
      <c r="P236" s="451">
        <v>0</v>
      </c>
      <c r="Q236" s="451">
        <v>54400</v>
      </c>
      <c r="R236" s="451">
        <v>766722</v>
      </c>
      <c r="S236" s="451">
        <v>0</v>
      </c>
      <c r="T236" s="451">
        <v>0</v>
      </c>
      <c r="U236" s="451">
        <v>766722</v>
      </c>
      <c r="V236" s="451">
        <v>1500475</v>
      </c>
      <c r="W236" s="451">
        <v>0</v>
      </c>
      <c r="X236" s="451">
        <v>0</v>
      </c>
      <c r="Y236" s="451">
        <v>1500475</v>
      </c>
      <c r="Z236" s="451">
        <v>32413742</v>
      </c>
      <c r="AA236" s="451">
        <v>0</v>
      </c>
      <c r="AB236" s="451">
        <v>0</v>
      </c>
      <c r="AC236" s="451">
        <v>32413742</v>
      </c>
      <c r="AD236" s="451">
        <v>0</v>
      </c>
      <c r="AE236" s="451">
        <v>0</v>
      </c>
      <c r="AF236" s="451">
        <v>0</v>
      </c>
      <c r="AG236" s="451">
        <v>0</v>
      </c>
      <c r="AH236" s="451">
        <v>0</v>
      </c>
      <c r="AI236" s="451">
        <v>0</v>
      </c>
      <c r="AJ236" s="451">
        <v>0</v>
      </c>
      <c r="AK236" s="451">
        <v>0</v>
      </c>
      <c r="AL236" s="451">
        <v>0</v>
      </c>
      <c r="AM236" s="451">
        <v>0</v>
      </c>
      <c r="AN236" s="451">
        <v>0</v>
      </c>
      <c r="AO236" s="451">
        <v>1633082</v>
      </c>
      <c r="AP236" s="451">
        <v>1072278</v>
      </c>
      <c r="AQ236" s="324"/>
      <c r="AR236" s="310"/>
      <c r="AS236" s="310"/>
      <c r="AT236" s="310"/>
      <c r="AU236" s="310"/>
      <c r="AV236" s="310"/>
      <c r="AW236" s="310"/>
      <c r="AX236" s="310"/>
      <c r="AY236" s="310"/>
      <c r="AZ236" s="310"/>
      <c r="BA236" s="310"/>
      <c r="BB236" s="310"/>
      <c r="BC236" s="310"/>
      <c r="BD236" s="310"/>
      <c r="BE236" s="310"/>
      <c r="BF236" s="310"/>
      <c r="BG236" s="310"/>
      <c r="BH236" s="310"/>
      <c r="BI236" s="310"/>
      <c r="BJ236" s="310"/>
      <c r="BK236" s="310"/>
      <c r="BL236" s="310"/>
      <c r="BM236" s="310"/>
      <c r="BN236" s="310"/>
      <c r="BO236" s="310"/>
      <c r="BP236" s="310"/>
      <c r="BQ236" s="310"/>
      <c r="BR236" s="310"/>
      <c r="BS236" s="310"/>
      <c r="BT236" s="310"/>
      <c r="BU236" s="310"/>
      <c r="BV236" s="310"/>
      <c r="BW236" s="310"/>
      <c r="BX236" s="310"/>
      <c r="BY236" s="310"/>
      <c r="BZ236" s="310"/>
      <c r="CA236" s="310"/>
      <c r="CB236" s="310"/>
      <c r="CC236" s="310"/>
      <c r="CD236" s="310"/>
      <c r="CE236" s="310"/>
      <c r="CF236" s="310"/>
      <c r="CG236" s="310"/>
      <c r="CH236" s="310"/>
      <c r="CI236" s="310"/>
      <c r="CJ236" s="310"/>
      <c r="CK236" s="310"/>
      <c r="CL236" s="310"/>
      <c r="CM236" s="310"/>
      <c r="CN236" s="310"/>
      <c r="CO236" s="310"/>
      <c r="CP236" s="310"/>
      <c r="CQ236" s="310"/>
      <c r="CR236" s="310"/>
      <c r="CS236" s="310"/>
      <c r="CT236" s="310"/>
      <c r="CU236" s="310"/>
      <c r="CV236" s="310"/>
      <c r="CW236" s="310"/>
      <c r="CX236" s="310"/>
      <c r="CY236" s="310"/>
      <c r="CZ236" s="310"/>
      <c r="DA236" s="310"/>
      <c r="DB236" s="310"/>
      <c r="DC236" s="310"/>
      <c r="DD236" s="310"/>
      <c r="DE236" s="310"/>
      <c r="DF236" s="310"/>
      <c r="DG236" s="310"/>
      <c r="DH236" s="310"/>
      <c r="DI236" s="310"/>
      <c r="DJ236" s="310"/>
      <c r="DK236" s="310"/>
      <c r="DL236" s="310"/>
      <c r="DM236" s="310"/>
      <c r="DN236" s="310"/>
      <c r="DO236" s="310"/>
      <c r="DP236" s="310"/>
      <c r="DQ236" s="310"/>
      <c r="DR236" s="310"/>
      <c r="DS236" s="310"/>
      <c r="DT236" s="310"/>
      <c r="DU236" s="310"/>
      <c r="DV236" s="310"/>
      <c r="DW236" s="310"/>
      <c r="DX236" s="310"/>
      <c r="DY236" s="310"/>
      <c r="DZ236" s="310"/>
      <c r="EA236" s="310"/>
      <c r="EB236" s="310"/>
      <c r="EC236" s="310"/>
      <c r="ED236" s="310"/>
      <c r="EE236" s="310"/>
      <c r="EF236" s="310"/>
      <c r="EG236" s="310"/>
      <c r="EH236" s="310"/>
      <c r="EI236" s="310"/>
      <c r="EJ236" s="310"/>
      <c r="EK236" s="310"/>
      <c r="EL236" s="310"/>
      <c r="EM236" s="310"/>
      <c r="EN236" s="310"/>
      <c r="EO236" s="310"/>
      <c r="EP236" s="310"/>
      <c r="EQ236" s="310"/>
      <c r="ER236" s="310"/>
      <c r="ES236" s="310"/>
      <c r="ET236" s="310"/>
      <c r="EU236" s="310"/>
      <c r="EV236" s="310"/>
      <c r="EW236" s="310"/>
      <c r="EX236" s="310"/>
      <c r="EY236" s="310"/>
      <c r="EZ236" s="310"/>
      <c r="FA236" s="310"/>
      <c r="FB236" s="310"/>
      <c r="FC236" s="310"/>
      <c r="FD236" s="310"/>
      <c r="FE236" s="311"/>
      <c r="FF236" s="312"/>
    </row>
    <row r="237" spans="1:162" ht="12.75" x14ac:dyDescent="0.2">
      <c r="A237" s="446">
        <v>230</v>
      </c>
      <c r="B237" s="447" t="s">
        <v>343</v>
      </c>
      <c r="C237" s="448" t="s">
        <v>1100</v>
      </c>
      <c r="D237" s="449" t="s">
        <v>1101</v>
      </c>
      <c r="E237" s="450" t="s">
        <v>342</v>
      </c>
      <c r="F237" s="451">
        <v>212878245</v>
      </c>
      <c r="G237" s="451">
        <v>1013991</v>
      </c>
      <c r="H237" s="451">
        <v>1206073</v>
      </c>
      <c r="I237" s="451">
        <v>215098309</v>
      </c>
      <c r="J237" s="451">
        <v>2173180</v>
      </c>
      <c r="K237" s="451">
        <v>0</v>
      </c>
      <c r="L237" s="451">
        <v>0</v>
      </c>
      <c r="M237" s="451">
        <v>2173180</v>
      </c>
      <c r="N237" s="451">
        <v>92000</v>
      </c>
      <c r="O237" s="451">
        <v>0</v>
      </c>
      <c r="P237" s="451">
        <v>0</v>
      </c>
      <c r="Q237" s="451">
        <v>92000</v>
      </c>
      <c r="R237" s="451">
        <v>4453301</v>
      </c>
      <c r="S237" s="451">
        <v>21329</v>
      </c>
      <c r="T237" s="451">
        <v>25370</v>
      </c>
      <c r="U237" s="451">
        <v>4500000</v>
      </c>
      <c r="V237" s="451">
        <v>9005563</v>
      </c>
      <c r="W237" s="451">
        <v>43133</v>
      </c>
      <c r="X237" s="451">
        <v>51304</v>
      </c>
      <c r="Y237" s="451">
        <v>9100000</v>
      </c>
      <c r="Z237" s="451">
        <v>197154201</v>
      </c>
      <c r="AA237" s="451">
        <v>949529</v>
      </c>
      <c r="AB237" s="451">
        <v>1129399</v>
      </c>
      <c r="AC237" s="451">
        <v>199233129</v>
      </c>
      <c r="AD237" s="451">
        <v>0</v>
      </c>
      <c r="AE237" s="451">
        <v>0</v>
      </c>
      <c r="AF237" s="451">
        <v>0</v>
      </c>
      <c r="AG237" s="451">
        <v>0</v>
      </c>
      <c r="AH237" s="451">
        <v>0</v>
      </c>
      <c r="AI237" s="451">
        <v>0</v>
      </c>
      <c r="AJ237" s="451">
        <v>1471674</v>
      </c>
      <c r="AK237" s="451">
        <v>1618240</v>
      </c>
      <c r="AL237" s="451">
        <v>0</v>
      </c>
      <c r="AM237" s="451">
        <v>0</v>
      </c>
      <c r="AN237" s="451">
        <v>0</v>
      </c>
      <c r="AO237" s="451">
        <v>14380669</v>
      </c>
      <c r="AP237" s="451">
        <v>1875166</v>
      </c>
      <c r="AQ237" s="324"/>
      <c r="AR237" s="310"/>
      <c r="AS237" s="310"/>
      <c r="AT237" s="310"/>
      <c r="AU237" s="310"/>
      <c r="AV237" s="310"/>
      <c r="AW237" s="310"/>
      <c r="AX237" s="310"/>
      <c r="AY237" s="310"/>
      <c r="AZ237" s="310"/>
      <c r="BA237" s="310"/>
      <c r="BB237" s="310"/>
      <c r="BC237" s="310"/>
      <c r="BD237" s="310"/>
      <c r="BE237" s="310"/>
      <c r="BF237" s="310"/>
      <c r="BG237" s="310"/>
      <c r="BH237" s="310"/>
      <c r="BI237" s="310"/>
      <c r="BJ237" s="310"/>
      <c r="BK237" s="310"/>
      <c r="BL237" s="310"/>
      <c r="BM237" s="310"/>
      <c r="BN237" s="310"/>
      <c r="BO237" s="310"/>
      <c r="BP237" s="310"/>
      <c r="BQ237" s="310"/>
      <c r="BR237" s="310"/>
      <c r="BS237" s="310"/>
      <c r="BT237" s="310"/>
      <c r="BU237" s="310"/>
      <c r="BV237" s="310"/>
      <c r="BW237" s="310"/>
      <c r="BX237" s="310"/>
      <c r="BY237" s="310"/>
      <c r="BZ237" s="310"/>
      <c r="CA237" s="310"/>
      <c r="CB237" s="310"/>
      <c r="CC237" s="310"/>
      <c r="CD237" s="310"/>
      <c r="CE237" s="310"/>
      <c r="CF237" s="310"/>
      <c r="CG237" s="310"/>
      <c r="CH237" s="310"/>
      <c r="CI237" s="310"/>
      <c r="CJ237" s="310"/>
      <c r="CK237" s="310"/>
      <c r="CL237" s="310"/>
      <c r="CM237" s="310"/>
      <c r="CN237" s="310"/>
      <c r="CO237" s="310"/>
      <c r="CP237" s="310"/>
      <c r="CQ237" s="310"/>
      <c r="CR237" s="310"/>
      <c r="CS237" s="310"/>
      <c r="CT237" s="310"/>
      <c r="CU237" s="310"/>
      <c r="CV237" s="310"/>
      <c r="CW237" s="310"/>
      <c r="CX237" s="310"/>
      <c r="CY237" s="310"/>
      <c r="CZ237" s="310"/>
      <c r="DA237" s="310"/>
      <c r="DB237" s="310"/>
      <c r="DC237" s="310"/>
      <c r="DD237" s="310"/>
      <c r="DE237" s="310"/>
      <c r="DF237" s="310"/>
      <c r="DG237" s="310"/>
      <c r="DH237" s="310"/>
      <c r="DI237" s="310"/>
      <c r="DJ237" s="310"/>
      <c r="DK237" s="310"/>
      <c r="DL237" s="310"/>
      <c r="DM237" s="310"/>
      <c r="DN237" s="310"/>
      <c r="DO237" s="310"/>
      <c r="DP237" s="310"/>
      <c r="DQ237" s="310"/>
      <c r="DR237" s="310"/>
      <c r="DS237" s="310"/>
      <c r="DT237" s="310"/>
      <c r="DU237" s="310"/>
      <c r="DV237" s="310"/>
      <c r="DW237" s="310"/>
      <c r="DX237" s="310"/>
      <c r="DY237" s="310"/>
      <c r="DZ237" s="310"/>
      <c r="EA237" s="310"/>
      <c r="EB237" s="310"/>
      <c r="EC237" s="310"/>
      <c r="ED237" s="310"/>
      <c r="EE237" s="310"/>
      <c r="EF237" s="310"/>
      <c r="EG237" s="310"/>
      <c r="EH237" s="310"/>
      <c r="EI237" s="310"/>
      <c r="EJ237" s="310"/>
      <c r="EK237" s="310"/>
      <c r="EL237" s="310"/>
      <c r="EM237" s="310"/>
      <c r="EN237" s="310"/>
      <c r="EO237" s="310"/>
      <c r="EP237" s="310"/>
      <c r="EQ237" s="310"/>
      <c r="ER237" s="310"/>
      <c r="ES237" s="310"/>
      <c r="ET237" s="310"/>
      <c r="EU237" s="310"/>
      <c r="EV237" s="310"/>
      <c r="EW237" s="310"/>
      <c r="EX237" s="310"/>
      <c r="EY237" s="310"/>
      <c r="EZ237" s="310"/>
      <c r="FA237" s="310"/>
      <c r="FB237" s="310"/>
      <c r="FC237" s="310"/>
      <c r="FD237" s="310"/>
      <c r="FE237" s="311"/>
      <c r="FF237" s="312"/>
    </row>
    <row r="238" spans="1:162" ht="12.75" x14ac:dyDescent="0.2">
      <c r="A238" s="446">
        <v>231</v>
      </c>
      <c r="B238" s="447" t="s">
        <v>345</v>
      </c>
      <c r="C238" s="448" t="s">
        <v>1093</v>
      </c>
      <c r="D238" s="449" t="s">
        <v>1094</v>
      </c>
      <c r="E238" s="450" t="s">
        <v>344</v>
      </c>
      <c r="F238" s="451">
        <v>27830103</v>
      </c>
      <c r="G238" s="451">
        <v>0</v>
      </c>
      <c r="H238" s="451">
        <v>0</v>
      </c>
      <c r="I238" s="451">
        <v>27830103</v>
      </c>
      <c r="J238" s="451">
        <v>383240</v>
      </c>
      <c r="K238" s="451">
        <v>0</v>
      </c>
      <c r="L238" s="451">
        <v>0</v>
      </c>
      <c r="M238" s="451">
        <v>383240</v>
      </c>
      <c r="N238" s="451">
        <v>153418</v>
      </c>
      <c r="O238" s="451">
        <v>0</v>
      </c>
      <c r="P238" s="451">
        <v>0</v>
      </c>
      <c r="Q238" s="451">
        <v>153418</v>
      </c>
      <c r="R238" s="451">
        <v>427187</v>
      </c>
      <c r="S238" s="451">
        <v>0</v>
      </c>
      <c r="T238" s="451">
        <v>0</v>
      </c>
      <c r="U238" s="451">
        <v>427187</v>
      </c>
      <c r="V238" s="451">
        <v>1059937</v>
      </c>
      <c r="W238" s="451">
        <v>0</v>
      </c>
      <c r="X238" s="451">
        <v>0</v>
      </c>
      <c r="Y238" s="451">
        <v>1059937</v>
      </c>
      <c r="Z238" s="451">
        <v>25806321</v>
      </c>
      <c r="AA238" s="451">
        <v>0</v>
      </c>
      <c r="AB238" s="451">
        <v>0</v>
      </c>
      <c r="AC238" s="451">
        <v>25806321</v>
      </c>
      <c r="AD238" s="451">
        <v>0</v>
      </c>
      <c r="AE238" s="451">
        <v>0</v>
      </c>
      <c r="AF238" s="451">
        <v>0</v>
      </c>
      <c r="AG238" s="451">
        <v>0</v>
      </c>
      <c r="AH238" s="451">
        <v>0</v>
      </c>
      <c r="AI238" s="451">
        <v>0</v>
      </c>
      <c r="AJ238" s="451">
        <v>0</v>
      </c>
      <c r="AK238" s="451">
        <v>0</v>
      </c>
      <c r="AL238" s="451">
        <v>0</v>
      </c>
      <c r="AM238" s="451">
        <v>0</v>
      </c>
      <c r="AN238" s="451">
        <v>0</v>
      </c>
      <c r="AO238" s="451">
        <v>1211608</v>
      </c>
      <c r="AP238" s="451">
        <v>492684.61</v>
      </c>
      <c r="AQ238" s="324"/>
      <c r="AR238" s="310"/>
      <c r="AS238" s="310"/>
      <c r="AT238" s="310"/>
      <c r="AU238" s="310"/>
      <c r="AV238" s="310"/>
      <c r="AW238" s="310"/>
      <c r="AX238" s="310"/>
      <c r="AY238" s="310"/>
      <c r="AZ238" s="310"/>
      <c r="BA238" s="310"/>
      <c r="BB238" s="310"/>
      <c r="BC238" s="310"/>
      <c r="BD238" s="310"/>
      <c r="BE238" s="310"/>
      <c r="BF238" s="310"/>
      <c r="BG238" s="310"/>
      <c r="BH238" s="310"/>
      <c r="BI238" s="310"/>
      <c r="BJ238" s="310"/>
      <c r="BK238" s="310"/>
      <c r="BL238" s="310"/>
      <c r="BM238" s="310"/>
      <c r="BN238" s="310"/>
      <c r="BO238" s="310"/>
      <c r="BP238" s="310"/>
      <c r="BQ238" s="310"/>
      <c r="BR238" s="310"/>
      <c r="BS238" s="310"/>
      <c r="BT238" s="310"/>
      <c r="BU238" s="310"/>
      <c r="BV238" s="310"/>
      <c r="BW238" s="310"/>
      <c r="BX238" s="310"/>
      <c r="BY238" s="310"/>
      <c r="BZ238" s="310"/>
      <c r="CA238" s="310"/>
      <c r="CB238" s="310"/>
      <c r="CC238" s="310"/>
      <c r="CD238" s="310"/>
      <c r="CE238" s="310"/>
      <c r="CF238" s="310"/>
      <c r="CG238" s="310"/>
      <c r="CH238" s="310"/>
      <c r="CI238" s="310"/>
      <c r="CJ238" s="310"/>
      <c r="CK238" s="310"/>
      <c r="CL238" s="310"/>
      <c r="CM238" s="310"/>
      <c r="CN238" s="310"/>
      <c r="CO238" s="310"/>
      <c r="CP238" s="310"/>
      <c r="CQ238" s="310"/>
      <c r="CR238" s="310"/>
      <c r="CS238" s="310"/>
      <c r="CT238" s="310"/>
      <c r="CU238" s="310"/>
      <c r="CV238" s="310"/>
      <c r="CW238" s="310"/>
      <c r="CX238" s="310"/>
      <c r="CY238" s="310"/>
      <c r="CZ238" s="310"/>
      <c r="DA238" s="310"/>
      <c r="DB238" s="310"/>
      <c r="DC238" s="310"/>
      <c r="DD238" s="310"/>
      <c r="DE238" s="310"/>
      <c r="DF238" s="310"/>
      <c r="DG238" s="310"/>
      <c r="DH238" s="310"/>
      <c r="DI238" s="310"/>
      <c r="DJ238" s="310"/>
      <c r="DK238" s="310"/>
      <c r="DL238" s="310"/>
      <c r="DM238" s="310"/>
      <c r="DN238" s="310"/>
      <c r="DO238" s="310"/>
      <c r="DP238" s="310"/>
      <c r="DQ238" s="310"/>
      <c r="DR238" s="310"/>
      <c r="DS238" s="310"/>
      <c r="DT238" s="310"/>
      <c r="DU238" s="310"/>
      <c r="DV238" s="310"/>
      <c r="DW238" s="310"/>
      <c r="DX238" s="310"/>
      <c r="DY238" s="310"/>
      <c r="DZ238" s="310"/>
      <c r="EA238" s="310"/>
      <c r="EB238" s="310"/>
      <c r="EC238" s="310"/>
      <c r="ED238" s="310"/>
      <c r="EE238" s="310"/>
      <c r="EF238" s="310"/>
      <c r="EG238" s="310"/>
      <c r="EH238" s="310"/>
      <c r="EI238" s="310"/>
      <c r="EJ238" s="310"/>
      <c r="EK238" s="310"/>
      <c r="EL238" s="310"/>
      <c r="EM238" s="310"/>
      <c r="EN238" s="310"/>
      <c r="EO238" s="310"/>
      <c r="EP238" s="310"/>
      <c r="EQ238" s="310"/>
      <c r="ER238" s="310"/>
      <c r="ES238" s="310"/>
      <c r="ET238" s="310"/>
      <c r="EU238" s="310"/>
      <c r="EV238" s="310"/>
      <c r="EW238" s="310"/>
      <c r="EX238" s="310"/>
      <c r="EY238" s="310"/>
      <c r="EZ238" s="310"/>
      <c r="FA238" s="310"/>
      <c r="FB238" s="310"/>
      <c r="FC238" s="310"/>
      <c r="FD238" s="310"/>
      <c r="FE238" s="311"/>
      <c r="FF238" s="312"/>
    </row>
    <row r="239" spans="1:162" ht="12.75" x14ac:dyDescent="0.2">
      <c r="A239" s="446">
        <v>232</v>
      </c>
      <c r="B239" s="447" t="s">
        <v>347</v>
      </c>
      <c r="C239" s="448" t="s">
        <v>794</v>
      </c>
      <c r="D239" s="449" t="s">
        <v>1103</v>
      </c>
      <c r="E239" s="450" t="s">
        <v>346</v>
      </c>
      <c r="F239" s="451">
        <v>75981895.700000003</v>
      </c>
      <c r="G239" s="451">
        <v>0</v>
      </c>
      <c r="H239" s="451">
        <v>0</v>
      </c>
      <c r="I239" s="451">
        <v>75981895.700000003</v>
      </c>
      <c r="J239" s="451">
        <v>0</v>
      </c>
      <c r="K239" s="451">
        <v>0</v>
      </c>
      <c r="L239" s="451">
        <v>0</v>
      </c>
      <c r="M239" s="451">
        <v>0</v>
      </c>
      <c r="N239" s="451">
        <v>470634</v>
      </c>
      <c r="O239" s="451">
        <v>0</v>
      </c>
      <c r="P239" s="451">
        <v>0</v>
      </c>
      <c r="Q239" s="451">
        <v>470634</v>
      </c>
      <c r="R239" s="451">
        <v>385449</v>
      </c>
      <c r="S239" s="451">
        <v>0</v>
      </c>
      <c r="T239" s="451">
        <v>0</v>
      </c>
      <c r="U239" s="451">
        <v>385449</v>
      </c>
      <c r="V239" s="451">
        <v>1220165</v>
      </c>
      <c r="W239" s="451">
        <v>0</v>
      </c>
      <c r="X239" s="451">
        <v>0</v>
      </c>
      <c r="Y239" s="451">
        <v>1220165</v>
      </c>
      <c r="Z239" s="451">
        <v>73905648</v>
      </c>
      <c r="AA239" s="451">
        <v>0</v>
      </c>
      <c r="AB239" s="451">
        <v>0</v>
      </c>
      <c r="AC239" s="451">
        <v>73905648</v>
      </c>
      <c r="AD239" s="451">
        <v>0</v>
      </c>
      <c r="AE239" s="451">
        <v>0</v>
      </c>
      <c r="AF239" s="451">
        <v>0</v>
      </c>
      <c r="AG239" s="451">
        <v>0</v>
      </c>
      <c r="AH239" s="451">
        <v>0</v>
      </c>
      <c r="AI239" s="451">
        <v>0</v>
      </c>
      <c r="AJ239" s="451">
        <v>0</v>
      </c>
      <c r="AK239" s="451">
        <v>0</v>
      </c>
      <c r="AL239" s="451">
        <v>0</v>
      </c>
      <c r="AM239" s="451">
        <v>0</v>
      </c>
      <c r="AN239" s="451">
        <v>0</v>
      </c>
      <c r="AO239" s="451">
        <v>3316520</v>
      </c>
      <c r="AP239" s="451">
        <v>1938011</v>
      </c>
      <c r="AQ239" s="324"/>
      <c r="AR239" s="310"/>
      <c r="AS239" s="310"/>
      <c r="AT239" s="310"/>
      <c r="AU239" s="310"/>
      <c r="AV239" s="310"/>
      <c r="AW239" s="310"/>
      <c r="AX239" s="310"/>
      <c r="AY239" s="310"/>
      <c r="AZ239" s="310"/>
      <c r="BA239" s="310"/>
      <c r="BB239" s="310"/>
      <c r="BC239" s="310"/>
      <c r="BD239" s="310"/>
      <c r="BE239" s="310"/>
      <c r="BF239" s="310"/>
      <c r="BG239" s="310"/>
      <c r="BH239" s="310"/>
      <c r="BI239" s="310"/>
      <c r="BJ239" s="310"/>
      <c r="BK239" s="310"/>
      <c r="BL239" s="310"/>
      <c r="BM239" s="310"/>
      <c r="BN239" s="310"/>
      <c r="BO239" s="310"/>
      <c r="BP239" s="310"/>
      <c r="BQ239" s="310"/>
      <c r="BR239" s="310"/>
      <c r="BS239" s="310"/>
      <c r="BT239" s="310"/>
      <c r="BU239" s="310"/>
      <c r="BV239" s="310"/>
      <c r="BW239" s="310"/>
      <c r="BX239" s="310"/>
      <c r="BY239" s="310"/>
      <c r="BZ239" s="310"/>
      <c r="CA239" s="310"/>
      <c r="CB239" s="310"/>
      <c r="CC239" s="310"/>
      <c r="CD239" s="310"/>
      <c r="CE239" s="310"/>
      <c r="CF239" s="310"/>
      <c r="CG239" s="310"/>
      <c r="CH239" s="310"/>
      <c r="CI239" s="310"/>
      <c r="CJ239" s="310"/>
      <c r="CK239" s="310"/>
      <c r="CL239" s="310"/>
      <c r="CM239" s="310"/>
      <c r="CN239" s="310"/>
      <c r="CO239" s="310"/>
      <c r="CP239" s="310"/>
      <c r="CQ239" s="310"/>
      <c r="CR239" s="310"/>
      <c r="CS239" s="310"/>
      <c r="CT239" s="310"/>
      <c r="CU239" s="310"/>
      <c r="CV239" s="310"/>
      <c r="CW239" s="310"/>
      <c r="CX239" s="310"/>
      <c r="CY239" s="310"/>
      <c r="CZ239" s="310"/>
      <c r="DA239" s="310"/>
      <c r="DB239" s="310"/>
      <c r="DC239" s="310"/>
      <c r="DD239" s="310"/>
      <c r="DE239" s="310"/>
      <c r="DF239" s="310"/>
      <c r="DG239" s="310"/>
      <c r="DH239" s="310"/>
      <c r="DI239" s="310"/>
      <c r="DJ239" s="310"/>
      <c r="DK239" s="310"/>
      <c r="DL239" s="310"/>
      <c r="DM239" s="310"/>
      <c r="DN239" s="310"/>
      <c r="DO239" s="310"/>
      <c r="DP239" s="310"/>
      <c r="DQ239" s="310"/>
      <c r="DR239" s="310"/>
      <c r="DS239" s="310"/>
      <c r="DT239" s="310"/>
      <c r="DU239" s="310"/>
      <c r="DV239" s="310"/>
      <c r="DW239" s="310"/>
      <c r="DX239" s="310"/>
      <c r="DY239" s="310"/>
      <c r="DZ239" s="310"/>
      <c r="EA239" s="310"/>
      <c r="EB239" s="310"/>
      <c r="EC239" s="310"/>
      <c r="ED239" s="310"/>
      <c r="EE239" s="310"/>
      <c r="EF239" s="310"/>
      <c r="EG239" s="310"/>
      <c r="EH239" s="310"/>
      <c r="EI239" s="310"/>
      <c r="EJ239" s="310"/>
      <c r="EK239" s="310"/>
      <c r="EL239" s="310"/>
      <c r="EM239" s="310"/>
      <c r="EN239" s="310"/>
      <c r="EO239" s="310"/>
      <c r="EP239" s="310"/>
      <c r="EQ239" s="310"/>
      <c r="ER239" s="310"/>
      <c r="ES239" s="310"/>
      <c r="ET239" s="310"/>
      <c r="EU239" s="310"/>
      <c r="EV239" s="310"/>
      <c r="EW239" s="310"/>
      <c r="EX239" s="310"/>
      <c r="EY239" s="310"/>
      <c r="EZ239" s="310"/>
      <c r="FA239" s="310"/>
      <c r="FB239" s="310"/>
      <c r="FC239" s="310"/>
      <c r="FD239" s="310"/>
      <c r="FE239" s="311"/>
      <c r="FF239" s="312"/>
    </row>
    <row r="240" spans="1:162" ht="12.75" x14ac:dyDescent="0.2">
      <c r="A240" s="446">
        <v>233</v>
      </c>
      <c r="B240" s="447" t="s">
        <v>349</v>
      </c>
      <c r="C240" s="448" t="s">
        <v>794</v>
      </c>
      <c r="D240" s="449" t="s">
        <v>1094</v>
      </c>
      <c r="E240" s="450" t="s">
        <v>743</v>
      </c>
      <c r="F240" s="451">
        <v>95721467</v>
      </c>
      <c r="G240" s="451">
        <v>0</v>
      </c>
      <c r="H240" s="451">
        <v>0</v>
      </c>
      <c r="I240" s="451">
        <v>95721467</v>
      </c>
      <c r="J240" s="451">
        <v>4938490.41</v>
      </c>
      <c r="K240" s="451">
        <v>0</v>
      </c>
      <c r="L240" s="451">
        <v>0</v>
      </c>
      <c r="M240" s="451">
        <v>4938490.41</v>
      </c>
      <c r="N240" s="451">
        <v>-1228969.5</v>
      </c>
      <c r="O240" s="451">
        <v>0</v>
      </c>
      <c r="P240" s="451">
        <v>0</v>
      </c>
      <c r="Q240" s="451">
        <v>-1228969.5</v>
      </c>
      <c r="R240" s="451">
        <v>455468</v>
      </c>
      <c r="S240" s="451">
        <v>0</v>
      </c>
      <c r="T240" s="451">
        <v>0</v>
      </c>
      <c r="U240" s="451">
        <v>455468</v>
      </c>
      <c r="V240" s="451">
        <v>1312123</v>
      </c>
      <c r="W240" s="451">
        <v>0</v>
      </c>
      <c r="X240" s="451">
        <v>0</v>
      </c>
      <c r="Y240" s="451">
        <v>1312123</v>
      </c>
      <c r="Z240" s="451">
        <v>90244355</v>
      </c>
      <c r="AA240" s="451">
        <v>0</v>
      </c>
      <c r="AB240" s="451">
        <v>0</v>
      </c>
      <c r="AC240" s="451">
        <v>90244355</v>
      </c>
      <c r="AD240" s="451">
        <v>0</v>
      </c>
      <c r="AE240" s="451">
        <v>0</v>
      </c>
      <c r="AF240" s="451">
        <v>0</v>
      </c>
      <c r="AG240" s="451">
        <v>0</v>
      </c>
      <c r="AH240" s="451">
        <v>0</v>
      </c>
      <c r="AI240" s="451">
        <v>0</v>
      </c>
      <c r="AJ240" s="451">
        <v>0</v>
      </c>
      <c r="AK240" s="451">
        <v>0</v>
      </c>
      <c r="AL240" s="451">
        <v>0</v>
      </c>
      <c r="AM240" s="451">
        <v>0</v>
      </c>
      <c r="AN240" s="451">
        <v>0</v>
      </c>
      <c r="AO240" s="451">
        <v>7150923</v>
      </c>
      <c r="AP240" s="451">
        <v>451391</v>
      </c>
      <c r="AQ240" s="324"/>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c r="EI240" s="310"/>
      <c r="EJ240" s="310"/>
      <c r="EK240" s="310"/>
      <c r="EL240" s="310"/>
      <c r="EM240" s="310"/>
      <c r="EN240" s="310"/>
      <c r="EO240" s="310"/>
      <c r="EP240" s="310"/>
      <c r="EQ240" s="310"/>
      <c r="ER240" s="310"/>
      <c r="ES240" s="310"/>
      <c r="ET240" s="310"/>
      <c r="EU240" s="310"/>
      <c r="EV240" s="310"/>
      <c r="EW240" s="310"/>
      <c r="EX240" s="310"/>
      <c r="EY240" s="310"/>
      <c r="EZ240" s="310"/>
      <c r="FA240" s="310"/>
      <c r="FB240" s="310"/>
      <c r="FC240" s="310"/>
      <c r="FD240" s="310"/>
      <c r="FE240" s="311"/>
      <c r="FF240" s="312"/>
    </row>
    <row r="241" spans="1:162" ht="12.75" x14ac:dyDescent="0.2">
      <c r="A241" s="446">
        <v>234</v>
      </c>
      <c r="B241" s="447" t="s">
        <v>351</v>
      </c>
      <c r="C241" s="448" t="s">
        <v>1100</v>
      </c>
      <c r="D241" s="449" t="s">
        <v>1103</v>
      </c>
      <c r="E241" s="450" t="s">
        <v>350</v>
      </c>
      <c r="F241" s="451">
        <v>105857185</v>
      </c>
      <c r="G241" s="451">
        <v>0</v>
      </c>
      <c r="H241" s="451">
        <v>0</v>
      </c>
      <c r="I241" s="451">
        <v>105857185</v>
      </c>
      <c r="J241" s="451">
        <v>252039</v>
      </c>
      <c r="K241" s="451">
        <v>0</v>
      </c>
      <c r="L241" s="451">
        <v>0</v>
      </c>
      <c r="M241" s="451">
        <v>252039</v>
      </c>
      <c r="N241" s="451">
        <v>477817</v>
      </c>
      <c r="O241" s="451">
        <v>0</v>
      </c>
      <c r="P241" s="451">
        <v>0</v>
      </c>
      <c r="Q241" s="451">
        <v>477817</v>
      </c>
      <c r="R241" s="451">
        <v>924796</v>
      </c>
      <c r="S241" s="451">
        <v>0</v>
      </c>
      <c r="T241" s="451">
        <v>0</v>
      </c>
      <c r="U241" s="451">
        <v>924796</v>
      </c>
      <c r="V241" s="451">
        <v>2235084</v>
      </c>
      <c r="W241" s="451">
        <v>0</v>
      </c>
      <c r="X241" s="451">
        <v>0</v>
      </c>
      <c r="Y241" s="451">
        <v>2235084</v>
      </c>
      <c r="Z241" s="451">
        <v>101967449</v>
      </c>
      <c r="AA241" s="451">
        <v>0</v>
      </c>
      <c r="AB241" s="451">
        <v>0</v>
      </c>
      <c r="AC241" s="451">
        <v>101967449</v>
      </c>
      <c r="AD241" s="451">
        <v>0</v>
      </c>
      <c r="AE241" s="451">
        <v>0</v>
      </c>
      <c r="AF241" s="451">
        <v>0</v>
      </c>
      <c r="AG241" s="451">
        <v>0</v>
      </c>
      <c r="AH241" s="451">
        <v>0</v>
      </c>
      <c r="AI241" s="451">
        <v>0</v>
      </c>
      <c r="AJ241" s="451">
        <v>0</v>
      </c>
      <c r="AK241" s="451">
        <v>0</v>
      </c>
      <c r="AL241" s="451">
        <v>0</v>
      </c>
      <c r="AM241" s="451">
        <v>0</v>
      </c>
      <c r="AN241" s="451">
        <v>0</v>
      </c>
      <c r="AO241" s="451">
        <v>2312838</v>
      </c>
      <c r="AP241" s="451">
        <v>4422780</v>
      </c>
      <c r="AQ241" s="324"/>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c r="EI241" s="310"/>
      <c r="EJ241" s="310"/>
      <c r="EK241" s="310"/>
      <c r="EL241" s="310"/>
      <c r="EM241" s="310"/>
      <c r="EN241" s="310"/>
      <c r="EO241" s="310"/>
      <c r="EP241" s="310"/>
      <c r="EQ241" s="310"/>
      <c r="ER241" s="310"/>
      <c r="ES241" s="310"/>
      <c r="ET241" s="310"/>
      <c r="EU241" s="310"/>
      <c r="EV241" s="310"/>
      <c r="EW241" s="310"/>
      <c r="EX241" s="310"/>
      <c r="EY241" s="310"/>
      <c r="EZ241" s="310"/>
      <c r="FA241" s="310"/>
      <c r="FB241" s="310"/>
      <c r="FC241" s="310"/>
      <c r="FD241" s="310"/>
      <c r="FE241" s="311"/>
      <c r="FF241" s="312"/>
    </row>
    <row r="242" spans="1:162" ht="12.75" x14ac:dyDescent="0.2">
      <c r="A242" s="446">
        <v>235</v>
      </c>
      <c r="B242" s="447" t="s">
        <v>353</v>
      </c>
      <c r="C242" s="448" t="s">
        <v>1093</v>
      </c>
      <c r="D242" s="449" t="s">
        <v>1094</v>
      </c>
      <c r="E242" s="450" t="s">
        <v>352</v>
      </c>
      <c r="F242" s="451">
        <v>29020627.600000001</v>
      </c>
      <c r="G242" s="451">
        <v>0</v>
      </c>
      <c r="H242" s="451">
        <v>0</v>
      </c>
      <c r="I242" s="451">
        <v>29020627.600000001</v>
      </c>
      <c r="J242" s="451">
        <v>4774</v>
      </c>
      <c r="K242" s="451">
        <v>0</v>
      </c>
      <c r="L242" s="451">
        <v>0</v>
      </c>
      <c r="M242" s="451">
        <v>4774</v>
      </c>
      <c r="N242" s="451">
        <v>217000</v>
      </c>
      <c r="O242" s="451">
        <v>0</v>
      </c>
      <c r="P242" s="451">
        <v>0</v>
      </c>
      <c r="Q242" s="451">
        <v>217000</v>
      </c>
      <c r="R242" s="451">
        <v>416648</v>
      </c>
      <c r="S242" s="451">
        <v>0</v>
      </c>
      <c r="T242" s="451">
        <v>0</v>
      </c>
      <c r="U242" s="451">
        <v>416648</v>
      </c>
      <c r="V242" s="451">
        <v>1274919</v>
      </c>
      <c r="W242" s="451">
        <v>0</v>
      </c>
      <c r="X242" s="451">
        <v>0</v>
      </c>
      <c r="Y242" s="451">
        <v>1274919</v>
      </c>
      <c r="Z242" s="451">
        <v>27107287</v>
      </c>
      <c r="AA242" s="451">
        <v>0</v>
      </c>
      <c r="AB242" s="451">
        <v>0</v>
      </c>
      <c r="AC242" s="451">
        <v>27107287</v>
      </c>
      <c r="AD242" s="451">
        <v>0</v>
      </c>
      <c r="AE242" s="451">
        <v>0</v>
      </c>
      <c r="AF242" s="451">
        <v>0</v>
      </c>
      <c r="AG242" s="451">
        <v>0</v>
      </c>
      <c r="AH242" s="451">
        <v>0</v>
      </c>
      <c r="AI242" s="451">
        <v>0</v>
      </c>
      <c r="AJ242" s="451">
        <v>0</v>
      </c>
      <c r="AK242" s="451">
        <v>0</v>
      </c>
      <c r="AL242" s="451">
        <v>0</v>
      </c>
      <c r="AM242" s="451">
        <v>0</v>
      </c>
      <c r="AN242" s="451">
        <v>0</v>
      </c>
      <c r="AO242" s="451">
        <v>1331202</v>
      </c>
      <c r="AP242" s="451">
        <v>862093</v>
      </c>
      <c r="AQ242" s="324"/>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c r="EI242" s="310"/>
      <c r="EJ242" s="310"/>
      <c r="EK242" s="310"/>
      <c r="EL242" s="310"/>
      <c r="EM242" s="310"/>
      <c r="EN242" s="310"/>
      <c r="EO242" s="310"/>
      <c r="EP242" s="310"/>
      <c r="EQ242" s="310"/>
      <c r="ER242" s="310"/>
      <c r="ES242" s="310"/>
      <c r="ET242" s="310"/>
      <c r="EU242" s="310"/>
      <c r="EV242" s="310"/>
      <c r="EW242" s="310"/>
      <c r="EX242" s="310"/>
      <c r="EY242" s="310"/>
      <c r="EZ242" s="310"/>
      <c r="FA242" s="310"/>
      <c r="FB242" s="310"/>
      <c r="FC242" s="310"/>
      <c r="FD242" s="310"/>
      <c r="FE242" s="311"/>
      <c r="FF242" s="312"/>
    </row>
    <row r="243" spans="1:162" ht="12.75" x14ac:dyDescent="0.2">
      <c r="A243" s="446">
        <v>236</v>
      </c>
      <c r="B243" s="447" t="s">
        <v>355</v>
      </c>
      <c r="C243" s="448" t="s">
        <v>1093</v>
      </c>
      <c r="D243" s="449" t="s">
        <v>1097</v>
      </c>
      <c r="E243" s="450" t="s">
        <v>354</v>
      </c>
      <c r="F243" s="451">
        <v>67445978</v>
      </c>
      <c r="G243" s="451">
        <v>0</v>
      </c>
      <c r="H243" s="451">
        <v>0</v>
      </c>
      <c r="I243" s="451">
        <v>67445978</v>
      </c>
      <c r="J243" s="451">
        <v>394875</v>
      </c>
      <c r="K243" s="451">
        <v>0</v>
      </c>
      <c r="L243" s="451">
        <v>0</v>
      </c>
      <c r="M243" s="451">
        <v>394875</v>
      </c>
      <c r="N243" s="451">
        <v>57511</v>
      </c>
      <c r="O243" s="451">
        <v>0</v>
      </c>
      <c r="P243" s="451">
        <v>0</v>
      </c>
      <c r="Q243" s="451">
        <v>57511</v>
      </c>
      <c r="R243" s="451">
        <v>1005699</v>
      </c>
      <c r="S243" s="451">
        <v>0</v>
      </c>
      <c r="T243" s="451">
        <v>0</v>
      </c>
      <c r="U243" s="451">
        <v>1005699</v>
      </c>
      <c r="V243" s="451">
        <v>2995162</v>
      </c>
      <c r="W243" s="451">
        <v>0</v>
      </c>
      <c r="X243" s="451">
        <v>0</v>
      </c>
      <c r="Y243" s="451">
        <v>2995162</v>
      </c>
      <c r="Z243" s="451">
        <v>62992731</v>
      </c>
      <c r="AA243" s="451">
        <v>0</v>
      </c>
      <c r="AB243" s="451">
        <v>0</v>
      </c>
      <c r="AC243" s="451">
        <v>62992731</v>
      </c>
      <c r="AD243" s="451">
        <v>0</v>
      </c>
      <c r="AE243" s="451">
        <v>0</v>
      </c>
      <c r="AF243" s="451">
        <v>0</v>
      </c>
      <c r="AG243" s="451">
        <v>0</v>
      </c>
      <c r="AH243" s="451">
        <v>0</v>
      </c>
      <c r="AI243" s="451">
        <v>0</v>
      </c>
      <c r="AJ243" s="451">
        <v>0</v>
      </c>
      <c r="AK243" s="451">
        <v>0</v>
      </c>
      <c r="AL243" s="451">
        <v>0</v>
      </c>
      <c r="AM243" s="451">
        <v>0</v>
      </c>
      <c r="AN243" s="451">
        <v>0</v>
      </c>
      <c r="AO243" s="451">
        <v>1250506</v>
      </c>
      <c r="AP243" s="451">
        <v>1179438</v>
      </c>
      <c r="AQ243" s="324"/>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c r="EI243" s="310"/>
      <c r="EJ243" s="310"/>
      <c r="EK243" s="310"/>
      <c r="EL243" s="310"/>
      <c r="EM243" s="310"/>
      <c r="EN243" s="310"/>
      <c r="EO243" s="310"/>
      <c r="EP243" s="310"/>
      <c r="EQ243" s="310"/>
      <c r="ER243" s="310"/>
      <c r="ES243" s="310"/>
      <c r="ET243" s="310"/>
      <c r="EU243" s="310"/>
      <c r="EV243" s="310"/>
      <c r="EW243" s="310"/>
      <c r="EX243" s="310"/>
      <c r="EY243" s="310"/>
      <c r="EZ243" s="310"/>
      <c r="FA243" s="310"/>
      <c r="FB243" s="310"/>
      <c r="FC243" s="310"/>
      <c r="FD243" s="310"/>
      <c r="FE243" s="311"/>
      <c r="FF243" s="312"/>
    </row>
    <row r="244" spans="1:162" ht="12.75" x14ac:dyDescent="0.2">
      <c r="A244" s="446">
        <v>237</v>
      </c>
      <c r="B244" s="447" t="s">
        <v>357</v>
      </c>
      <c r="C244" s="448" t="s">
        <v>1093</v>
      </c>
      <c r="D244" s="449" t="s">
        <v>1096</v>
      </c>
      <c r="E244" s="450" t="s">
        <v>356</v>
      </c>
      <c r="F244" s="451">
        <v>21899574</v>
      </c>
      <c r="G244" s="451">
        <v>0</v>
      </c>
      <c r="H244" s="451">
        <v>0</v>
      </c>
      <c r="I244" s="451">
        <v>21899574</v>
      </c>
      <c r="J244" s="451">
        <v>92386</v>
      </c>
      <c r="K244" s="451">
        <v>0</v>
      </c>
      <c r="L244" s="451">
        <v>0</v>
      </c>
      <c r="M244" s="451">
        <v>92386</v>
      </c>
      <c r="N244" s="451">
        <v>1360818</v>
      </c>
      <c r="O244" s="451">
        <v>0</v>
      </c>
      <c r="P244" s="451">
        <v>0</v>
      </c>
      <c r="Q244" s="451">
        <v>1360818</v>
      </c>
      <c r="R244" s="451">
        <v>534701</v>
      </c>
      <c r="S244" s="451">
        <v>0</v>
      </c>
      <c r="T244" s="451">
        <v>0</v>
      </c>
      <c r="U244" s="451">
        <v>534701</v>
      </c>
      <c r="V244" s="451">
        <v>92367</v>
      </c>
      <c r="W244" s="451">
        <v>0</v>
      </c>
      <c r="X244" s="451">
        <v>0</v>
      </c>
      <c r="Y244" s="451">
        <v>92367</v>
      </c>
      <c r="Z244" s="451">
        <v>19819302</v>
      </c>
      <c r="AA244" s="451">
        <v>0</v>
      </c>
      <c r="AB244" s="451">
        <v>0</v>
      </c>
      <c r="AC244" s="451">
        <v>19819302</v>
      </c>
      <c r="AD244" s="451">
        <v>0</v>
      </c>
      <c r="AE244" s="451">
        <v>0</v>
      </c>
      <c r="AF244" s="451">
        <v>0</v>
      </c>
      <c r="AG244" s="451">
        <v>0</v>
      </c>
      <c r="AH244" s="451">
        <v>0</v>
      </c>
      <c r="AI244" s="451">
        <v>0</v>
      </c>
      <c r="AJ244" s="451">
        <v>0</v>
      </c>
      <c r="AK244" s="451">
        <v>0</v>
      </c>
      <c r="AL244" s="451">
        <v>0</v>
      </c>
      <c r="AM244" s="451">
        <v>0</v>
      </c>
      <c r="AN244" s="451">
        <v>0</v>
      </c>
      <c r="AO244" s="451">
        <v>1999347</v>
      </c>
      <c r="AP244" s="451">
        <v>381449</v>
      </c>
      <c r="AQ244" s="324"/>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c r="EI244" s="310"/>
      <c r="EJ244" s="310"/>
      <c r="EK244" s="310"/>
      <c r="EL244" s="310"/>
      <c r="EM244" s="310"/>
      <c r="EN244" s="310"/>
      <c r="EO244" s="310"/>
      <c r="EP244" s="310"/>
      <c r="EQ244" s="310"/>
      <c r="ER244" s="310"/>
      <c r="ES244" s="310"/>
      <c r="ET244" s="310"/>
      <c r="EU244" s="310"/>
      <c r="EV244" s="310"/>
      <c r="EW244" s="310"/>
      <c r="EX244" s="310"/>
      <c r="EY244" s="310"/>
      <c r="EZ244" s="310"/>
      <c r="FA244" s="310"/>
      <c r="FB244" s="310"/>
      <c r="FC244" s="310"/>
      <c r="FD244" s="310"/>
      <c r="FE244" s="311"/>
      <c r="FF244" s="312"/>
    </row>
    <row r="245" spans="1:162" ht="12.75" x14ac:dyDescent="0.2">
      <c r="A245" s="446">
        <v>238</v>
      </c>
      <c r="B245" s="447" t="s">
        <v>359</v>
      </c>
      <c r="C245" s="448" t="s">
        <v>794</v>
      </c>
      <c r="D245" s="449" t="s">
        <v>1102</v>
      </c>
      <c r="E245" s="450" t="s">
        <v>744</v>
      </c>
      <c r="F245" s="451">
        <v>133756614</v>
      </c>
      <c r="G245" s="451">
        <v>0</v>
      </c>
      <c r="H245" s="451">
        <v>0</v>
      </c>
      <c r="I245" s="451">
        <v>133756614</v>
      </c>
      <c r="J245" s="451">
        <v>270409.09000000003</v>
      </c>
      <c r="K245" s="451">
        <v>0</v>
      </c>
      <c r="L245" s="451">
        <v>0</v>
      </c>
      <c r="M245" s="451">
        <v>270409.09000000003</v>
      </c>
      <c r="N245" s="451">
        <v>-70409</v>
      </c>
      <c r="O245" s="451">
        <v>0</v>
      </c>
      <c r="P245" s="451">
        <v>0</v>
      </c>
      <c r="Q245" s="451">
        <v>-70409</v>
      </c>
      <c r="R245" s="451">
        <v>1424470</v>
      </c>
      <c r="S245" s="451">
        <v>0</v>
      </c>
      <c r="T245" s="451">
        <v>0</v>
      </c>
      <c r="U245" s="451">
        <v>1424470</v>
      </c>
      <c r="V245" s="451">
        <v>5877530</v>
      </c>
      <c r="W245" s="451">
        <v>0</v>
      </c>
      <c r="X245" s="451">
        <v>0</v>
      </c>
      <c r="Y245" s="451">
        <v>5877530</v>
      </c>
      <c r="Z245" s="451">
        <v>126254615</v>
      </c>
      <c r="AA245" s="451">
        <v>0</v>
      </c>
      <c r="AB245" s="451">
        <v>0</v>
      </c>
      <c r="AC245" s="451">
        <v>126254615</v>
      </c>
      <c r="AD245" s="451">
        <v>0</v>
      </c>
      <c r="AE245" s="451">
        <v>0</v>
      </c>
      <c r="AF245" s="451">
        <v>0</v>
      </c>
      <c r="AG245" s="451">
        <v>0</v>
      </c>
      <c r="AH245" s="451">
        <v>0</v>
      </c>
      <c r="AI245" s="451">
        <v>0</v>
      </c>
      <c r="AJ245" s="451">
        <v>0</v>
      </c>
      <c r="AK245" s="451">
        <v>0</v>
      </c>
      <c r="AL245" s="451">
        <v>0</v>
      </c>
      <c r="AM245" s="451">
        <v>0</v>
      </c>
      <c r="AN245" s="451">
        <v>0</v>
      </c>
      <c r="AO245" s="451">
        <v>3881461.19</v>
      </c>
      <c r="AP245" s="451">
        <v>2471541.6800000002</v>
      </c>
      <c r="AQ245" s="324"/>
      <c r="AR245" s="310"/>
      <c r="AS245" s="310"/>
      <c r="AT245" s="310"/>
      <c r="AU245" s="310"/>
      <c r="AV245" s="310"/>
      <c r="AW245" s="310"/>
      <c r="AX245" s="310"/>
      <c r="AY245" s="310"/>
      <c r="AZ245" s="310"/>
      <c r="BA245" s="310"/>
      <c r="BB245" s="310"/>
      <c r="BC245" s="310"/>
      <c r="BD245" s="310"/>
      <c r="BE245" s="310"/>
      <c r="BF245" s="310"/>
      <c r="BG245" s="310"/>
      <c r="BH245" s="310"/>
      <c r="BI245" s="310"/>
      <c r="BJ245" s="310"/>
      <c r="BK245" s="310"/>
      <c r="BL245" s="310"/>
      <c r="BM245" s="310"/>
      <c r="BN245" s="310"/>
      <c r="BO245" s="310"/>
      <c r="BP245" s="310"/>
      <c r="BQ245" s="310"/>
      <c r="BR245" s="310"/>
      <c r="BS245" s="310"/>
      <c r="BT245" s="310"/>
      <c r="BU245" s="310"/>
      <c r="BV245" s="310"/>
      <c r="BW245" s="310"/>
      <c r="BX245" s="310"/>
      <c r="BY245" s="310"/>
      <c r="BZ245" s="310"/>
      <c r="CA245" s="310"/>
      <c r="CB245" s="310"/>
      <c r="CC245" s="310"/>
      <c r="CD245" s="310"/>
      <c r="CE245" s="310"/>
      <c r="CF245" s="310"/>
      <c r="CG245" s="310"/>
      <c r="CH245" s="310"/>
      <c r="CI245" s="310"/>
      <c r="CJ245" s="310"/>
      <c r="CK245" s="310"/>
      <c r="CL245" s="310"/>
      <c r="CM245" s="310"/>
      <c r="CN245" s="310"/>
      <c r="CO245" s="310"/>
      <c r="CP245" s="310"/>
      <c r="CQ245" s="310"/>
      <c r="CR245" s="310"/>
      <c r="CS245" s="310"/>
      <c r="CT245" s="310"/>
      <c r="CU245" s="310"/>
      <c r="CV245" s="310"/>
      <c r="CW245" s="310"/>
      <c r="CX245" s="310"/>
      <c r="CY245" s="310"/>
      <c r="CZ245" s="310"/>
      <c r="DA245" s="310"/>
      <c r="DB245" s="310"/>
      <c r="DC245" s="310"/>
      <c r="DD245" s="310"/>
      <c r="DE245" s="310"/>
      <c r="DF245" s="310"/>
      <c r="DG245" s="310"/>
      <c r="DH245" s="310"/>
      <c r="DI245" s="310"/>
      <c r="DJ245" s="310"/>
      <c r="DK245" s="310"/>
      <c r="DL245" s="310"/>
      <c r="DM245" s="310"/>
      <c r="DN245" s="310"/>
      <c r="DO245" s="310"/>
      <c r="DP245" s="310"/>
      <c r="DQ245" s="310"/>
      <c r="DR245" s="310"/>
      <c r="DS245" s="310"/>
      <c r="DT245" s="310"/>
      <c r="DU245" s="310"/>
      <c r="DV245" s="310"/>
      <c r="DW245" s="310"/>
      <c r="DX245" s="310"/>
      <c r="DY245" s="310"/>
      <c r="DZ245" s="310"/>
      <c r="EA245" s="310"/>
      <c r="EB245" s="310"/>
      <c r="EC245" s="310"/>
      <c r="ED245" s="310"/>
      <c r="EE245" s="310"/>
      <c r="EF245" s="310"/>
      <c r="EG245" s="310"/>
      <c r="EH245" s="310"/>
      <c r="EI245" s="310"/>
      <c r="EJ245" s="310"/>
      <c r="EK245" s="310"/>
      <c r="EL245" s="310"/>
      <c r="EM245" s="310"/>
      <c r="EN245" s="310"/>
      <c r="EO245" s="310"/>
      <c r="EP245" s="310"/>
      <c r="EQ245" s="310"/>
      <c r="ER245" s="310"/>
      <c r="ES245" s="310"/>
      <c r="ET245" s="310"/>
      <c r="EU245" s="310"/>
      <c r="EV245" s="310"/>
      <c r="EW245" s="310"/>
      <c r="EX245" s="310"/>
      <c r="EY245" s="310"/>
      <c r="EZ245" s="310"/>
      <c r="FA245" s="310"/>
      <c r="FB245" s="310"/>
      <c r="FC245" s="310"/>
      <c r="FD245" s="310"/>
      <c r="FE245" s="311"/>
      <c r="FF245" s="312"/>
    </row>
    <row r="246" spans="1:162" ht="12.75" x14ac:dyDescent="0.2">
      <c r="A246" s="446">
        <v>239</v>
      </c>
      <c r="B246" s="447" t="s">
        <v>361</v>
      </c>
      <c r="C246" s="448" t="s">
        <v>1093</v>
      </c>
      <c r="D246" s="449" t="s">
        <v>1102</v>
      </c>
      <c r="E246" s="450" t="s">
        <v>360</v>
      </c>
      <c r="F246" s="451">
        <v>28697749</v>
      </c>
      <c r="G246" s="451">
        <v>0</v>
      </c>
      <c r="H246" s="451">
        <v>0</v>
      </c>
      <c r="I246" s="451">
        <v>28697749</v>
      </c>
      <c r="J246" s="451">
        <v>123498</v>
      </c>
      <c r="K246" s="451">
        <v>0</v>
      </c>
      <c r="L246" s="451">
        <v>0</v>
      </c>
      <c r="M246" s="451">
        <v>123498</v>
      </c>
      <c r="N246" s="451">
        <v>98906</v>
      </c>
      <c r="O246" s="451">
        <v>0</v>
      </c>
      <c r="P246" s="451">
        <v>0</v>
      </c>
      <c r="Q246" s="451">
        <v>98906</v>
      </c>
      <c r="R246" s="451">
        <v>496476</v>
      </c>
      <c r="S246" s="451">
        <v>0</v>
      </c>
      <c r="T246" s="451">
        <v>0</v>
      </c>
      <c r="U246" s="451">
        <v>496476</v>
      </c>
      <c r="V246" s="451">
        <v>1359294</v>
      </c>
      <c r="W246" s="451">
        <v>0</v>
      </c>
      <c r="X246" s="451">
        <v>0</v>
      </c>
      <c r="Y246" s="451">
        <v>1359294</v>
      </c>
      <c r="Z246" s="451">
        <v>26619575</v>
      </c>
      <c r="AA246" s="451">
        <v>0</v>
      </c>
      <c r="AB246" s="451">
        <v>0</v>
      </c>
      <c r="AC246" s="451">
        <v>26619575</v>
      </c>
      <c r="AD246" s="451">
        <v>0</v>
      </c>
      <c r="AE246" s="451">
        <v>0</v>
      </c>
      <c r="AF246" s="451">
        <v>0</v>
      </c>
      <c r="AG246" s="451">
        <v>0</v>
      </c>
      <c r="AH246" s="451">
        <v>0</v>
      </c>
      <c r="AI246" s="451">
        <v>0</v>
      </c>
      <c r="AJ246" s="451">
        <v>0</v>
      </c>
      <c r="AK246" s="451">
        <v>0</v>
      </c>
      <c r="AL246" s="451">
        <v>0</v>
      </c>
      <c r="AM246" s="451">
        <v>0</v>
      </c>
      <c r="AN246" s="451">
        <v>0</v>
      </c>
      <c r="AO246" s="451">
        <v>1351458</v>
      </c>
      <c r="AP246" s="451">
        <v>268915</v>
      </c>
      <c r="AQ246" s="324"/>
      <c r="AR246" s="310"/>
      <c r="AS246" s="310"/>
      <c r="AT246" s="310"/>
      <c r="AU246" s="310"/>
      <c r="AV246" s="310"/>
      <c r="AW246" s="310"/>
      <c r="AX246" s="310"/>
      <c r="AY246" s="310"/>
      <c r="AZ246" s="310"/>
      <c r="BA246" s="310"/>
      <c r="BB246" s="310"/>
      <c r="BC246" s="310"/>
      <c r="BD246" s="310"/>
      <c r="BE246" s="310"/>
      <c r="BF246" s="310"/>
      <c r="BG246" s="310"/>
      <c r="BH246" s="310"/>
      <c r="BI246" s="310"/>
      <c r="BJ246" s="310"/>
      <c r="BK246" s="310"/>
      <c r="BL246" s="310"/>
      <c r="BM246" s="310"/>
      <c r="BN246" s="310"/>
      <c r="BO246" s="310"/>
      <c r="BP246" s="310"/>
      <c r="BQ246" s="310"/>
      <c r="BR246" s="310"/>
      <c r="BS246" s="310"/>
      <c r="BT246" s="310"/>
      <c r="BU246" s="310"/>
      <c r="BV246" s="310"/>
      <c r="BW246" s="310"/>
      <c r="BX246" s="310"/>
      <c r="BY246" s="310"/>
      <c r="BZ246" s="310"/>
      <c r="CA246" s="310"/>
      <c r="CB246" s="310"/>
      <c r="CC246" s="310"/>
      <c r="CD246" s="310"/>
      <c r="CE246" s="310"/>
      <c r="CF246" s="310"/>
      <c r="CG246" s="310"/>
      <c r="CH246" s="310"/>
      <c r="CI246" s="310"/>
      <c r="CJ246" s="310"/>
      <c r="CK246" s="310"/>
      <c r="CL246" s="310"/>
      <c r="CM246" s="310"/>
      <c r="CN246" s="310"/>
      <c r="CO246" s="310"/>
      <c r="CP246" s="310"/>
      <c r="CQ246" s="310"/>
      <c r="CR246" s="310"/>
      <c r="CS246" s="310"/>
      <c r="CT246" s="310"/>
      <c r="CU246" s="310"/>
      <c r="CV246" s="310"/>
      <c r="CW246" s="310"/>
      <c r="CX246" s="310"/>
      <c r="CY246" s="310"/>
      <c r="CZ246" s="310"/>
      <c r="DA246" s="310"/>
      <c r="DB246" s="310"/>
      <c r="DC246" s="310"/>
      <c r="DD246" s="310"/>
      <c r="DE246" s="310"/>
      <c r="DF246" s="310"/>
      <c r="DG246" s="310"/>
      <c r="DH246" s="310"/>
      <c r="DI246" s="310"/>
      <c r="DJ246" s="310"/>
      <c r="DK246" s="310"/>
      <c r="DL246" s="310"/>
      <c r="DM246" s="310"/>
      <c r="DN246" s="310"/>
      <c r="DO246" s="310"/>
      <c r="DP246" s="310"/>
      <c r="DQ246" s="310"/>
      <c r="DR246" s="310"/>
      <c r="DS246" s="310"/>
      <c r="DT246" s="310"/>
      <c r="DU246" s="310"/>
      <c r="DV246" s="310"/>
      <c r="DW246" s="310"/>
      <c r="DX246" s="310"/>
      <c r="DY246" s="310"/>
      <c r="DZ246" s="310"/>
      <c r="EA246" s="310"/>
      <c r="EB246" s="310"/>
      <c r="EC246" s="310"/>
      <c r="ED246" s="310"/>
      <c r="EE246" s="310"/>
      <c r="EF246" s="310"/>
      <c r="EG246" s="310"/>
      <c r="EH246" s="310"/>
      <c r="EI246" s="310"/>
      <c r="EJ246" s="310"/>
      <c r="EK246" s="310"/>
      <c r="EL246" s="310"/>
      <c r="EM246" s="310"/>
      <c r="EN246" s="310"/>
      <c r="EO246" s="310"/>
      <c r="EP246" s="310"/>
      <c r="EQ246" s="310"/>
      <c r="ER246" s="310"/>
      <c r="ES246" s="310"/>
      <c r="ET246" s="310"/>
      <c r="EU246" s="310"/>
      <c r="EV246" s="310"/>
      <c r="EW246" s="310"/>
      <c r="EX246" s="310"/>
      <c r="EY246" s="310"/>
      <c r="EZ246" s="310"/>
      <c r="FA246" s="310"/>
      <c r="FB246" s="310"/>
      <c r="FC246" s="310"/>
      <c r="FD246" s="310"/>
      <c r="FE246" s="311"/>
      <c r="FF246" s="312"/>
    </row>
    <row r="247" spans="1:162" ht="12.75" x14ac:dyDescent="0.2">
      <c r="A247" s="446">
        <v>240</v>
      </c>
      <c r="B247" s="447" t="s">
        <v>363</v>
      </c>
      <c r="C247" s="448" t="s">
        <v>1093</v>
      </c>
      <c r="D247" s="449" t="s">
        <v>1096</v>
      </c>
      <c r="E247" s="450" t="s">
        <v>362</v>
      </c>
      <c r="F247" s="451">
        <v>24376737</v>
      </c>
      <c r="G247" s="451">
        <v>0</v>
      </c>
      <c r="H247" s="451">
        <v>0</v>
      </c>
      <c r="I247" s="451">
        <v>24376737</v>
      </c>
      <c r="J247" s="451">
        <v>70462</v>
      </c>
      <c r="K247" s="451">
        <v>0</v>
      </c>
      <c r="L247" s="451">
        <v>0</v>
      </c>
      <c r="M247" s="451">
        <v>70462</v>
      </c>
      <c r="N247" s="451">
        <v>7000</v>
      </c>
      <c r="O247" s="451">
        <v>0</v>
      </c>
      <c r="P247" s="451">
        <v>0</v>
      </c>
      <c r="Q247" s="451">
        <v>7000</v>
      </c>
      <c r="R247" s="451">
        <v>475757</v>
      </c>
      <c r="S247" s="451">
        <v>0</v>
      </c>
      <c r="T247" s="451">
        <v>0</v>
      </c>
      <c r="U247" s="451">
        <v>475757</v>
      </c>
      <c r="V247" s="451">
        <v>2071854</v>
      </c>
      <c r="W247" s="451">
        <v>0</v>
      </c>
      <c r="X247" s="451">
        <v>0</v>
      </c>
      <c r="Y247" s="451">
        <v>2071854</v>
      </c>
      <c r="Z247" s="451">
        <v>21751664</v>
      </c>
      <c r="AA247" s="451">
        <v>0</v>
      </c>
      <c r="AB247" s="451">
        <v>0</v>
      </c>
      <c r="AC247" s="451">
        <v>21751664</v>
      </c>
      <c r="AD247" s="451">
        <v>193097</v>
      </c>
      <c r="AE247" s="451">
        <v>0</v>
      </c>
      <c r="AF247" s="451">
        <v>0</v>
      </c>
      <c r="AG247" s="451">
        <v>193097</v>
      </c>
      <c r="AH247" s="451">
        <v>0</v>
      </c>
      <c r="AI247" s="451">
        <v>0</v>
      </c>
      <c r="AJ247" s="451">
        <v>0</v>
      </c>
      <c r="AK247" s="451">
        <v>0</v>
      </c>
      <c r="AL247" s="451">
        <v>0</v>
      </c>
      <c r="AM247" s="451">
        <v>0</v>
      </c>
      <c r="AN247" s="451">
        <v>193097</v>
      </c>
      <c r="AO247" s="451">
        <v>608468</v>
      </c>
      <c r="AP247" s="451">
        <v>294145</v>
      </c>
      <c r="AQ247" s="324"/>
      <c r="AR247" s="310"/>
      <c r="AS247" s="310"/>
      <c r="AT247" s="310"/>
      <c r="AU247" s="310"/>
      <c r="AV247" s="310"/>
      <c r="AW247" s="310"/>
      <c r="AX247" s="310"/>
      <c r="AY247" s="310"/>
      <c r="AZ247" s="310"/>
      <c r="BA247" s="310"/>
      <c r="BB247" s="310"/>
      <c r="BC247" s="310"/>
      <c r="BD247" s="310"/>
      <c r="BE247" s="310"/>
      <c r="BF247" s="310"/>
      <c r="BG247" s="310"/>
      <c r="BH247" s="310"/>
      <c r="BI247" s="310"/>
      <c r="BJ247" s="310"/>
      <c r="BK247" s="310"/>
      <c r="BL247" s="310"/>
      <c r="BM247" s="310"/>
      <c r="BN247" s="310"/>
      <c r="BO247" s="310"/>
      <c r="BP247" s="310"/>
      <c r="BQ247" s="310"/>
      <c r="BR247" s="310"/>
      <c r="BS247" s="310"/>
      <c r="BT247" s="310"/>
      <c r="BU247" s="310"/>
      <c r="BV247" s="310"/>
      <c r="BW247" s="310"/>
      <c r="BX247" s="310"/>
      <c r="BY247" s="310"/>
      <c r="BZ247" s="310"/>
      <c r="CA247" s="310"/>
      <c r="CB247" s="310"/>
      <c r="CC247" s="310"/>
      <c r="CD247" s="310"/>
      <c r="CE247" s="310"/>
      <c r="CF247" s="310"/>
      <c r="CG247" s="310"/>
      <c r="CH247" s="310"/>
      <c r="CI247" s="310"/>
      <c r="CJ247" s="310"/>
      <c r="CK247" s="310"/>
      <c r="CL247" s="310"/>
      <c r="CM247" s="310"/>
      <c r="CN247" s="310"/>
      <c r="CO247" s="310"/>
      <c r="CP247" s="310"/>
      <c r="CQ247" s="310"/>
      <c r="CR247" s="310"/>
      <c r="CS247" s="310"/>
      <c r="CT247" s="310"/>
      <c r="CU247" s="310"/>
      <c r="CV247" s="310"/>
      <c r="CW247" s="310"/>
      <c r="CX247" s="310"/>
      <c r="CY247" s="310"/>
      <c r="CZ247" s="310"/>
      <c r="DA247" s="310"/>
      <c r="DB247" s="310"/>
      <c r="DC247" s="310"/>
      <c r="DD247" s="310"/>
      <c r="DE247" s="310"/>
      <c r="DF247" s="310"/>
      <c r="DG247" s="310"/>
      <c r="DH247" s="310"/>
      <c r="DI247" s="310"/>
      <c r="DJ247" s="310"/>
      <c r="DK247" s="310"/>
      <c r="DL247" s="310"/>
      <c r="DM247" s="310"/>
      <c r="DN247" s="310"/>
      <c r="DO247" s="310"/>
      <c r="DP247" s="310"/>
      <c r="DQ247" s="310"/>
      <c r="DR247" s="310"/>
      <c r="DS247" s="310"/>
      <c r="DT247" s="310"/>
      <c r="DU247" s="310"/>
      <c r="DV247" s="310"/>
      <c r="DW247" s="310"/>
      <c r="DX247" s="310"/>
      <c r="DY247" s="310"/>
      <c r="DZ247" s="310"/>
      <c r="EA247" s="310"/>
      <c r="EB247" s="310"/>
      <c r="EC247" s="310"/>
      <c r="ED247" s="310"/>
      <c r="EE247" s="310"/>
      <c r="EF247" s="310"/>
      <c r="EG247" s="310"/>
      <c r="EH247" s="310"/>
      <c r="EI247" s="310"/>
      <c r="EJ247" s="310"/>
      <c r="EK247" s="310"/>
      <c r="EL247" s="310"/>
      <c r="EM247" s="310"/>
      <c r="EN247" s="310"/>
      <c r="EO247" s="310"/>
      <c r="EP247" s="310"/>
      <c r="EQ247" s="310"/>
      <c r="ER247" s="310"/>
      <c r="ES247" s="310"/>
      <c r="ET247" s="310"/>
      <c r="EU247" s="310"/>
      <c r="EV247" s="310"/>
      <c r="EW247" s="310"/>
      <c r="EX247" s="310"/>
      <c r="EY247" s="310"/>
      <c r="EZ247" s="310"/>
      <c r="FA247" s="310"/>
      <c r="FB247" s="310"/>
      <c r="FC247" s="310"/>
      <c r="FD247" s="310"/>
      <c r="FE247" s="311"/>
      <c r="FF247" s="312"/>
    </row>
    <row r="248" spans="1:162" ht="12.75" x14ac:dyDescent="0.2">
      <c r="A248" s="446">
        <v>241</v>
      </c>
      <c r="B248" s="447" t="s">
        <v>365</v>
      </c>
      <c r="C248" s="448" t="s">
        <v>1093</v>
      </c>
      <c r="D248" s="449" t="s">
        <v>1096</v>
      </c>
      <c r="E248" s="450" t="s">
        <v>364</v>
      </c>
      <c r="F248" s="451">
        <v>39476177</v>
      </c>
      <c r="G248" s="451">
        <v>0</v>
      </c>
      <c r="H248" s="451">
        <v>0</v>
      </c>
      <c r="I248" s="451">
        <v>39476177</v>
      </c>
      <c r="J248" s="451">
        <v>444946</v>
      </c>
      <c r="K248" s="451">
        <v>0</v>
      </c>
      <c r="L248" s="451">
        <v>0</v>
      </c>
      <c r="M248" s="451">
        <v>444946</v>
      </c>
      <c r="N248" s="451">
        <v>101000</v>
      </c>
      <c r="O248" s="451">
        <v>0</v>
      </c>
      <c r="P248" s="451">
        <v>0</v>
      </c>
      <c r="Q248" s="451">
        <v>101000</v>
      </c>
      <c r="R248" s="451">
        <v>347700</v>
      </c>
      <c r="S248" s="451">
        <v>0</v>
      </c>
      <c r="T248" s="451">
        <v>0</v>
      </c>
      <c r="U248" s="451">
        <v>347700</v>
      </c>
      <c r="V248" s="451">
        <v>923580</v>
      </c>
      <c r="W248" s="451">
        <v>0</v>
      </c>
      <c r="X248" s="451">
        <v>0</v>
      </c>
      <c r="Y248" s="451">
        <v>923580</v>
      </c>
      <c r="Z248" s="451">
        <v>37658951</v>
      </c>
      <c r="AA248" s="451">
        <v>0</v>
      </c>
      <c r="AB248" s="451">
        <v>0</v>
      </c>
      <c r="AC248" s="451">
        <v>37658951</v>
      </c>
      <c r="AD248" s="451">
        <v>0</v>
      </c>
      <c r="AE248" s="451">
        <v>0</v>
      </c>
      <c r="AF248" s="451">
        <v>0</v>
      </c>
      <c r="AG248" s="451">
        <v>0</v>
      </c>
      <c r="AH248" s="451">
        <v>0</v>
      </c>
      <c r="AI248" s="451">
        <v>0</v>
      </c>
      <c r="AJ248" s="451">
        <v>0</v>
      </c>
      <c r="AK248" s="451">
        <v>0</v>
      </c>
      <c r="AL248" s="451">
        <v>0</v>
      </c>
      <c r="AM248" s="451">
        <v>0</v>
      </c>
      <c r="AN248" s="451">
        <v>0</v>
      </c>
      <c r="AO248" s="451">
        <v>1740689</v>
      </c>
      <c r="AP248" s="451">
        <v>-737698</v>
      </c>
      <c r="AQ248" s="324"/>
      <c r="AR248" s="310"/>
      <c r="AS248" s="310"/>
      <c r="AT248" s="310"/>
      <c r="AU248" s="310"/>
      <c r="AV248" s="310"/>
      <c r="AW248" s="310"/>
      <c r="AX248" s="310"/>
      <c r="AY248" s="310"/>
      <c r="AZ248" s="310"/>
      <c r="BA248" s="310"/>
      <c r="BB248" s="310"/>
      <c r="BC248" s="310"/>
      <c r="BD248" s="310"/>
      <c r="BE248" s="310"/>
      <c r="BF248" s="310"/>
      <c r="BG248" s="310"/>
      <c r="BH248" s="310"/>
      <c r="BI248" s="310"/>
      <c r="BJ248" s="310"/>
      <c r="BK248" s="310"/>
      <c r="BL248" s="310"/>
      <c r="BM248" s="310"/>
      <c r="BN248" s="310"/>
      <c r="BO248" s="310"/>
      <c r="BP248" s="310"/>
      <c r="BQ248" s="310"/>
      <c r="BR248" s="310"/>
      <c r="BS248" s="310"/>
      <c r="BT248" s="310"/>
      <c r="BU248" s="310"/>
      <c r="BV248" s="310"/>
      <c r="BW248" s="310"/>
      <c r="BX248" s="310"/>
      <c r="BY248" s="310"/>
      <c r="BZ248" s="310"/>
      <c r="CA248" s="310"/>
      <c r="CB248" s="310"/>
      <c r="CC248" s="310"/>
      <c r="CD248" s="310"/>
      <c r="CE248" s="310"/>
      <c r="CF248" s="310"/>
      <c r="CG248" s="310"/>
      <c r="CH248" s="310"/>
      <c r="CI248" s="310"/>
      <c r="CJ248" s="310"/>
      <c r="CK248" s="310"/>
      <c r="CL248" s="310"/>
      <c r="CM248" s="310"/>
      <c r="CN248" s="310"/>
      <c r="CO248" s="310"/>
      <c r="CP248" s="310"/>
      <c r="CQ248" s="310"/>
      <c r="CR248" s="310"/>
      <c r="CS248" s="310"/>
      <c r="CT248" s="310"/>
      <c r="CU248" s="310"/>
      <c r="CV248" s="310"/>
      <c r="CW248" s="310"/>
      <c r="CX248" s="310"/>
      <c r="CY248" s="310"/>
      <c r="CZ248" s="310"/>
      <c r="DA248" s="310"/>
      <c r="DB248" s="310"/>
      <c r="DC248" s="310"/>
      <c r="DD248" s="310"/>
      <c r="DE248" s="310"/>
      <c r="DF248" s="310"/>
      <c r="DG248" s="310"/>
      <c r="DH248" s="310"/>
      <c r="DI248" s="310"/>
      <c r="DJ248" s="310"/>
      <c r="DK248" s="310"/>
      <c r="DL248" s="310"/>
      <c r="DM248" s="310"/>
      <c r="DN248" s="310"/>
      <c r="DO248" s="310"/>
      <c r="DP248" s="310"/>
      <c r="DQ248" s="310"/>
      <c r="DR248" s="310"/>
      <c r="DS248" s="310"/>
      <c r="DT248" s="310"/>
      <c r="DU248" s="310"/>
      <c r="DV248" s="310"/>
      <c r="DW248" s="310"/>
      <c r="DX248" s="310"/>
      <c r="DY248" s="310"/>
      <c r="DZ248" s="310"/>
      <c r="EA248" s="310"/>
      <c r="EB248" s="310"/>
      <c r="EC248" s="310"/>
      <c r="ED248" s="310"/>
      <c r="EE248" s="310"/>
      <c r="EF248" s="310"/>
      <c r="EG248" s="310"/>
      <c r="EH248" s="310"/>
      <c r="EI248" s="310"/>
      <c r="EJ248" s="310"/>
      <c r="EK248" s="310"/>
      <c r="EL248" s="310"/>
      <c r="EM248" s="310"/>
      <c r="EN248" s="310"/>
      <c r="EO248" s="310"/>
      <c r="EP248" s="310"/>
      <c r="EQ248" s="310"/>
      <c r="ER248" s="310"/>
      <c r="ES248" s="310"/>
      <c r="ET248" s="310"/>
      <c r="EU248" s="310"/>
      <c r="EV248" s="310"/>
      <c r="EW248" s="310"/>
      <c r="EX248" s="310"/>
      <c r="EY248" s="310"/>
      <c r="EZ248" s="310"/>
      <c r="FA248" s="310"/>
      <c r="FB248" s="310"/>
      <c r="FC248" s="310"/>
      <c r="FD248" s="310"/>
      <c r="FE248" s="311"/>
      <c r="FF248" s="312"/>
    </row>
    <row r="249" spans="1:162" ht="12.75" x14ac:dyDescent="0.2">
      <c r="A249" s="446">
        <v>242</v>
      </c>
      <c r="B249" s="447" t="s">
        <v>367</v>
      </c>
      <c r="C249" s="448" t="s">
        <v>1093</v>
      </c>
      <c r="D249" s="449" t="s">
        <v>1095</v>
      </c>
      <c r="E249" s="450" t="s">
        <v>366</v>
      </c>
      <c r="F249" s="451">
        <v>39936183.200000003</v>
      </c>
      <c r="G249" s="451">
        <v>0</v>
      </c>
      <c r="H249" s="451">
        <v>0</v>
      </c>
      <c r="I249" s="451">
        <v>39936183.200000003</v>
      </c>
      <c r="J249" s="451">
        <v>275791.86</v>
      </c>
      <c r="K249" s="451">
        <v>0</v>
      </c>
      <c r="L249" s="451">
        <v>0</v>
      </c>
      <c r="M249" s="451">
        <v>275791.86</v>
      </c>
      <c r="N249" s="451">
        <v>145378.85999999999</v>
      </c>
      <c r="O249" s="451">
        <v>0</v>
      </c>
      <c r="P249" s="451">
        <v>0</v>
      </c>
      <c r="Q249" s="451">
        <v>145378.85999999999</v>
      </c>
      <c r="R249" s="451">
        <v>532000</v>
      </c>
      <c r="S249" s="451">
        <v>0</v>
      </c>
      <c r="T249" s="451">
        <v>0</v>
      </c>
      <c r="U249" s="451">
        <v>532000</v>
      </c>
      <c r="V249" s="451">
        <v>1258000</v>
      </c>
      <c r="W249" s="451">
        <v>0</v>
      </c>
      <c r="X249" s="451">
        <v>0</v>
      </c>
      <c r="Y249" s="451">
        <v>1258000</v>
      </c>
      <c r="Z249" s="451">
        <v>37725012</v>
      </c>
      <c r="AA249" s="451">
        <v>0</v>
      </c>
      <c r="AB249" s="451">
        <v>0</v>
      </c>
      <c r="AC249" s="451">
        <v>37725012</v>
      </c>
      <c r="AD249" s="451">
        <v>0</v>
      </c>
      <c r="AE249" s="451">
        <v>0</v>
      </c>
      <c r="AF249" s="451">
        <v>0</v>
      </c>
      <c r="AG249" s="451">
        <v>0</v>
      </c>
      <c r="AH249" s="451">
        <v>0</v>
      </c>
      <c r="AI249" s="451">
        <v>0</v>
      </c>
      <c r="AJ249" s="451">
        <v>0</v>
      </c>
      <c r="AK249" s="451">
        <v>0</v>
      </c>
      <c r="AL249" s="451">
        <v>0</v>
      </c>
      <c r="AM249" s="451">
        <v>0</v>
      </c>
      <c r="AN249" s="451">
        <v>0</v>
      </c>
      <c r="AO249" s="451">
        <v>1450038.02</v>
      </c>
      <c r="AP249" s="451">
        <v>589184.6</v>
      </c>
      <c r="AQ249" s="324"/>
      <c r="AR249" s="310"/>
      <c r="AS249" s="310"/>
      <c r="AT249" s="310"/>
      <c r="AU249" s="310"/>
      <c r="AV249" s="310"/>
      <c r="AW249" s="310"/>
      <c r="AX249" s="310"/>
      <c r="AY249" s="310"/>
      <c r="AZ249" s="310"/>
      <c r="BA249" s="310"/>
      <c r="BB249" s="310"/>
      <c r="BC249" s="310"/>
      <c r="BD249" s="310"/>
      <c r="BE249" s="310"/>
      <c r="BF249" s="310"/>
      <c r="BG249" s="310"/>
      <c r="BH249" s="310"/>
      <c r="BI249" s="310"/>
      <c r="BJ249" s="310"/>
      <c r="BK249" s="310"/>
      <c r="BL249" s="310"/>
      <c r="BM249" s="310"/>
      <c r="BN249" s="310"/>
      <c r="BO249" s="310"/>
      <c r="BP249" s="310"/>
      <c r="BQ249" s="310"/>
      <c r="BR249" s="310"/>
      <c r="BS249" s="310"/>
      <c r="BT249" s="310"/>
      <c r="BU249" s="310"/>
      <c r="BV249" s="310"/>
      <c r="BW249" s="310"/>
      <c r="BX249" s="310"/>
      <c r="BY249" s="310"/>
      <c r="BZ249" s="310"/>
      <c r="CA249" s="310"/>
      <c r="CB249" s="310"/>
      <c r="CC249" s="310"/>
      <c r="CD249" s="310"/>
      <c r="CE249" s="310"/>
      <c r="CF249" s="310"/>
      <c r="CG249" s="310"/>
      <c r="CH249" s="310"/>
      <c r="CI249" s="310"/>
      <c r="CJ249" s="310"/>
      <c r="CK249" s="310"/>
      <c r="CL249" s="310"/>
      <c r="CM249" s="310"/>
      <c r="CN249" s="310"/>
      <c r="CO249" s="310"/>
      <c r="CP249" s="310"/>
      <c r="CQ249" s="310"/>
      <c r="CR249" s="310"/>
      <c r="CS249" s="310"/>
      <c r="CT249" s="310"/>
      <c r="CU249" s="310"/>
      <c r="CV249" s="310"/>
      <c r="CW249" s="310"/>
      <c r="CX249" s="310"/>
      <c r="CY249" s="310"/>
      <c r="CZ249" s="310"/>
      <c r="DA249" s="310"/>
      <c r="DB249" s="310"/>
      <c r="DC249" s="310"/>
      <c r="DD249" s="310"/>
      <c r="DE249" s="310"/>
      <c r="DF249" s="310"/>
      <c r="DG249" s="310"/>
      <c r="DH249" s="310"/>
      <c r="DI249" s="310"/>
      <c r="DJ249" s="310"/>
      <c r="DK249" s="310"/>
      <c r="DL249" s="310"/>
      <c r="DM249" s="310"/>
      <c r="DN249" s="310"/>
      <c r="DO249" s="310"/>
      <c r="DP249" s="310"/>
      <c r="DQ249" s="310"/>
      <c r="DR249" s="310"/>
      <c r="DS249" s="310"/>
      <c r="DT249" s="310"/>
      <c r="DU249" s="310"/>
      <c r="DV249" s="310"/>
      <c r="DW249" s="310"/>
      <c r="DX249" s="310"/>
      <c r="DY249" s="310"/>
      <c r="DZ249" s="310"/>
      <c r="EA249" s="310"/>
      <c r="EB249" s="310"/>
      <c r="EC249" s="310"/>
      <c r="ED249" s="310"/>
      <c r="EE249" s="310"/>
      <c r="EF249" s="310"/>
      <c r="EG249" s="310"/>
      <c r="EH249" s="310"/>
      <c r="EI249" s="310"/>
      <c r="EJ249" s="310"/>
      <c r="EK249" s="310"/>
      <c r="EL249" s="310"/>
      <c r="EM249" s="310"/>
      <c r="EN249" s="310"/>
      <c r="EO249" s="310"/>
      <c r="EP249" s="310"/>
      <c r="EQ249" s="310"/>
      <c r="ER249" s="310"/>
      <c r="ES249" s="310"/>
      <c r="ET249" s="310"/>
      <c r="EU249" s="310"/>
      <c r="EV249" s="310"/>
      <c r="EW249" s="310"/>
      <c r="EX249" s="310"/>
      <c r="EY249" s="310"/>
      <c r="EZ249" s="310"/>
      <c r="FA249" s="310"/>
      <c r="FB249" s="310"/>
      <c r="FC249" s="310"/>
      <c r="FD249" s="310"/>
      <c r="FE249" s="311"/>
      <c r="FF249" s="312"/>
    </row>
    <row r="250" spans="1:162" ht="12.75" x14ac:dyDescent="0.2">
      <c r="A250" s="446">
        <v>243</v>
      </c>
      <c r="B250" s="447" t="s">
        <v>369</v>
      </c>
      <c r="C250" s="448" t="s">
        <v>1093</v>
      </c>
      <c r="D250" s="449" t="s">
        <v>1097</v>
      </c>
      <c r="E250" s="450" t="s">
        <v>368</v>
      </c>
      <c r="F250" s="451">
        <v>28097228</v>
      </c>
      <c r="G250" s="451">
        <v>0</v>
      </c>
      <c r="H250" s="451">
        <v>0</v>
      </c>
      <c r="I250" s="451">
        <v>28097228</v>
      </c>
      <c r="J250" s="451">
        <v>37123</v>
      </c>
      <c r="K250" s="451">
        <v>0</v>
      </c>
      <c r="L250" s="451">
        <v>0</v>
      </c>
      <c r="M250" s="451">
        <v>37123</v>
      </c>
      <c r="N250" s="451">
        <v>122435</v>
      </c>
      <c r="O250" s="451">
        <v>0</v>
      </c>
      <c r="P250" s="451">
        <v>0</v>
      </c>
      <c r="Q250" s="451">
        <v>122435</v>
      </c>
      <c r="R250" s="451">
        <v>240523</v>
      </c>
      <c r="S250" s="451">
        <v>0</v>
      </c>
      <c r="T250" s="451">
        <v>0</v>
      </c>
      <c r="U250" s="451">
        <v>240523</v>
      </c>
      <c r="V250" s="451">
        <v>713285</v>
      </c>
      <c r="W250" s="451">
        <v>0</v>
      </c>
      <c r="X250" s="451">
        <v>0</v>
      </c>
      <c r="Y250" s="451">
        <v>713285</v>
      </c>
      <c r="Z250" s="451">
        <v>26983862</v>
      </c>
      <c r="AA250" s="451">
        <v>0</v>
      </c>
      <c r="AB250" s="451">
        <v>0</v>
      </c>
      <c r="AC250" s="451">
        <v>26983862</v>
      </c>
      <c r="AD250" s="451">
        <v>0</v>
      </c>
      <c r="AE250" s="451">
        <v>0</v>
      </c>
      <c r="AF250" s="451">
        <v>0</v>
      </c>
      <c r="AG250" s="451">
        <v>0</v>
      </c>
      <c r="AH250" s="451">
        <v>0</v>
      </c>
      <c r="AI250" s="451">
        <v>0</v>
      </c>
      <c r="AJ250" s="451">
        <v>0</v>
      </c>
      <c r="AK250" s="451">
        <v>0</v>
      </c>
      <c r="AL250" s="451">
        <v>0</v>
      </c>
      <c r="AM250" s="451">
        <v>0</v>
      </c>
      <c r="AN250" s="451">
        <v>0</v>
      </c>
      <c r="AO250" s="451">
        <v>1074937</v>
      </c>
      <c r="AP250" s="451">
        <v>189769</v>
      </c>
      <c r="AQ250" s="324"/>
      <c r="AR250" s="310"/>
      <c r="AS250" s="310"/>
      <c r="AT250" s="310"/>
      <c r="AU250" s="310"/>
      <c r="AV250" s="310"/>
      <c r="AW250" s="310"/>
      <c r="AX250" s="310"/>
      <c r="AY250" s="310"/>
      <c r="AZ250" s="310"/>
      <c r="BA250" s="310"/>
      <c r="BB250" s="310"/>
      <c r="BC250" s="310"/>
      <c r="BD250" s="310"/>
      <c r="BE250" s="310"/>
      <c r="BF250" s="310"/>
      <c r="BG250" s="310"/>
      <c r="BH250" s="310"/>
      <c r="BI250" s="310"/>
      <c r="BJ250" s="310"/>
      <c r="BK250" s="310"/>
      <c r="BL250" s="310"/>
      <c r="BM250" s="310"/>
      <c r="BN250" s="310"/>
      <c r="BO250" s="310"/>
      <c r="BP250" s="310"/>
      <c r="BQ250" s="310"/>
      <c r="BR250" s="310"/>
      <c r="BS250" s="310"/>
      <c r="BT250" s="310"/>
      <c r="BU250" s="310"/>
      <c r="BV250" s="310"/>
      <c r="BW250" s="310"/>
      <c r="BX250" s="310"/>
      <c r="BY250" s="310"/>
      <c r="BZ250" s="310"/>
      <c r="CA250" s="310"/>
      <c r="CB250" s="310"/>
      <c r="CC250" s="310"/>
      <c r="CD250" s="310"/>
      <c r="CE250" s="310"/>
      <c r="CF250" s="310"/>
      <c r="CG250" s="310"/>
      <c r="CH250" s="310"/>
      <c r="CI250" s="310"/>
      <c r="CJ250" s="310"/>
      <c r="CK250" s="310"/>
      <c r="CL250" s="310"/>
      <c r="CM250" s="310"/>
      <c r="CN250" s="310"/>
      <c r="CO250" s="310"/>
      <c r="CP250" s="310"/>
      <c r="CQ250" s="310"/>
      <c r="CR250" s="310"/>
      <c r="CS250" s="310"/>
      <c r="CT250" s="310"/>
      <c r="CU250" s="310"/>
      <c r="CV250" s="310"/>
      <c r="CW250" s="310"/>
      <c r="CX250" s="310"/>
      <c r="CY250" s="310"/>
      <c r="CZ250" s="310"/>
      <c r="DA250" s="310"/>
      <c r="DB250" s="310"/>
      <c r="DC250" s="310"/>
      <c r="DD250" s="310"/>
      <c r="DE250" s="310"/>
      <c r="DF250" s="310"/>
      <c r="DG250" s="310"/>
      <c r="DH250" s="310"/>
      <c r="DI250" s="310"/>
      <c r="DJ250" s="310"/>
      <c r="DK250" s="310"/>
      <c r="DL250" s="310"/>
      <c r="DM250" s="310"/>
      <c r="DN250" s="310"/>
      <c r="DO250" s="310"/>
      <c r="DP250" s="310"/>
      <c r="DQ250" s="310"/>
      <c r="DR250" s="310"/>
      <c r="DS250" s="310"/>
      <c r="DT250" s="310"/>
      <c r="DU250" s="310"/>
      <c r="DV250" s="310"/>
      <c r="DW250" s="310"/>
      <c r="DX250" s="310"/>
      <c r="DY250" s="310"/>
      <c r="DZ250" s="310"/>
      <c r="EA250" s="310"/>
      <c r="EB250" s="310"/>
      <c r="EC250" s="310"/>
      <c r="ED250" s="310"/>
      <c r="EE250" s="310"/>
      <c r="EF250" s="310"/>
      <c r="EG250" s="310"/>
      <c r="EH250" s="310"/>
      <c r="EI250" s="310"/>
      <c r="EJ250" s="310"/>
      <c r="EK250" s="310"/>
      <c r="EL250" s="310"/>
      <c r="EM250" s="310"/>
      <c r="EN250" s="310"/>
      <c r="EO250" s="310"/>
      <c r="EP250" s="310"/>
      <c r="EQ250" s="310"/>
      <c r="ER250" s="310"/>
      <c r="ES250" s="310"/>
      <c r="ET250" s="310"/>
      <c r="EU250" s="310"/>
      <c r="EV250" s="310"/>
      <c r="EW250" s="310"/>
      <c r="EX250" s="310"/>
      <c r="EY250" s="310"/>
      <c r="EZ250" s="310"/>
      <c r="FA250" s="310"/>
      <c r="FB250" s="310"/>
      <c r="FC250" s="310"/>
      <c r="FD250" s="310"/>
      <c r="FE250" s="311"/>
      <c r="FF250" s="312"/>
    </row>
    <row r="251" spans="1:162" ht="12.75" x14ac:dyDescent="0.2">
      <c r="A251" s="446">
        <v>244</v>
      </c>
      <c r="B251" s="447" t="s">
        <v>371</v>
      </c>
      <c r="C251" s="448" t="s">
        <v>1093</v>
      </c>
      <c r="D251" s="449" t="s">
        <v>1096</v>
      </c>
      <c r="E251" s="450" t="s">
        <v>370</v>
      </c>
      <c r="F251" s="451">
        <v>20239345</v>
      </c>
      <c r="G251" s="451">
        <v>0</v>
      </c>
      <c r="H251" s="451">
        <v>0</v>
      </c>
      <c r="I251" s="451">
        <v>20239345</v>
      </c>
      <c r="J251" s="451">
        <v>146593</v>
      </c>
      <c r="K251" s="451">
        <v>0</v>
      </c>
      <c r="L251" s="451">
        <v>0</v>
      </c>
      <c r="M251" s="451">
        <v>146593</v>
      </c>
      <c r="N251" s="451">
        <v>88021</v>
      </c>
      <c r="O251" s="451">
        <v>0</v>
      </c>
      <c r="P251" s="451">
        <v>0</v>
      </c>
      <c r="Q251" s="451">
        <v>88021</v>
      </c>
      <c r="R251" s="451">
        <v>46500</v>
      </c>
      <c r="S251" s="451">
        <v>0</v>
      </c>
      <c r="T251" s="451">
        <v>0</v>
      </c>
      <c r="U251" s="451">
        <v>46500</v>
      </c>
      <c r="V251" s="451">
        <v>626656</v>
      </c>
      <c r="W251" s="451">
        <v>0</v>
      </c>
      <c r="X251" s="451">
        <v>0</v>
      </c>
      <c r="Y251" s="451">
        <v>626656</v>
      </c>
      <c r="Z251" s="451">
        <v>19331575</v>
      </c>
      <c r="AA251" s="451">
        <v>0</v>
      </c>
      <c r="AB251" s="451">
        <v>0</v>
      </c>
      <c r="AC251" s="451">
        <v>19331575</v>
      </c>
      <c r="AD251" s="451">
        <v>0</v>
      </c>
      <c r="AE251" s="451">
        <v>0</v>
      </c>
      <c r="AF251" s="451">
        <v>0</v>
      </c>
      <c r="AG251" s="451">
        <v>0</v>
      </c>
      <c r="AH251" s="451">
        <v>0</v>
      </c>
      <c r="AI251" s="451">
        <v>0</v>
      </c>
      <c r="AJ251" s="451">
        <v>0</v>
      </c>
      <c r="AK251" s="451">
        <v>0</v>
      </c>
      <c r="AL251" s="451">
        <v>0</v>
      </c>
      <c r="AM251" s="451">
        <v>0</v>
      </c>
      <c r="AN251" s="451">
        <v>0</v>
      </c>
      <c r="AO251" s="451">
        <v>438470</v>
      </c>
      <c r="AP251" s="451">
        <v>397060</v>
      </c>
      <c r="AQ251" s="324"/>
      <c r="AR251" s="310"/>
      <c r="AS251" s="310"/>
      <c r="AT251" s="310"/>
      <c r="AU251" s="310"/>
      <c r="AV251" s="310"/>
      <c r="AW251" s="310"/>
      <c r="AX251" s="310"/>
      <c r="AY251" s="310"/>
      <c r="AZ251" s="310"/>
      <c r="BA251" s="310"/>
      <c r="BB251" s="310"/>
      <c r="BC251" s="310"/>
      <c r="BD251" s="310"/>
      <c r="BE251" s="310"/>
      <c r="BF251" s="310"/>
      <c r="BG251" s="310"/>
      <c r="BH251" s="310"/>
      <c r="BI251" s="310"/>
      <c r="BJ251" s="310"/>
      <c r="BK251" s="310"/>
      <c r="BL251" s="310"/>
      <c r="BM251" s="310"/>
      <c r="BN251" s="310"/>
      <c r="BO251" s="310"/>
      <c r="BP251" s="310"/>
      <c r="BQ251" s="310"/>
      <c r="BR251" s="310"/>
      <c r="BS251" s="310"/>
      <c r="BT251" s="310"/>
      <c r="BU251" s="310"/>
      <c r="BV251" s="310"/>
      <c r="BW251" s="310"/>
      <c r="BX251" s="310"/>
      <c r="BY251" s="310"/>
      <c r="BZ251" s="310"/>
      <c r="CA251" s="310"/>
      <c r="CB251" s="310"/>
      <c r="CC251" s="310"/>
      <c r="CD251" s="310"/>
      <c r="CE251" s="310"/>
      <c r="CF251" s="310"/>
      <c r="CG251" s="310"/>
      <c r="CH251" s="310"/>
      <c r="CI251" s="310"/>
      <c r="CJ251" s="310"/>
      <c r="CK251" s="310"/>
      <c r="CL251" s="310"/>
      <c r="CM251" s="310"/>
      <c r="CN251" s="310"/>
      <c r="CO251" s="310"/>
      <c r="CP251" s="310"/>
      <c r="CQ251" s="310"/>
      <c r="CR251" s="310"/>
      <c r="CS251" s="310"/>
      <c r="CT251" s="310"/>
      <c r="CU251" s="310"/>
      <c r="CV251" s="310"/>
      <c r="CW251" s="310"/>
      <c r="CX251" s="310"/>
      <c r="CY251" s="310"/>
      <c r="CZ251" s="310"/>
      <c r="DA251" s="310"/>
      <c r="DB251" s="310"/>
      <c r="DC251" s="310"/>
      <c r="DD251" s="310"/>
      <c r="DE251" s="310"/>
      <c r="DF251" s="310"/>
      <c r="DG251" s="310"/>
      <c r="DH251" s="310"/>
      <c r="DI251" s="310"/>
      <c r="DJ251" s="310"/>
      <c r="DK251" s="310"/>
      <c r="DL251" s="310"/>
      <c r="DM251" s="310"/>
      <c r="DN251" s="310"/>
      <c r="DO251" s="310"/>
      <c r="DP251" s="310"/>
      <c r="DQ251" s="310"/>
      <c r="DR251" s="310"/>
      <c r="DS251" s="310"/>
      <c r="DT251" s="310"/>
      <c r="DU251" s="310"/>
      <c r="DV251" s="310"/>
      <c r="DW251" s="310"/>
      <c r="DX251" s="310"/>
      <c r="DY251" s="310"/>
      <c r="DZ251" s="310"/>
      <c r="EA251" s="310"/>
      <c r="EB251" s="310"/>
      <c r="EC251" s="310"/>
      <c r="ED251" s="310"/>
      <c r="EE251" s="310"/>
      <c r="EF251" s="310"/>
      <c r="EG251" s="310"/>
      <c r="EH251" s="310"/>
      <c r="EI251" s="310"/>
      <c r="EJ251" s="310"/>
      <c r="EK251" s="310"/>
      <c r="EL251" s="310"/>
      <c r="EM251" s="310"/>
      <c r="EN251" s="310"/>
      <c r="EO251" s="310"/>
      <c r="EP251" s="310"/>
      <c r="EQ251" s="310"/>
      <c r="ER251" s="310"/>
      <c r="ES251" s="310"/>
      <c r="ET251" s="310"/>
      <c r="EU251" s="310"/>
      <c r="EV251" s="310"/>
      <c r="EW251" s="310"/>
      <c r="EX251" s="310"/>
      <c r="EY251" s="310"/>
      <c r="EZ251" s="310"/>
      <c r="FA251" s="310"/>
      <c r="FB251" s="310"/>
      <c r="FC251" s="310"/>
      <c r="FD251" s="310"/>
      <c r="FE251" s="311"/>
      <c r="FF251" s="312"/>
    </row>
    <row r="252" spans="1:162" ht="12.75" x14ac:dyDescent="0.2">
      <c r="A252" s="446">
        <v>245</v>
      </c>
      <c r="B252" s="447" t="s">
        <v>373</v>
      </c>
      <c r="C252" s="448" t="s">
        <v>1093</v>
      </c>
      <c r="D252" s="449" t="s">
        <v>1094</v>
      </c>
      <c r="E252" s="450" t="s">
        <v>372</v>
      </c>
      <c r="F252" s="451">
        <v>41935195</v>
      </c>
      <c r="G252" s="451">
        <v>0</v>
      </c>
      <c r="H252" s="451">
        <v>0</v>
      </c>
      <c r="I252" s="451">
        <v>41935195</v>
      </c>
      <c r="J252" s="451">
        <v>385246</v>
      </c>
      <c r="K252" s="451">
        <v>0</v>
      </c>
      <c r="L252" s="451">
        <v>0</v>
      </c>
      <c r="M252" s="451">
        <v>385246</v>
      </c>
      <c r="N252" s="451">
        <v>-217600</v>
      </c>
      <c r="O252" s="451">
        <v>0</v>
      </c>
      <c r="P252" s="451">
        <v>0</v>
      </c>
      <c r="Q252" s="451">
        <v>-217600</v>
      </c>
      <c r="R252" s="451">
        <v>256995</v>
      </c>
      <c r="S252" s="451">
        <v>0</v>
      </c>
      <c r="T252" s="451">
        <v>0</v>
      </c>
      <c r="U252" s="451">
        <v>256995</v>
      </c>
      <c r="V252" s="451">
        <v>1351525</v>
      </c>
      <c r="W252" s="451">
        <v>0</v>
      </c>
      <c r="X252" s="451">
        <v>0</v>
      </c>
      <c r="Y252" s="451">
        <v>1351525</v>
      </c>
      <c r="Z252" s="451">
        <v>40159029</v>
      </c>
      <c r="AA252" s="451">
        <v>0</v>
      </c>
      <c r="AB252" s="451">
        <v>0</v>
      </c>
      <c r="AC252" s="451">
        <v>40159029</v>
      </c>
      <c r="AD252" s="451">
        <v>0</v>
      </c>
      <c r="AE252" s="451">
        <v>0</v>
      </c>
      <c r="AF252" s="451">
        <v>0</v>
      </c>
      <c r="AG252" s="451">
        <v>0</v>
      </c>
      <c r="AH252" s="451">
        <v>0</v>
      </c>
      <c r="AI252" s="451">
        <v>0</v>
      </c>
      <c r="AJ252" s="451">
        <v>0</v>
      </c>
      <c r="AK252" s="451">
        <v>0</v>
      </c>
      <c r="AL252" s="451">
        <v>0</v>
      </c>
      <c r="AM252" s="451">
        <v>0</v>
      </c>
      <c r="AN252" s="451">
        <v>0</v>
      </c>
      <c r="AO252" s="451">
        <v>1865335</v>
      </c>
      <c r="AP252" s="451">
        <v>794235</v>
      </c>
      <c r="AQ252" s="324"/>
      <c r="AR252" s="310"/>
      <c r="AS252" s="310"/>
      <c r="AT252" s="310"/>
      <c r="AU252" s="310"/>
      <c r="AV252" s="310"/>
      <c r="AW252" s="310"/>
      <c r="AX252" s="310"/>
      <c r="AY252" s="310"/>
      <c r="AZ252" s="310"/>
      <c r="BA252" s="310"/>
      <c r="BB252" s="310"/>
      <c r="BC252" s="310"/>
      <c r="BD252" s="310"/>
      <c r="BE252" s="310"/>
      <c r="BF252" s="310"/>
      <c r="BG252" s="310"/>
      <c r="BH252" s="310"/>
      <c r="BI252" s="310"/>
      <c r="BJ252" s="310"/>
      <c r="BK252" s="310"/>
      <c r="BL252" s="310"/>
      <c r="BM252" s="310"/>
      <c r="BN252" s="310"/>
      <c r="BO252" s="310"/>
      <c r="BP252" s="310"/>
      <c r="BQ252" s="310"/>
      <c r="BR252" s="310"/>
      <c r="BS252" s="310"/>
      <c r="BT252" s="310"/>
      <c r="BU252" s="310"/>
      <c r="BV252" s="310"/>
      <c r="BW252" s="310"/>
      <c r="BX252" s="310"/>
      <c r="BY252" s="310"/>
      <c r="BZ252" s="310"/>
      <c r="CA252" s="310"/>
      <c r="CB252" s="310"/>
      <c r="CC252" s="310"/>
      <c r="CD252" s="310"/>
      <c r="CE252" s="310"/>
      <c r="CF252" s="310"/>
      <c r="CG252" s="310"/>
      <c r="CH252" s="310"/>
      <c r="CI252" s="310"/>
      <c r="CJ252" s="310"/>
      <c r="CK252" s="310"/>
      <c r="CL252" s="310"/>
      <c r="CM252" s="310"/>
      <c r="CN252" s="310"/>
      <c r="CO252" s="310"/>
      <c r="CP252" s="310"/>
      <c r="CQ252" s="310"/>
      <c r="CR252" s="310"/>
      <c r="CS252" s="310"/>
      <c r="CT252" s="310"/>
      <c r="CU252" s="310"/>
      <c r="CV252" s="310"/>
      <c r="CW252" s="310"/>
      <c r="CX252" s="310"/>
      <c r="CY252" s="310"/>
      <c r="CZ252" s="310"/>
      <c r="DA252" s="310"/>
      <c r="DB252" s="310"/>
      <c r="DC252" s="310"/>
      <c r="DD252" s="310"/>
      <c r="DE252" s="310"/>
      <c r="DF252" s="310"/>
      <c r="DG252" s="310"/>
      <c r="DH252" s="310"/>
      <c r="DI252" s="310"/>
      <c r="DJ252" s="310"/>
      <c r="DK252" s="310"/>
      <c r="DL252" s="310"/>
      <c r="DM252" s="310"/>
      <c r="DN252" s="310"/>
      <c r="DO252" s="310"/>
      <c r="DP252" s="310"/>
      <c r="DQ252" s="310"/>
      <c r="DR252" s="310"/>
      <c r="DS252" s="310"/>
      <c r="DT252" s="310"/>
      <c r="DU252" s="310"/>
      <c r="DV252" s="310"/>
      <c r="DW252" s="310"/>
      <c r="DX252" s="310"/>
      <c r="DY252" s="310"/>
      <c r="DZ252" s="310"/>
      <c r="EA252" s="310"/>
      <c r="EB252" s="310"/>
      <c r="EC252" s="310"/>
      <c r="ED252" s="310"/>
      <c r="EE252" s="310"/>
      <c r="EF252" s="310"/>
      <c r="EG252" s="310"/>
      <c r="EH252" s="310"/>
      <c r="EI252" s="310"/>
      <c r="EJ252" s="310"/>
      <c r="EK252" s="310"/>
      <c r="EL252" s="310"/>
      <c r="EM252" s="310"/>
      <c r="EN252" s="310"/>
      <c r="EO252" s="310"/>
      <c r="EP252" s="310"/>
      <c r="EQ252" s="310"/>
      <c r="ER252" s="310"/>
      <c r="ES252" s="310"/>
      <c r="ET252" s="310"/>
      <c r="EU252" s="310"/>
      <c r="EV252" s="310"/>
      <c r="EW252" s="310"/>
      <c r="EX252" s="310"/>
      <c r="EY252" s="310"/>
      <c r="EZ252" s="310"/>
      <c r="FA252" s="310"/>
      <c r="FB252" s="310"/>
      <c r="FC252" s="310"/>
      <c r="FD252" s="310"/>
      <c r="FE252" s="311"/>
      <c r="FF252" s="312"/>
    </row>
    <row r="253" spans="1:162" ht="12.75" x14ac:dyDescent="0.2">
      <c r="A253" s="446">
        <v>246</v>
      </c>
      <c r="B253" s="447" t="s">
        <v>375</v>
      </c>
      <c r="C253" s="448" t="s">
        <v>1093</v>
      </c>
      <c r="D253" s="449" t="s">
        <v>1095</v>
      </c>
      <c r="E253" s="450" t="s">
        <v>374</v>
      </c>
      <c r="F253" s="451">
        <v>35215212</v>
      </c>
      <c r="G253" s="451">
        <v>0</v>
      </c>
      <c r="H253" s="451">
        <v>0</v>
      </c>
      <c r="I253" s="451">
        <v>35215212</v>
      </c>
      <c r="J253" s="451">
        <v>240062</v>
      </c>
      <c r="K253" s="451">
        <v>0</v>
      </c>
      <c r="L253" s="451">
        <v>0</v>
      </c>
      <c r="M253" s="451">
        <v>240062</v>
      </c>
      <c r="N253" s="451">
        <v>-134484</v>
      </c>
      <c r="O253" s="451">
        <v>0</v>
      </c>
      <c r="P253" s="451">
        <v>0</v>
      </c>
      <c r="Q253" s="451">
        <v>-134484</v>
      </c>
      <c r="R253" s="451">
        <v>600000</v>
      </c>
      <c r="S253" s="451">
        <v>0</v>
      </c>
      <c r="T253" s="451">
        <v>0</v>
      </c>
      <c r="U253" s="451">
        <v>600000</v>
      </c>
      <c r="V253" s="451">
        <v>1900000</v>
      </c>
      <c r="W253" s="451">
        <v>0</v>
      </c>
      <c r="X253" s="451">
        <v>0</v>
      </c>
      <c r="Y253" s="451">
        <v>1900000</v>
      </c>
      <c r="Z253" s="451">
        <v>32609634</v>
      </c>
      <c r="AA253" s="451">
        <v>0</v>
      </c>
      <c r="AB253" s="451">
        <v>0</v>
      </c>
      <c r="AC253" s="451">
        <v>32609634</v>
      </c>
      <c r="AD253" s="451">
        <v>0</v>
      </c>
      <c r="AE253" s="451">
        <v>0</v>
      </c>
      <c r="AF253" s="451">
        <v>0</v>
      </c>
      <c r="AG253" s="451">
        <v>0</v>
      </c>
      <c r="AH253" s="451">
        <v>0</v>
      </c>
      <c r="AI253" s="451">
        <v>0</v>
      </c>
      <c r="AJ253" s="451">
        <v>0</v>
      </c>
      <c r="AK253" s="451">
        <v>0</v>
      </c>
      <c r="AL253" s="451">
        <v>0</v>
      </c>
      <c r="AM253" s="451">
        <v>0</v>
      </c>
      <c r="AN253" s="451">
        <v>0</v>
      </c>
      <c r="AO253" s="451">
        <v>1207245.94</v>
      </c>
      <c r="AP253" s="451">
        <v>323290</v>
      </c>
      <c r="AQ253" s="324"/>
      <c r="AR253" s="310"/>
      <c r="AS253" s="310"/>
      <c r="AT253" s="310"/>
      <c r="AU253" s="310"/>
      <c r="AV253" s="310"/>
      <c r="AW253" s="310"/>
      <c r="AX253" s="310"/>
      <c r="AY253" s="310"/>
      <c r="AZ253" s="310"/>
      <c r="BA253" s="310"/>
      <c r="BB253" s="310"/>
      <c r="BC253" s="310"/>
      <c r="BD253" s="310"/>
      <c r="BE253" s="310"/>
      <c r="BF253" s="310"/>
      <c r="BG253" s="310"/>
      <c r="BH253" s="310"/>
      <c r="BI253" s="310"/>
      <c r="BJ253" s="310"/>
      <c r="BK253" s="310"/>
      <c r="BL253" s="310"/>
      <c r="BM253" s="310"/>
      <c r="BN253" s="310"/>
      <c r="BO253" s="310"/>
      <c r="BP253" s="310"/>
      <c r="BQ253" s="310"/>
      <c r="BR253" s="310"/>
      <c r="BS253" s="310"/>
      <c r="BT253" s="310"/>
      <c r="BU253" s="310"/>
      <c r="BV253" s="310"/>
      <c r="BW253" s="310"/>
      <c r="BX253" s="310"/>
      <c r="BY253" s="310"/>
      <c r="BZ253" s="310"/>
      <c r="CA253" s="310"/>
      <c r="CB253" s="310"/>
      <c r="CC253" s="310"/>
      <c r="CD253" s="310"/>
      <c r="CE253" s="310"/>
      <c r="CF253" s="310"/>
      <c r="CG253" s="310"/>
      <c r="CH253" s="310"/>
      <c r="CI253" s="310"/>
      <c r="CJ253" s="310"/>
      <c r="CK253" s="310"/>
      <c r="CL253" s="310"/>
      <c r="CM253" s="310"/>
      <c r="CN253" s="310"/>
      <c r="CO253" s="310"/>
      <c r="CP253" s="310"/>
      <c r="CQ253" s="310"/>
      <c r="CR253" s="310"/>
      <c r="CS253" s="310"/>
      <c r="CT253" s="310"/>
      <c r="CU253" s="310"/>
      <c r="CV253" s="310"/>
      <c r="CW253" s="310"/>
      <c r="CX253" s="310"/>
      <c r="CY253" s="310"/>
      <c r="CZ253" s="310"/>
      <c r="DA253" s="310"/>
      <c r="DB253" s="310"/>
      <c r="DC253" s="310"/>
      <c r="DD253" s="310"/>
      <c r="DE253" s="310"/>
      <c r="DF253" s="310"/>
      <c r="DG253" s="310"/>
      <c r="DH253" s="310"/>
      <c r="DI253" s="310"/>
      <c r="DJ253" s="310"/>
      <c r="DK253" s="310"/>
      <c r="DL253" s="310"/>
      <c r="DM253" s="310"/>
      <c r="DN253" s="310"/>
      <c r="DO253" s="310"/>
      <c r="DP253" s="310"/>
      <c r="DQ253" s="310"/>
      <c r="DR253" s="310"/>
      <c r="DS253" s="310"/>
      <c r="DT253" s="310"/>
      <c r="DU253" s="310"/>
      <c r="DV253" s="310"/>
      <c r="DW253" s="310"/>
      <c r="DX253" s="310"/>
      <c r="DY253" s="310"/>
      <c r="DZ253" s="310"/>
      <c r="EA253" s="310"/>
      <c r="EB253" s="310"/>
      <c r="EC253" s="310"/>
      <c r="ED253" s="310"/>
      <c r="EE253" s="310"/>
      <c r="EF253" s="310"/>
      <c r="EG253" s="310"/>
      <c r="EH253" s="310"/>
      <c r="EI253" s="310"/>
      <c r="EJ253" s="310"/>
      <c r="EK253" s="310"/>
      <c r="EL253" s="310"/>
      <c r="EM253" s="310"/>
      <c r="EN253" s="310"/>
      <c r="EO253" s="310"/>
      <c r="EP253" s="310"/>
      <c r="EQ253" s="310"/>
      <c r="ER253" s="310"/>
      <c r="ES253" s="310"/>
      <c r="ET253" s="310"/>
      <c r="EU253" s="310"/>
      <c r="EV253" s="310"/>
      <c r="EW253" s="310"/>
      <c r="EX253" s="310"/>
      <c r="EY253" s="310"/>
      <c r="EZ253" s="310"/>
      <c r="FA253" s="310"/>
      <c r="FB253" s="310"/>
      <c r="FC253" s="310"/>
      <c r="FD253" s="310"/>
      <c r="FE253" s="311"/>
      <c r="FF253" s="312"/>
    </row>
    <row r="254" spans="1:162" ht="12.75" x14ac:dyDescent="0.2">
      <c r="A254" s="446">
        <v>247</v>
      </c>
      <c r="B254" s="447" t="s">
        <v>377</v>
      </c>
      <c r="C254" s="448" t="s">
        <v>1093</v>
      </c>
      <c r="D254" s="449" t="s">
        <v>1102</v>
      </c>
      <c r="E254" s="450" t="s">
        <v>376</v>
      </c>
      <c r="F254" s="451">
        <v>42677414</v>
      </c>
      <c r="G254" s="451">
        <v>0</v>
      </c>
      <c r="H254" s="451">
        <v>0</v>
      </c>
      <c r="I254" s="451">
        <v>42677414</v>
      </c>
      <c r="J254" s="451">
        <v>115927</v>
      </c>
      <c r="K254" s="451">
        <v>0</v>
      </c>
      <c r="L254" s="451">
        <v>0</v>
      </c>
      <c r="M254" s="451">
        <v>115927</v>
      </c>
      <c r="N254" s="451">
        <v>297100</v>
      </c>
      <c r="O254" s="451">
        <v>0</v>
      </c>
      <c r="P254" s="451">
        <v>0</v>
      </c>
      <c r="Q254" s="451">
        <v>297100</v>
      </c>
      <c r="R254" s="451">
        <v>490515</v>
      </c>
      <c r="S254" s="451">
        <v>0</v>
      </c>
      <c r="T254" s="451">
        <v>0</v>
      </c>
      <c r="U254" s="451">
        <v>490515</v>
      </c>
      <c r="V254" s="451">
        <v>1885549</v>
      </c>
      <c r="W254" s="451">
        <v>0</v>
      </c>
      <c r="X254" s="451">
        <v>0</v>
      </c>
      <c r="Y254" s="451">
        <v>1885549</v>
      </c>
      <c r="Z254" s="451">
        <v>39888323</v>
      </c>
      <c r="AA254" s="451">
        <v>0</v>
      </c>
      <c r="AB254" s="451">
        <v>0</v>
      </c>
      <c r="AC254" s="451">
        <v>39888323</v>
      </c>
      <c r="AD254" s="451">
        <v>8101.2</v>
      </c>
      <c r="AE254" s="451">
        <v>0</v>
      </c>
      <c r="AF254" s="451">
        <v>0</v>
      </c>
      <c r="AG254" s="451">
        <v>8101.2</v>
      </c>
      <c r="AH254" s="451">
        <v>0</v>
      </c>
      <c r="AI254" s="451">
        <v>0</v>
      </c>
      <c r="AJ254" s="451">
        <v>0</v>
      </c>
      <c r="AK254" s="451">
        <v>0</v>
      </c>
      <c r="AL254" s="451">
        <v>0</v>
      </c>
      <c r="AM254" s="451">
        <v>0</v>
      </c>
      <c r="AN254" s="451">
        <v>8101.2</v>
      </c>
      <c r="AO254" s="451">
        <v>2892041</v>
      </c>
      <c r="AP254" s="451">
        <v>509587</v>
      </c>
      <c r="AQ254" s="324"/>
      <c r="AR254" s="310"/>
      <c r="AS254" s="310"/>
      <c r="AT254" s="310"/>
      <c r="AU254" s="310"/>
      <c r="AV254" s="310"/>
      <c r="AW254" s="310"/>
      <c r="AX254" s="310"/>
      <c r="AY254" s="310"/>
      <c r="AZ254" s="310"/>
      <c r="BA254" s="310"/>
      <c r="BB254" s="310"/>
      <c r="BC254" s="310"/>
      <c r="BD254" s="310"/>
      <c r="BE254" s="310"/>
      <c r="BF254" s="310"/>
      <c r="BG254" s="310"/>
      <c r="BH254" s="310"/>
      <c r="BI254" s="310"/>
      <c r="BJ254" s="310"/>
      <c r="BK254" s="310"/>
      <c r="BL254" s="310"/>
      <c r="BM254" s="310"/>
      <c r="BN254" s="310"/>
      <c r="BO254" s="310"/>
      <c r="BP254" s="310"/>
      <c r="BQ254" s="310"/>
      <c r="BR254" s="310"/>
      <c r="BS254" s="310"/>
      <c r="BT254" s="310"/>
      <c r="BU254" s="310"/>
      <c r="BV254" s="310"/>
      <c r="BW254" s="310"/>
      <c r="BX254" s="310"/>
      <c r="BY254" s="310"/>
      <c r="BZ254" s="310"/>
      <c r="CA254" s="310"/>
      <c r="CB254" s="310"/>
      <c r="CC254" s="310"/>
      <c r="CD254" s="310"/>
      <c r="CE254" s="310"/>
      <c r="CF254" s="310"/>
      <c r="CG254" s="310"/>
      <c r="CH254" s="310"/>
      <c r="CI254" s="310"/>
      <c r="CJ254" s="310"/>
      <c r="CK254" s="310"/>
      <c r="CL254" s="310"/>
      <c r="CM254" s="310"/>
      <c r="CN254" s="310"/>
      <c r="CO254" s="310"/>
      <c r="CP254" s="310"/>
      <c r="CQ254" s="310"/>
      <c r="CR254" s="310"/>
      <c r="CS254" s="310"/>
      <c r="CT254" s="310"/>
      <c r="CU254" s="310"/>
      <c r="CV254" s="310"/>
      <c r="CW254" s="310"/>
      <c r="CX254" s="310"/>
      <c r="CY254" s="310"/>
      <c r="CZ254" s="310"/>
      <c r="DA254" s="310"/>
      <c r="DB254" s="310"/>
      <c r="DC254" s="310"/>
      <c r="DD254" s="310"/>
      <c r="DE254" s="310"/>
      <c r="DF254" s="310"/>
      <c r="DG254" s="310"/>
      <c r="DH254" s="310"/>
      <c r="DI254" s="310"/>
      <c r="DJ254" s="310"/>
      <c r="DK254" s="310"/>
      <c r="DL254" s="310"/>
      <c r="DM254" s="310"/>
      <c r="DN254" s="310"/>
      <c r="DO254" s="310"/>
      <c r="DP254" s="310"/>
      <c r="DQ254" s="310"/>
      <c r="DR254" s="310"/>
      <c r="DS254" s="310"/>
      <c r="DT254" s="310"/>
      <c r="DU254" s="310"/>
      <c r="DV254" s="310"/>
      <c r="DW254" s="310"/>
      <c r="DX254" s="310"/>
      <c r="DY254" s="310"/>
      <c r="DZ254" s="310"/>
      <c r="EA254" s="310"/>
      <c r="EB254" s="310"/>
      <c r="EC254" s="310"/>
      <c r="ED254" s="310"/>
      <c r="EE254" s="310"/>
      <c r="EF254" s="310"/>
      <c r="EG254" s="310"/>
      <c r="EH254" s="310"/>
      <c r="EI254" s="310"/>
      <c r="EJ254" s="310"/>
      <c r="EK254" s="310"/>
      <c r="EL254" s="310"/>
      <c r="EM254" s="310"/>
      <c r="EN254" s="310"/>
      <c r="EO254" s="310"/>
      <c r="EP254" s="310"/>
      <c r="EQ254" s="310"/>
      <c r="ER254" s="310"/>
      <c r="ES254" s="310"/>
      <c r="ET254" s="310"/>
      <c r="EU254" s="310"/>
      <c r="EV254" s="310"/>
      <c r="EW254" s="310"/>
      <c r="EX254" s="310"/>
      <c r="EY254" s="310"/>
      <c r="EZ254" s="310"/>
      <c r="FA254" s="310"/>
      <c r="FB254" s="310"/>
      <c r="FC254" s="310"/>
      <c r="FD254" s="310"/>
      <c r="FE254" s="311"/>
      <c r="FF254" s="312"/>
    </row>
    <row r="255" spans="1:162" ht="12.75" x14ac:dyDescent="0.2">
      <c r="A255" s="446">
        <v>248</v>
      </c>
      <c r="B255" s="447" t="s">
        <v>379</v>
      </c>
      <c r="C255" s="448" t="s">
        <v>1093</v>
      </c>
      <c r="D255" s="449" t="s">
        <v>1103</v>
      </c>
      <c r="E255" s="450" t="s">
        <v>378</v>
      </c>
      <c r="F255" s="451">
        <v>20751997</v>
      </c>
      <c r="G255" s="451">
        <v>0</v>
      </c>
      <c r="H255" s="451">
        <v>494143</v>
      </c>
      <c r="I255" s="451">
        <v>21246140</v>
      </c>
      <c r="J255" s="451">
        <v>278807</v>
      </c>
      <c r="K255" s="451">
        <v>0</v>
      </c>
      <c r="L255" s="451">
        <v>0</v>
      </c>
      <c r="M255" s="451">
        <v>278807</v>
      </c>
      <c r="N255" s="451">
        <v>-20000</v>
      </c>
      <c r="O255" s="451">
        <v>0</v>
      </c>
      <c r="P255" s="451">
        <v>0</v>
      </c>
      <c r="Q255" s="451">
        <v>-20000</v>
      </c>
      <c r="R255" s="451">
        <v>318480</v>
      </c>
      <c r="S255" s="451">
        <v>0</v>
      </c>
      <c r="T255" s="451">
        <v>0</v>
      </c>
      <c r="U255" s="451">
        <v>318480</v>
      </c>
      <c r="V255" s="451">
        <v>955440</v>
      </c>
      <c r="W255" s="451">
        <v>0</v>
      </c>
      <c r="X255" s="451">
        <v>0</v>
      </c>
      <c r="Y255" s="451">
        <v>955440</v>
      </c>
      <c r="Z255" s="451">
        <v>19219270</v>
      </c>
      <c r="AA255" s="451">
        <v>0</v>
      </c>
      <c r="AB255" s="451">
        <v>494143</v>
      </c>
      <c r="AC255" s="451">
        <v>19713413</v>
      </c>
      <c r="AD255" s="451">
        <v>0</v>
      </c>
      <c r="AE255" s="451">
        <v>0</v>
      </c>
      <c r="AF255" s="451">
        <v>0</v>
      </c>
      <c r="AG255" s="451">
        <v>0</v>
      </c>
      <c r="AH255" s="451">
        <v>0</v>
      </c>
      <c r="AI255" s="451">
        <v>0</v>
      </c>
      <c r="AJ255" s="451">
        <v>0</v>
      </c>
      <c r="AK255" s="451">
        <v>0</v>
      </c>
      <c r="AL255" s="451">
        <v>0</v>
      </c>
      <c r="AM255" s="451">
        <v>494143</v>
      </c>
      <c r="AN255" s="451">
        <v>0</v>
      </c>
      <c r="AO255" s="451">
        <v>860655</v>
      </c>
      <c r="AP255" s="451">
        <v>170766</v>
      </c>
      <c r="AQ255" s="324"/>
      <c r="AR255" s="310"/>
      <c r="AS255" s="310"/>
      <c r="AT255" s="310"/>
      <c r="AU255" s="310"/>
      <c r="AV255" s="310"/>
      <c r="AW255" s="310"/>
      <c r="AX255" s="310"/>
      <c r="AY255" s="310"/>
      <c r="AZ255" s="310"/>
      <c r="BA255" s="310"/>
      <c r="BB255" s="310"/>
      <c r="BC255" s="310"/>
      <c r="BD255" s="310"/>
      <c r="BE255" s="310"/>
      <c r="BF255" s="310"/>
      <c r="BG255" s="310"/>
      <c r="BH255" s="310"/>
      <c r="BI255" s="310"/>
      <c r="BJ255" s="310"/>
      <c r="BK255" s="310"/>
      <c r="BL255" s="310"/>
      <c r="BM255" s="310"/>
      <c r="BN255" s="310"/>
      <c r="BO255" s="310"/>
      <c r="BP255" s="310"/>
      <c r="BQ255" s="310"/>
      <c r="BR255" s="310"/>
      <c r="BS255" s="310"/>
      <c r="BT255" s="310"/>
      <c r="BU255" s="310"/>
      <c r="BV255" s="310"/>
      <c r="BW255" s="310"/>
      <c r="BX255" s="310"/>
      <c r="BY255" s="310"/>
      <c r="BZ255" s="310"/>
      <c r="CA255" s="310"/>
      <c r="CB255" s="310"/>
      <c r="CC255" s="310"/>
      <c r="CD255" s="310"/>
      <c r="CE255" s="310"/>
      <c r="CF255" s="310"/>
      <c r="CG255" s="310"/>
      <c r="CH255" s="310"/>
      <c r="CI255" s="310"/>
      <c r="CJ255" s="310"/>
      <c r="CK255" s="310"/>
      <c r="CL255" s="310"/>
      <c r="CM255" s="310"/>
      <c r="CN255" s="310"/>
      <c r="CO255" s="310"/>
      <c r="CP255" s="310"/>
      <c r="CQ255" s="310"/>
      <c r="CR255" s="310"/>
      <c r="CS255" s="310"/>
      <c r="CT255" s="310"/>
      <c r="CU255" s="310"/>
      <c r="CV255" s="310"/>
      <c r="CW255" s="310"/>
      <c r="CX255" s="310"/>
      <c r="CY255" s="310"/>
      <c r="CZ255" s="310"/>
      <c r="DA255" s="310"/>
      <c r="DB255" s="310"/>
      <c r="DC255" s="310"/>
      <c r="DD255" s="310"/>
      <c r="DE255" s="310"/>
      <c r="DF255" s="310"/>
      <c r="DG255" s="310"/>
      <c r="DH255" s="310"/>
      <c r="DI255" s="310"/>
      <c r="DJ255" s="310"/>
      <c r="DK255" s="310"/>
      <c r="DL255" s="310"/>
      <c r="DM255" s="310"/>
      <c r="DN255" s="310"/>
      <c r="DO255" s="310"/>
      <c r="DP255" s="310"/>
      <c r="DQ255" s="310"/>
      <c r="DR255" s="310"/>
      <c r="DS255" s="310"/>
      <c r="DT255" s="310"/>
      <c r="DU255" s="310"/>
      <c r="DV255" s="310"/>
      <c r="DW255" s="310"/>
      <c r="DX255" s="310"/>
      <c r="DY255" s="310"/>
      <c r="DZ255" s="310"/>
      <c r="EA255" s="310"/>
      <c r="EB255" s="310"/>
      <c r="EC255" s="310"/>
      <c r="ED255" s="310"/>
      <c r="EE255" s="310"/>
      <c r="EF255" s="310"/>
      <c r="EG255" s="310"/>
      <c r="EH255" s="310"/>
      <c r="EI255" s="310"/>
      <c r="EJ255" s="310"/>
      <c r="EK255" s="310"/>
      <c r="EL255" s="310"/>
      <c r="EM255" s="310"/>
      <c r="EN255" s="310"/>
      <c r="EO255" s="310"/>
      <c r="EP255" s="310"/>
      <c r="EQ255" s="310"/>
      <c r="ER255" s="310"/>
      <c r="ES255" s="310"/>
      <c r="ET255" s="310"/>
      <c r="EU255" s="310"/>
      <c r="EV255" s="310"/>
      <c r="EW255" s="310"/>
      <c r="EX255" s="310"/>
      <c r="EY255" s="310"/>
      <c r="EZ255" s="310"/>
      <c r="FA255" s="310"/>
      <c r="FB255" s="310"/>
      <c r="FC255" s="310"/>
      <c r="FD255" s="310"/>
      <c r="FE255" s="311"/>
      <c r="FF255" s="312"/>
    </row>
    <row r="256" spans="1:162" ht="12.75" x14ac:dyDescent="0.2">
      <c r="A256" s="446">
        <v>249</v>
      </c>
      <c r="B256" s="447" t="s">
        <v>381</v>
      </c>
      <c r="C256" s="448" t="s">
        <v>1100</v>
      </c>
      <c r="D256" s="449" t="s">
        <v>1105</v>
      </c>
      <c r="E256" s="450" t="s">
        <v>380</v>
      </c>
      <c r="F256" s="451">
        <v>29627722</v>
      </c>
      <c r="G256" s="451">
        <v>0</v>
      </c>
      <c r="H256" s="451">
        <v>0</v>
      </c>
      <c r="I256" s="451">
        <v>29627722</v>
      </c>
      <c r="J256" s="451">
        <v>252895.98</v>
      </c>
      <c r="K256" s="451">
        <v>0</v>
      </c>
      <c r="L256" s="451">
        <v>0</v>
      </c>
      <c r="M256" s="451">
        <v>252895.98</v>
      </c>
      <c r="N256" s="451">
        <v>110140.84</v>
      </c>
      <c r="O256" s="451">
        <v>0</v>
      </c>
      <c r="P256" s="451">
        <v>0</v>
      </c>
      <c r="Q256" s="451">
        <v>110140.84</v>
      </c>
      <c r="R256" s="451">
        <v>195203</v>
      </c>
      <c r="S256" s="451">
        <v>0</v>
      </c>
      <c r="T256" s="451">
        <v>0</v>
      </c>
      <c r="U256" s="451">
        <v>195203</v>
      </c>
      <c r="V256" s="451">
        <v>485474</v>
      </c>
      <c r="W256" s="451">
        <v>0</v>
      </c>
      <c r="X256" s="451">
        <v>0</v>
      </c>
      <c r="Y256" s="451">
        <v>485474</v>
      </c>
      <c r="Z256" s="451">
        <v>28584008</v>
      </c>
      <c r="AA256" s="451">
        <v>0</v>
      </c>
      <c r="AB256" s="451">
        <v>0</v>
      </c>
      <c r="AC256" s="451">
        <v>28584008</v>
      </c>
      <c r="AD256" s="451">
        <v>0</v>
      </c>
      <c r="AE256" s="451">
        <v>0</v>
      </c>
      <c r="AF256" s="451">
        <v>0</v>
      </c>
      <c r="AG256" s="451">
        <v>0</v>
      </c>
      <c r="AH256" s="451">
        <v>0</v>
      </c>
      <c r="AI256" s="451">
        <v>0</v>
      </c>
      <c r="AJ256" s="451">
        <v>0</v>
      </c>
      <c r="AK256" s="451">
        <v>0</v>
      </c>
      <c r="AL256" s="451">
        <v>0</v>
      </c>
      <c r="AM256" s="451">
        <v>0</v>
      </c>
      <c r="AN256" s="451">
        <v>0</v>
      </c>
      <c r="AO256" s="451">
        <v>1198609</v>
      </c>
      <c r="AP256" s="451">
        <v>474554</v>
      </c>
      <c r="AQ256" s="324"/>
      <c r="AR256" s="310"/>
      <c r="AS256" s="310"/>
      <c r="AT256" s="310"/>
      <c r="AU256" s="310"/>
      <c r="AV256" s="310"/>
      <c r="AW256" s="310"/>
      <c r="AX256" s="310"/>
      <c r="AY256" s="310"/>
      <c r="AZ256" s="310"/>
      <c r="BA256" s="310"/>
      <c r="BB256" s="310"/>
      <c r="BC256" s="310"/>
      <c r="BD256" s="310"/>
      <c r="BE256" s="310"/>
      <c r="BF256" s="310"/>
      <c r="BG256" s="310"/>
      <c r="BH256" s="310"/>
      <c r="BI256" s="310"/>
      <c r="BJ256" s="310"/>
      <c r="BK256" s="310"/>
      <c r="BL256" s="310"/>
      <c r="BM256" s="310"/>
      <c r="BN256" s="310"/>
      <c r="BO256" s="310"/>
      <c r="BP256" s="310"/>
      <c r="BQ256" s="310"/>
      <c r="BR256" s="310"/>
      <c r="BS256" s="310"/>
      <c r="BT256" s="310"/>
      <c r="BU256" s="310"/>
      <c r="BV256" s="310"/>
      <c r="BW256" s="310"/>
      <c r="BX256" s="310"/>
      <c r="BY256" s="310"/>
      <c r="BZ256" s="310"/>
      <c r="CA256" s="310"/>
      <c r="CB256" s="310"/>
      <c r="CC256" s="310"/>
      <c r="CD256" s="310"/>
      <c r="CE256" s="310"/>
      <c r="CF256" s="310"/>
      <c r="CG256" s="310"/>
      <c r="CH256" s="310"/>
      <c r="CI256" s="310"/>
      <c r="CJ256" s="310"/>
      <c r="CK256" s="310"/>
      <c r="CL256" s="310"/>
      <c r="CM256" s="310"/>
      <c r="CN256" s="310"/>
      <c r="CO256" s="310"/>
      <c r="CP256" s="310"/>
      <c r="CQ256" s="310"/>
      <c r="CR256" s="310"/>
      <c r="CS256" s="310"/>
      <c r="CT256" s="310"/>
      <c r="CU256" s="310"/>
      <c r="CV256" s="310"/>
      <c r="CW256" s="310"/>
      <c r="CX256" s="310"/>
      <c r="CY256" s="310"/>
      <c r="CZ256" s="310"/>
      <c r="DA256" s="310"/>
      <c r="DB256" s="310"/>
      <c r="DC256" s="310"/>
      <c r="DD256" s="310"/>
      <c r="DE256" s="310"/>
      <c r="DF256" s="310"/>
      <c r="DG256" s="310"/>
      <c r="DH256" s="310"/>
      <c r="DI256" s="310"/>
      <c r="DJ256" s="310"/>
      <c r="DK256" s="310"/>
      <c r="DL256" s="310"/>
      <c r="DM256" s="310"/>
      <c r="DN256" s="310"/>
      <c r="DO256" s="310"/>
      <c r="DP256" s="310"/>
      <c r="DQ256" s="310"/>
      <c r="DR256" s="310"/>
      <c r="DS256" s="310"/>
      <c r="DT256" s="310"/>
      <c r="DU256" s="310"/>
      <c r="DV256" s="310"/>
      <c r="DW256" s="310"/>
      <c r="DX256" s="310"/>
      <c r="DY256" s="310"/>
      <c r="DZ256" s="310"/>
      <c r="EA256" s="310"/>
      <c r="EB256" s="310"/>
      <c r="EC256" s="310"/>
      <c r="ED256" s="310"/>
      <c r="EE256" s="310"/>
      <c r="EF256" s="310"/>
      <c r="EG256" s="310"/>
      <c r="EH256" s="310"/>
      <c r="EI256" s="310"/>
      <c r="EJ256" s="310"/>
      <c r="EK256" s="310"/>
      <c r="EL256" s="310"/>
      <c r="EM256" s="310"/>
      <c r="EN256" s="310"/>
      <c r="EO256" s="310"/>
      <c r="EP256" s="310"/>
      <c r="EQ256" s="310"/>
      <c r="ER256" s="310"/>
      <c r="ES256" s="310"/>
      <c r="ET256" s="310"/>
      <c r="EU256" s="310"/>
      <c r="EV256" s="310"/>
      <c r="EW256" s="310"/>
      <c r="EX256" s="310"/>
      <c r="EY256" s="310"/>
      <c r="EZ256" s="310"/>
      <c r="FA256" s="310"/>
      <c r="FB256" s="310"/>
      <c r="FC256" s="310"/>
      <c r="FD256" s="310"/>
      <c r="FE256" s="311"/>
      <c r="FF256" s="312"/>
    </row>
    <row r="257" spans="1:162" ht="12.75" x14ac:dyDescent="0.2">
      <c r="A257" s="446">
        <v>250</v>
      </c>
      <c r="B257" s="447" t="s">
        <v>383</v>
      </c>
      <c r="C257" s="448" t="s">
        <v>794</v>
      </c>
      <c r="D257" s="449" t="s">
        <v>1094</v>
      </c>
      <c r="E257" s="450" t="s">
        <v>745</v>
      </c>
      <c r="F257" s="451">
        <v>100875135</v>
      </c>
      <c r="G257" s="451">
        <v>0</v>
      </c>
      <c r="H257" s="451">
        <v>0</v>
      </c>
      <c r="I257" s="451">
        <v>100875135</v>
      </c>
      <c r="J257" s="451">
        <v>1192050</v>
      </c>
      <c r="K257" s="451">
        <v>0</v>
      </c>
      <c r="L257" s="451">
        <v>0</v>
      </c>
      <c r="M257" s="451">
        <v>1192050</v>
      </c>
      <c r="N257" s="451">
        <v>-215691</v>
      </c>
      <c r="O257" s="451">
        <v>0</v>
      </c>
      <c r="P257" s="451">
        <v>0</v>
      </c>
      <c r="Q257" s="451">
        <v>-215691</v>
      </c>
      <c r="R257" s="451">
        <v>5658977</v>
      </c>
      <c r="S257" s="451">
        <v>0</v>
      </c>
      <c r="T257" s="451">
        <v>0</v>
      </c>
      <c r="U257" s="451">
        <v>5658977</v>
      </c>
      <c r="V257" s="451">
        <v>9486268</v>
      </c>
      <c r="W257" s="451">
        <v>0</v>
      </c>
      <c r="X257" s="451">
        <v>0</v>
      </c>
      <c r="Y257" s="451">
        <v>9486268</v>
      </c>
      <c r="Z257" s="451">
        <v>84753531</v>
      </c>
      <c r="AA257" s="451">
        <v>0</v>
      </c>
      <c r="AB257" s="451">
        <v>0</v>
      </c>
      <c r="AC257" s="451">
        <v>84753531</v>
      </c>
      <c r="AD257" s="451">
        <v>0</v>
      </c>
      <c r="AE257" s="451">
        <v>0</v>
      </c>
      <c r="AF257" s="451">
        <v>0</v>
      </c>
      <c r="AG257" s="451">
        <v>0</v>
      </c>
      <c r="AH257" s="451">
        <v>0</v>
      </c>
      <c r="AI257" s="451">
        <v>0</v>
      </c>
      <c r="AJ257" s="451">
        <v>0</v>
      </c>
      <c r="AK257" s="451">
        <v>0</v>
      </c>
      <c r="AL257" s="451">
        <v>0</v>
      </c>
      <c r="AM257" s="451">
        <v>0</v>
      </c>
      <c r="AN257" s="451">
        <v>0</v>
      </c>
      <c r="AO257" s="451">
        <v>3773664</v>
      </c>
      <c r="AP257" s="451">
        <v>2962557</v>
      </c>
      <c r="AQ257" s="324"/>
      <c r="AR257" s="310"/>
      <c r="AS257" s="310"/>
      <c r="AT257" s="310"/>
      <c r="AU257" s="310"/>
      <c r="AV257" s="310"/>
      <c r="AW257" s="310"/>
      <c r="AX257" s="310"/>
      <c r="AY257" s="310"/>
      <c r="AZ257" s="310"/>
      <c r="BA257" s="310"/>
      <c r="BB257" s="310"/>
      <c r="BC257" s="310"/>
      <c r="BD257" s="310"/>
      <c r="BE257" s="310"/>
      <c r="BF257" s="310"/>
      <c r="BG257" s="310"/>
      <c r="BH257" s="310"/>
      <c r="BI257" s="310"/>
      <c r="BJ257" s="310"/>
      <c r="BK257" s="310"/>
      <c r="BL257" s="310"/>
      <c r="BM257" s="310"/>
      <c r="BN257" s="310"/>
      <c r="BO257" s="310"/>
      <c r="BP257" s="310"/>
      <c r="BQ257" s="310"/>
      <c r="BR257" s="310"/>
      <c r="BS257" s="310"/>
      <c r="BT257" s="310"/>
      <c r="BU257" s="310"/>
      <c r="BV257" s="310"/>
      <c r="BW257" s="310"/>
      <c r="BX257" s="310"/>
      <c r="BY257" s="310"/>
      <c r="BZ257" s="310"/>
      <c r="CA257" s="310"/>
      <c r="CB257" s="310"/>
      <c r="CC257" s="310"/>
      <c r="CD257" s="310"/>
      <c r="CE257" s="310"/>
      <c r="CF257" s="310"/>
      <c r="CG257" s="310"/>
      <c r="CH257" s="310"/>
      <c r="CI257" s="310"/>
      <c r="CJ257" s="310"/>
      <c r="CK257" s="310"/>
      <c r="CL257" s="310"/>
      <c r="CM257" s="310"/>
      <c r="CN257" s="310"/>
      <c r="CO257" s="310"/>
      <c r="CP257" s="310"/>
      <c r="CQ257" s="310"/>
      <c r="CR257" s="310"/>
      <c r="CS257" s="310"/>
      <c r="CT257" s="310"/>
      <c r="CU257" s="310"/>
      <c r="CV257" s="310"/>
      <c r="CW257" s="310"/>
      <c r="CX257" s="310"/>
      <c r="CY257" s="310"/>
      <c r="CZ257" s="310"/>
      <c r="DA257" s="310"/>
      <c r="DB257" s="310"/>
      <c r="DC257" s="310"/>
      <c r="DD257" s="310"/>
      <c r="DE257" s="310"/>
      <c r="DF257" s="310"/>
      <c r="DG257" s="310"/>
      <c r="DH257" s="310"/>
      <c r="DI257" s="310"/>
      <c r="DJ257" s="310"/>
      <c r="DK257" s="310"/>
      <c r="DL257" s="310"/>
      <c r="DM257" s="310"/>
      <c r="DN257" s="310"/>
      <c r="DO257" s="310"/>
      <c r="DP257" s="310"/>
      <c r="DQ257" s="310"/>
      <c r="DR257" s="310"/>
      <c r="DS257" s="310"/>
      <c r="DT257" s="310"/>
      <c r="DU257" s="310"/>
      <c r="DV257" s="310"/>
      <c r="DW257" s="310"/>
      <c r="DX257" s="310"/>
      <c r="DY257" s="310"/>
      <c r="DZ257" s="310"/>
      <c r="EA257" s="310"/>
      <c r="EB257" s="310"/>
      <c r="EC257" s="310"/>
      <c r="ED257" s="310"/>
      <c r="EE257" s="310"/>
      <c r="EF257" s="310"/>
      <c r="EG257" s="310"/>
      <c r="EH257" s="310"/>
      <c r="EI257" s="310"/>
      <c r="EJ257" s="310"/>
      <c r="EK257" s="310"/>
      <c r="EL257" s="310"/>
      <c r="EM257" s="310"/>
      <c r="EN257" s="310"/>
      <c r="EO257" s="310"/>
      <c r="EP257" s="310"/>
      <c r="EQ257" s="310"/>
      <c r="ER257" s="310"/>
      <c r="ES257" s="310"/>
      <c r="ET257" s="310"/>
      <c r="EU257" s="310"/>
      <c r="EV257" s="310"/>
      <c r="EW257" s="310"/>
      <c r="EX257" s="310"/>
      <c r="EY257" s="310"/>
      <c r="EZ257" s="310"/>
      <c r="FA257" s="310"/>
      <c r="FB257" s="310"/>
      <c r="FC257" s="310"/>
      <c r="FD257" s="310"/>
      <c r="FE257" s="311"/>
      <c r="FF257" s="312"/>
    </row>
    <row r="258" spans="1:162" ht="12.75" x14ac:dyDescent="0.2">
      <c r="A258" s="446">
        <v>251</v>
      </c>
      <c r="B258" s="447" t="s">
        <v>385</v>
      </c>
      <c r="C258" s="448" t="s">
        <v>794</v>
      </c>
      <c r="D258" s="449" t="s">
        <v>1097</v>
      </c>
      <c r="E258" s="450" t="s">
        <v>746</v>
      </c>
      <c r="F258" s="451">
        <v>46247279</v>
      </c>
      <c r="G258" s="451">
        <v>0</v>
      </c>
      <c r="H258" s="451">
        <v>0</v>
      </c>
      <c r="I258" s="451">
        <v>46247279</v>
      </c>
      <c r="J258" s="451">
        <v>763429.05</v>
      </c>
      <c r="K258" s="451">
        <v>0</v>
      </c>
      <c r="L258" s="451">
        <v>0</v>
      </c>
      <c r="M258" s="451">
        <v>763429.05</v>
      </c>
      <c r="N258" s="451">
        <v>392004.34</v>
      </c>
      <c r="O258" s="451">
        <v>0</v>
      </c>
      <c r="P258" s="451">
        <v>0</v>
      </c>
      <c r="Q258" s="451">
        <v>392004.34</v>
      </c>
      <c r="R258" s="451">
        <v>300434.89</v>
      </c>
      <c r="S258" s="451">
        <v>0</v>
      </c>
      <c r="T258" s="451">
        <v>0</v>
      </c>
      <c r="U258" s="451">
        <v>300434.89</v>
      </c>
      <c r="V258" s="451">
        <v>1183095.3899999999</v>
      </c>
      <c r="W258" s="451">
        <v>0</v>
      </c>
      <c r="X258" s="451">
        <v>0</v>
      </c>
      <c r="Y258" s="451">
        <v>1183095.3899999999</v>
      </c>
      <c r="Z258" s="451">
        <v>43608315</v>
      </c>
      <c r="AA258" s="451">
        <v>0</v>
      </c>
      <c r="AB258" s="451">
        <v>0</v>
      </c>
      <c r="AC258" s="451">
        <v>43608315</v>
      </c>
      <c r="AD258" s="451">
        <v>0</v>
      </c>
      <c r="AE258" s="451">
        <v>0</v>
      </c>
      <c r="AF258" s="451">
        <v>0</v>
      </c>
      <c r="AG258" s="451">
        <v>0</v>
      </c>
      <c r="AH258" s="451">
        <v>0</v>
      </c>
      <c r="AI258" s="451">
        <v>0</v>
      </c>
      <c r="AJ258" s="451">
        <v>0</v>
      </c>
      <c r="AK258" s="451">
        <v>0</v>
      </c>
      <c r="AL258" s="451">
        <v>0</v>
      </c>
      <c r="AM258" s="451">
        <v>0</v>
      </c>
      <c r="AN258" s="451">
        <v>0</v>
      </c>
      <c r="AO258" s="451">
        <v>1877684</v>
      </c>
      <c r="AP258" s="451">
        <v>747776.94</v>
      </c>
      <c r="AQ258" s="324"/>
      <c r="AR258" s="310"/>
      <c r="AS258" s="310"/>
      <c r="AT258" s="310"/>
      <c r="AU258" s="310"/>
      <c r="AV258" s="310"/>
      <c r="AW258" s="310"/>
      <c r="AX258" s="310"/>
      <c r="AY258" s="310"/>
      <c r="AZ258" s="310"/>
      <c r="BA258" s="310"/>
      <c r="BB258" s="310"/>
      <c r="BC258" s="310"/>
      <c r="BD258" s="310"/>
      <c r="BE258" s="310"/>
      <c r="BF258" s="310"/>
      <c r="BG258" s="310"/>
      <c r="BH258" s="310"/>
      <c r="BI258" s="310"/>
      <c r="BJ258" s="310"/>
      <c r="BK258" s="310"/>
      <c r="BL258" s="310"/>
      <c r="BM258" s="310"/>
      <c r="BN258" s="310"/>
      <c r="BO258" s="310"/>
      <c r="BP258" s="310"/>
      <c r="BQ258" s="310"/>
      <c r="BR258" s="310"/>
      <c r="BS258" s="310"/>
      <c r="BT258" s="310"/>
      <c r="BU258" s="310"/>
      <c r="BV258" s="310"/>
      <c r="BW258" s="310"/>
      <c r="BX258" s="310"/>
      <c r="BY258" s="310"/>
      <c r="BZ258" s="310"/>
      <c r="CA258" s="310"/>
      <c r="CB258" s="310"/>
      <c r="CC258" s="310"/>
      <c r="CD258" s="310"/>
      <c r="CE258" s="310"/>
      <c r="CF258" s="310"/>
      <c r="CG258" s="310"/>
      <c r="CH258" s="310"/>
      <c r="CI258" s="310"/>
      <c r="CJ258" s="310"/>
      <c r="CK258" s="310"/>
      <c r="CL258" s="310"/>
      <c r="CM258" s="310"/>
      <c r="CN258" s="310"/>
      <c r="CO258" s="310"/>
      <c r="CP258" s="310"/>
      <c r="CQ258" s="310"/>
      <c r="CR258" s="310"/>
      <c r="CS258" s="310"/>
      <c r="CT258" s="310"/>
      <c r="CU258" s="310"/>
      <c r="CV258" s="310"/>
      <c r="CW258" s="310"/>
      <c r="CX258" s="310"/>
      <c r="CY258" s="310"/>
      <c r="CZ258" s="310"/>
      <c r="DA258" s="310"/>
      <c r="DB258" s="310"/>
      <c r="DC258" s="310"/>
      <c r="DD258" s="310"/>
      <c r="DE258" s="310"/>
      <c r="DF258" s="310"/>
      <c r="DG258" s="310"/>
      <c r="DH258" s="310"/>
      <c r="DI258" s="310"/>
      <c r="DJ258" s="310"/>
      <c r="DK258" s="310"/>
      <c r="DL258" s="310"/>
      <c r="DM258" s="310"/>
      <c r="DN258" s="310"/>
      <c r="DO258" s="310"/>
      <c r="DP258" s="310"/>
      <c r="DQ258" s="310"/>
      <c r="DR258" s="310"/>
      <c r="DS258" s="310"/>
      <c r="DT258" s="310"/>
      <c r="DU258" s="310"/>
      <c r="DV258" s="310"/>
      <c r="DW258" s="310"/>
      <c r="DX258" s="310"/>
      <c r="DY258" s="310"/>
      <c r="DZ258" s="310"/>
      <c r="EA258" s="310"/>
      <c r="EB258" s="310"/>
      <c r="EC258" s="310"/>
      <c r="ED258" s="310"/>
      <c r="EE258" s="310"/>
      <c r="EF258" s="310"/>
      <c r="EG258" s="310"/>
      <c r="EH258" s="310"/>
      <c r="EI258" s="310"/>
      <c r="EJ258" s="310"/>
      <c r="EK258" s="310"/>
      <c r="EL258" s="310"/>
      <c r="EM258" s="310"/>
      <c r="EN258" s="310"/>
      <c r="EO258" s="310"/>
      <c r="EP258" s="310"/>
      <c r="EQ258" s="310"/>
      <c r="ER258" s="310"/>
      <c r="ES258" s="310"/>
      <c r="ET258" s="310"/>
      <c r="EU258" s="310"/>
      <c r="EV258" s="310"/>
      <c r="EW258" s="310"/>
      <c r="EX258" s="310"/>
      <c r="EY258" s="310"/>
      <c r="EZ258" s="310"/>
      <c r="FA258" s="310"/>
      <c r="FB258" s="310"/>
      <c r="FC258" s="310"/>
      <c r="FD258" s="310"/>
      <c r="FE258" s="311"/>
      <c r="FF258" s="312"/>
    </row>
    <row r="259" spans="1:162" ht="12.75" x14ac:dyDescent="0.2">
      <c r="A259" s="446">
        <v>252</v>
      </c>
      <c r="B259" s="447" t="s">
        <v>387</v>
      </c>
      <c r="C259" s="448" t="s">
        <v>1104</v>
      </c>
      <c r="D259" s="449" t="s">
        <v>1099</v>
      </c>
      <c r="E259" s="450" t="s">
        <v>386</v>
      </c>
      <c r="F259" s="451">
        <v>197495771</v>
      </c>
      <c r="G259" s="451">
        <v>0</v>
      </c>
      <c r="H259" s="451">
        <v>0</v>
      </c>
      <c r="I259" s="451">
        <v>197495771</v>
      </c>
      <c r="J259" s="451">
        <v>2141252</v>
      </c>
      <c r="K259" s="451">
        <v>0</v>
      </c>
      <c r="L259" s="451">
        <v>0</v>
      </c>
      <c r="M259" s="451">
        <v>2141252</v>
      </c>
      <c r="N259" s="451">
        <v>147179</v>
      </c>
      <c r="O259" s="451">
        <v>0</v>
      </c>
      <c r="P259" s="451">
        <v>0</v>
      </c>
      <c r="Q259" s="451">
        <v>147179</v>
      </c>
      <c r="R259" s="451">
        <v>7522140.6399999997</v>
      </c>
      <c r="S259" s="451">
        <v>0</v>
      </c>
      <c r="T259" s="451">
        <v>0</v>
      </c>
      <c r="U259" s="451">
        <v>7522140.6399999997</v>
      </c>
      <c r="V259" s="451">
        <v>31417142</v>
      </c>
      <c r="W259" s="451">
        <v>0</v>
      </c>
      <c r="X259" s="451">
        <v>0</v>
      </c>
      <c r="Y259" s="451">
        <v>31417142</v>
      </c>
      <c r="Z259" s="451">
        <v>156268057</v>
      </c>
      <c r="AA259" s="451">
        <v>0</v>
      </c>
      <c r="AB259" s="451">
        <v>0</v>
      </c>
      <c r="AC259" s="451">
        <v>156268057</v>
      </c>
      <c r="AD259" s="451">
        <v>0</v>
      </c>
      <c r="AE259" s="451">
        <v>0</v>
      </c>
      <c r="AF259" s="451">
        <v>0</v>
      </c>
      <c r="AG259" s="451">
        <v>0</v>
      </c>
      <c r="AH259" s="451">
        <v>0</v>
      </c>
      <c r="AI259" s="451">
        <v>0</v>
      </c>
      <c r="AJ259" s="451">
        <v>0</v>
      </c>
      <c r="AK259" s="451">
        <v>0</v>
      </c>
      <c r="AL259" s="451">
        <v>0</v>
      </c>
      <c r="AM259" s="451">
        <v>0</v>
      </c>
      <c r="AN259" s="451">
        <v>0</v>
      </c>
      <c r="AO259" s="451">
        <v>7930613</v>
      </c>
      <c r="AP259" s="451">
        <v>-9279933</v>
      </c>
      <c r="AQ259" s="324"/>
      <c r="AR259" s="310"/>
      <c r="AS259" s="310"/>
      <c r="AT259" s="310"/>
      <c r="AU259" s="310"/>
      <c r="AV259" s="310"/>
      <c r="AW259" s="310"/>
      <c r="AX259" s="310"/>
      <c r="AY259" s="310"/>
      <c r="AZ259" s="310"/>
      <c r="BA259" s="310"/>
      <c r="BB259" s="310"/>
      <c r="BC259" s="310"/>
      <c r="BD259" s="310"/>
      <c r="BE259" s="310"/>
      <c r="BF259" s="310"/>
      <c r="BG259" s="310"/>
      <c r="BH259" s="310"/>
      <c r="BI259" s="310"/>
      <c r="BJ259" s="310"/>
      <c r="BK259" s="310"/>
      <c r="BL259" s="310"/>
      <c r="BM259" s="310"/>
      <c r="BN259" s="310"/>
      <c r="BO259" s="310"/>
      <c r="BP259" s="310"/>
      <c r="BQ259" s="310"/>
      <c r="BR259" s="310"/>
      <c r="BS259" s="310"/>
      <c r="BT259" s="310"/>
      <c r="BU259" s="310"/>
      <c r="BV259" s="310"/>
      <c r="BW259" s="310"/>
      <c r="BX259" s="310"/>
      <c r="BY259" s="310"/>
      <c r="BZ259" s="310"/>
      <c r="CA259" s="310"/>
      <c r="CB259" s="310"/>
      <c r="CC259" s="310"/>
      <c r="CD259" s="310"/>
      <c r="CE259" s="310"/>
      <c r="CF259" s="310"/>
      <c r="CG259" s="310"/>
      <c r="CH259" s="310"/>
      <c r="CI259" s="310"/>
      <c r="CJ259" s="310"/>
      <c r="CK259" s="310"/>
      <c r="CL259" s="310"/>
      <c r="CM259" s="310"/>
      <c r="CN259" s="310"/>
      <c r="CO259" s="310"/>
      <c r="CP259" s="310"/>
      <c r="CQ259" s="310"/>
      <c r="CR259" s="310"/>
      <c r="CS259" s="310"/>
      <c r="CT259" s="310"/>
      <c r="CU259" s="310"/>
      <c r="CV259" s="310"/>
      <c r="CW259" s="310"/>
      <c r="CX259" s="310"/>
      <c r="CY259" s="310"/>
      <c r="CZ259" s="310"/>
      <c r="DA259" s="310"/>
      <c r="DB259" s="310"/>
      <c r="DC259" s="310"/>
      <c r="DD259" s="310"/>
      <c r="DE259" s="310"/>
      <c r="DF259" s="310"/>
      <c r="DG259" s="310"/>
      <c r="DH259" s="310"/>
      <c r="DI259" s="310"/>
      <c r="DJ259" s="310"/>
      <c r="DK259" s="310"/>
      <c r="DL259" s="310"/>
      <c r="DM259" s="310"/>
      <c r="DN259" s="310"/>
      <c r="DO259" s="310"/>
      <c r="DP259" s="310"/>
      <c r="DQ259" s="310"/>
      <c r="DR259" s="310"/>
      <c r="DS259" s="310"/>
      <c r="DT259" s="310"/>
      <c r="DU259" s="310"/>
      <c r="DV259" s="310"/>
      <c r="DW259" s="310"/>
      <c r="DX259" s="310"/>
      <c r="DY259" s="310"/>
      <c r="DZ259" s="310"/>
      <c r="EA259" s="310"/>
      <c r="EB259" s="310"/>
      <c r="EC259" s="310"/>
      <c r="ED259" s="310"/>
      <c r="EE259" s="310"/>
      <c r="EF259" s="310"/>
      <c r="EG259" s="310"/>
      <c r="EH259" s="310"/>
      <c r="EI259" s="310"/>
      <c r="EJ259" s="310"/>
      <c r="EK259" s="310"/>
      <c r="EL259" s="310"/>
      <c r="EM259" s="310"/>
      <c r="EN259" s="310"/>
      <c r="EO259" s="310"/>
      <c r="EP259" s="310"/>
      <c r="EQ259" s="310"/>
      <c r="ER259" s="310"/>
      <c r="ES259" s="310"/>
      <c r="ET259" s="310"/>
      <c r="EU259" s="310"/>
      <c r="EV259" s="310"/>
      <c r="EW259" s="310"/>
      <c r="EX259" s="310"/>
      <c r="EY259" s="310"/>
      <c r="EZ259" s="310"/>
      <c r="FA259" s="310"/>
      <c r="FB259" s="310"/>
      <c r="FC259" s="310"/>
      <c r="FD259" s="310"/>
      <c r="FE259" s="311"/>
      <c r="FF259" s="312"/>
    </row>
    <row r="260" spans="1:162" ht="12.75" x14ac:dyDescent="0.2">
      <c r="A260" s="446">
        <v>253</v>
      </c>
      <c r="B260" s="447" t="s">
        <v>389</v>
      </c>
      <c r="C260" s="448" t="s">
        <v>1093</v>
      </c>
      <c r="D260" s="449" t="s">
        <v>1094</v>
      </c>
      <c r="E260" s="450" t="s">
        <v>388</v>
      </c>
      <c r="F260" s="451">
        <v>40455294</v>
      </c>
      <c r="G260" s="451">
        <v>0</v>
      </c>
      <c r="H260" s="451">
        <v>0</v>
      </c>
      <c r="I260" s="451">
        <v>40455294</v>
      </c>
      <c r="J260" s="451">
        <v>172365</v>
      </c>
      <c r="K260" s="451">
        <v>0</v>
      </c>
      <c r="L260" s="451">
        <v>0</v>
      </c>
      <c r="M260" s="451">
        <v>172365</v>
      </c>
      <c r="N260" s="451">
        <v>-15000</v>
      </c>
      <c r="O260" s="451">
        <v>0</v>
      </c>
      <c r="P260" s="451">
        <v>0</v>
      </c>
      <c r="Q260" s="451">
        <v>-15000</v>
      </c>
      <c r="R260" s="451">
        <v>634583</v>
      </c>
      <c r="S260" s="451">
        <v>0</v>
      </c>
      <c r="T260" s="451">
        <v>0</v>
      </c>
      <c r="U260" s="451">
        <v>634583</v>
      </c>
      <c r="V260" s="451">
        <v>1983762</v>
      </c>
      <c r="W260" s="451">
        <v>0</v>
      </c>
      <c r="X260" s="451">
        <v>0</v>
      </c>
      <c r="Y260" s="451">
        <v>1983762</v>
      </c>
      <c r="Z260" s="451">
        <v>37679584</v>
      </c>
      <c r="AA260" s="451">
        <v>0</v>
      </c>
      <c r="AB260" s="451">
        <v>0</v>
      </c>
      <c r="AC260" s="451">
        <v>37679584</v>
      </c>
      <c r="AD260" s="451">
        <v>0</v>
      </c>
      <c r="AE260" s="451">
        <v>0</v>
      </c>
      <c r="AF260" s="451">
        <v>0</v>
      </c>
      <c r="AG260" s="451">
        <v>0</v>
      </c>
      <c r="AH260" s="451">
        <v>0</v>
      </c>
      <c r="AI260" s="451">
        <v>0</v>
      </c>
      <c r="AJ260" s="451">
        <v>0</v>
      </c>
      <c r="AK260" s="451">
        <v>0</v>
      </c>
      <c r="AL260" s="451">
        <v>0</v>
      </c>
      <c r="AM260" s="451">
        <v>0</v>
      </c>
      <c r="AN260" s="451">
        <v>0</v>
      </c>
      <c r="AO260" s="451">
        <v>817103</v>
      </c>
      <c r="AP260" s="451">
        <v>942205</v>
      </c>
      <c r="AQ260" s="324"/>
      <c r="AR260" s="310"/>
      <c r="AS260" s="310"/>
      <c r="AT260" s="310"/>
      <c r="AU260" s="310"/>
      <c r="AV260" s="310"/>
      <c r="AW260" s="310"/>
      <c r="AX260" s="310"/>
      <c r="AY260" s="310"/>
      <c r="AZ260" s="310"/>
      <c r="BA260" s="310"/>
      <c r="BB260" s="310"/>
      <c r="BC260" s="310"/>
      <c r="BD260" s="310"/>
      <c r="BE260" s="310"/>
      <c r="BF260" s="310"/>
      <c r="BG260" s="310"/>
      <c r="BH260" s="310"/>
      <c r="BI260" s="310"/>
      <c r="BJ260" s="310"/>
      <c r="BK260" s="310"/>
      <c r="BL260" s="310"/>
      <c r="BM260" s="310"/>
      <c r="BN260" s="310"/>
      <c r="BO260" s="310"/>
      <c r="BP260" s="310"/>
      <c r="BQ260" s="310"/>
      <c r="BR260" s="310"/>
      <c r="BS260" s="310"/>
      <c r="BT260" s="310"/>
      <c r="BU260" s="310"/>
      <c r="BV260" s="310"/>
      <c r="BW260" s="310"/>
      <c r="BX260" s="310"/>
      <c r="BY260" s="310"/>
      <c r="BZ260" s="310"/>
      <c r="CA260" s="310"/>
      <c r="CB260" s="310"/>
      <c r="CC260" s="310"/>
      <c r="CD260" s="310"/>
      <c r="CE260" s="310"/>
      <c r="CF260" s="310"/>
      <c r="CG260" s="310"/>
      <c r="CH260" s="310"/>
      <c r="CI260" s="310"/>
      <c r="CJ260" s="310"/>
      <c r="CK260" s="310"/>
      <c r="CL260" s="310"/>
      <c r="CM260" s="310"/>
      <c r="CN260" s="310"/>
      <c r="CO260" s="310"/>
      <c r="CP260" s="310"/>
      <c r="CQ260" s="310"/>
      <c r="CR260" s="310"/>
      <c r="CS260" s="310"/>
      <c r="CT260" s="310"/>
      <c r="CU260" s="310"/>
      <c r="CV260" s="310"/>
      <c r="CW260" s="310"/>
      <c r="CX260" s="310"/>
      <c r="CY260" s="310"/>
      <c r="CZ260" s="310"/>
      <c r="DA260" s="310"/>
      <c r="DB260" s="310"/>
      <c r="DC260" s="310"/>
      <c r="DD260" s="310"/>
      <c r="DE260" s="310"/>
      <c r="DF260" s="310"/>
      <c r="DG260" s="310"/>
      <c r="DH260" s="310"/>
      <c r="DI260" s="310"/>
      <c r="DJ260" s="310"/>
      <c r="DK260" s="310"/>
      <c r="DL260" s="310"/>
      <c r="DM260" s="310"/>
      <c r="DN260" s="310"/>
      <c r="DO260" s="310"/>
      <c r="DP260" s="310"/>
      <c r="DQ260" s="310"/>
      <c r="DR260" s="310"/>
      <c r="DS260" s="310"/>
      <c r="DT260" s="310"/>
      <c r="DU260" s="310"/>
      <c r="DV260" s="310"/>
      <c r="DW260" s="310"/>
      <c r="DX260" s="310"/>
      <c r="DY260" s="310"/>
      <c r="DZ260" s="310"/>
      <c r="EA260" s="310"/>
      <c r="EB260" s="310"/>
      <c r="EC260" s="310"/>
      <c r="ED260" s="310"/>
      <c r="EE260" s="310"/>
      <c r="EF260" s="310"/>
      <c r="EG260" s="310"/>
      <c r="EH260" s="310"/>
      <c r="EI260" s="310"/>
      <c r="EJ260" s="310"/>
      <c r="EK260" s="310"/>
      <c r="EL260" s="310"/>
      <c r="EM260" s="310"/>
      <c r="EN260" s="310"/>
      <c r="EO260" s="310"/>
      <c r="EP260" s="310"/>
      <c r="EQ260" s="310"/>
      <c r="ER260" s="310"/>
      <c r="ES260" s="310"/>
      <c r="ET260" s="310"/>
      <c r="EU260" s="310"/>
      <c r="EV260" s="310"/>
      <c r="EW260" s="310"/>
      <c r="EX260" s="310"/>
      <c r="EY260" s="310"/>
      <c r="EZ260" s="310"/>
      <c r="FA260" s="310"/>
      <c r="FB260" s="310"/>
      <c r="FC260" s="310"/>
      <c r="FD260" s="310"/>
      <c r="FE260" s="311"/>
      <c r="FF260" s="312"/>
    </row>
    <row r="261" spans="1:162" ht="12.75" x14ac:dyDescent="0.2">
      <c r="A261" s="446">
        <v>254</v>
      </c>
      <c r="B261" s="447" t="s">
        <v>391</v>
      </c>
      <c r="C261" s="448" t="s">
        <v>1093</v>
      </c>
      <c r="D261" s="449" t="s">
        <v>1097</v>
      </c>
      <c r="E261" s="450" t="s">
        <v>390</v>
      </c>
      <c r="F261" s="451">
        <v>60863921</v>
      </c>
      <c r="G261" s="451">
        <v>0</v>
      </c>
      <c r="H261" s="451">
        <v>0</v>
      </c>
      <c r="I261" s="451">
        <v>60863921</v>
      </c>
      <c r="J261" s="451">
        <v>73414</v>
      </c>
      <c r="K261" s="451">
        <v>0</v>
      </c>
      <c r="L261" s="451">
        <v>0</v>
      </c>
      <c r="M261" s="451">
        <v>73414</v>
      </c>
      <c r="N261" s="451">
        <v>214000</v>
      </c>
      <c r="O261" s="451">
        <v>0</v>
      </c>
      <c r="P261" s="451">
        <v>0</v>
      </c>
      <c r="Q261" s="451">
        <v>214000</v>
      </c>
      <c r="R261" s="451">
        <v>1151135.8600000001</v>
      </c>
      <c r="S261" s="451">
        <v>0</v>
      </c>
      <c r="T261" s="451">
        <v>0</v>
      </c>
      <c r="U261" s="451">
        <v>1151135.8600000001</v>
      </c>
      <c r="V261" s="451">
        <v>924895</v>
      </c>
      <c r="W261" s="451">
        <v>0</v>
      </c>
      <c r="X261" s="451">
        <v>0</v>
      </c>
      <c r="Y261" s="451">
        <v>924895</v>
      </c>
      <c r="Z261" s="451">
        <v>58500476</v>
      </c>
      <c r="AA261" s="451">
        <v>0</v>
      </c>
      <c r="AB261" s="451">
        <v>0</v>
      </c>
      <c r="AC261" s="451">
        <v>58500476</v>
      </c>
      <c r="AD261" s="451">
        <v>0</v>
      </c>
      <c r="AE261" s="451">
        <v>0</v>
      </c>
      <c r="AF261" s="451">
        <v>0</v>
      </c>
      <c r="AG261" s="451">
        <v>0</v>
      </c>
      <c r="AH261" s="451">
        <v>0</v>
      </c>
      <c r="AI261" s="451">
        <v>0</v>
      </c>
      <c r="AJ261" s="451">
        <v>0</v>
      </c>
      <c r="AK261" s="451">
        <v>0</v>
      </c>
      <c r="AL261" s="451">
        <v>0</v>
      </c>
      <c r="AM261" s="451">
        <v>0</v>
      </c>
      <c r="AN261" s="451">
        <v>0</v>
      </c>
      <c r="AO261" s="451">
        <v>2330975</v>
      </c>
      <c r="AP261" s="451">
        <v>562391</v>
      </c>
      <c r="AQ261" s="324"/>
      <c r="AR261" s="310"/>
      <c r="AS261" s="310"/>
      <c r="AT261" s="310"/>
      <c r="AU261" s="310"/>
      <c r="AV261" s="310"/>
      <c r="AW261" s="310"/>
      <c r="AX261" s="310"/>
      <c r="AY261" s="310"/>
      <c r="AZ261" s="310"/>
      <c r="BA261" s="310"/>
      <c r="BB261" s="310"/>
      <c r="BC261" s="310"/>
      <c r="BD261" s="310"/>
      <c r="BE261" s="310"/>
      <c r="BF261" s="310"/>
      <c r="BG261" s="310"/>
      <c r="BH261" s="310"/>
      <c r="BI261" s="310"/>
      <c r="BJ261" s="310"/>
      <c r="BK261" s="310"/>
      <c r="BL261" s="310"/>
      <c r="BM261" s="310"/>
      <c r="BN261" s="310"/>
      <c r="BO261" s="310"/>
      <c r="BP261" s="310"/>
      <c r="BQ261" s="310"/>
      <c r="BR261" s="310"/>
      <c r="BS261" s="310"/>
      <c r="BT261" s="310"/>
      <c r="BU261" s="310"/>
      <c r="BV261" s="310"/>
      <c r="BW261" s="310"/>
      <c r="BX261" s="310"/>
      <c r="BY261" s="310"/>
      <c r="BZ261" s="310"/>
      <c r="CA261" s="310"/>
      <c r="CB261" s="310"/>
      <c r="CC261" s="310"/>
      <c r="CD261" s="310"/>
      <c r="CE261" s="310"/>
      <c r="CF261" s="310"/>
      <c r="CG261" s="310"/>
      <c r="CH261" s="310"/>
      <c r="CI261" s="310"/>
      <c r="CJ261" s="310"/>
      <c r="CK261" s="310"/>
      <c r="CL261" s="310"/>
      <c r="CM261" s="310"/>
      <c r="CN261" s="310"/>
      <c r="CO261" s="310"/>
      <c r="CP261" s="310"/>
      <c r="CQ261" s="310"/>
      <c r="CR261" s="310"/>
      <c r="CS261" s="310"/>
      <c r="CT261" s="310"/>
      <c r="CU261" s="310"/>
      <c r="CV261" s="310"/>
      <c r="CW261" s="310"/>
      <c r="CX261" s="310"/>
      <c r="CY261" s="310"/>
      <c r="CZ261" s="310"/>
      <c r="DA261" s="310"/>
      <c r="DB261" s="310"/>
      <c r="DC261" s="310"/>
      <c r="DD261" s="310"/>
      <c r="DE261" s="310"/>
      <c r="DF261" s="310"/>
      <c r="DG261" s="310"/>
      <c r="DH261" s="310"/>
      <c r="DI261" s="310"/>
      <c r="DJ261" s="310"/>
      <c r="DK261" s="310"/>
      <c r="DL261" s="310"/>
      <c r="DM261" s="310"/>
      <c r="DN261" s="310"/>
      <c r="DO261" s="310"/>
      <c r="DP261" s="310"/>
      <c r="DQ261" s="310"/>
      <c r="DR261" s="310"/>
      <c r="DS261" s="310"/>
      <c r="DT261" s="310"/>
      <c r="DU261" s="310"/>
      <c r="DV261" s="310"/>
      <c r="DW261" s="310"/>
      <c r="DX261" s="310"/>
      <c r="DY261" s="310"/>
      <c r="DZ261" s="310"/>
      <c r="EA261" s="310"/>
      <c r="EB261" s="310"/>
      <c r="EC261" s="310"/>
      <c r="ED261" s="310"/>
      <c r="EE261" s="310"/>
      <c r="EF261" s="310"/>
      <c r="EG261" s="310"/>
      <c r="EH261" s="310"/>
      <c r="EI261" s="310"/>
      <c r="EJ261" s="310"/>
      <c r="EK261" s="310"/>
      <c r="EL261" s="310"/>
      <c r="EM261" s="310"/>
      <c r="EN261" s="310"/>
      <c r="EO261" s="310"/>
      <c r="EP261" s="310"/>
      <c r="EQ261" s="310"/>
      <c r="ER261" s="310"/>
      <c r="ES261" s="310"/>
      <c r="ET261" s="310"/>
      <c r="EU261" s="310"/>
      <c r="EV261" s="310"/>
      <c r="EW261" s="310"/>
      <c r="EX261" s="310"/>
      <c r="EY261" s="310"/>
      <c r="EZ261" s="310"/>
      <c r="FA261" s="310"/>
      <c r="FB261" s="310"/>
      <c r="FC261" s="310"/>
      <c r="FD261" s="310"/>
      <c r="FE261" s="311"/>
      <c r="FF261" s="312"/>
    </row>
    <row r="262" spans="1:162" ht="12.75" x14ac:dyDescent="0.2">
      <c r="A262" s="446">
        <v>255</v>
      </c>
      <c r="B262" s="447" t="s">
        <v>393</v>
      </c>
      <c r="C262" s="448" t="s">
        <v>1093</v>
      </c>
      <c r="D262" s="449" t="s">
        <v>1097</v>
      </c>
      <c r="E262" s="450" t="s">
        <v>392</v>
      </c>
      <c r="F262" s="451">
        <v>45488940.799999997</v>
      </c>
      <c r="G262" s="451">
        <v>0</v>
      </c>
      <c r="H262" s="451">
        <v>0</v>
      </c>
      <c r="I262" s="451">
        <v>45488940.799999997</v>
      </c>
      <c r="J262" s="451">
        <v>183391.46</v>
      </c>
      <c r="K262" s="451">
        <v>0</v>
      </c>
      <c r="L262" s="451">
        <v>0</v>
      </c>
      <c r="M262" s="451">
        <v>183391.46</v>
      </c>
      <c r="N262" s="451">
        <v>90659.61</v>
      </c>
      <c r="O262" s="451">
        <v>0</v>
      </c>
      <c r="P262" s="451">
        <v>0</v>
      </c>
      <c r="Q262" s="451">
        <v>90659.61</v>
      </c>
      <c r="R262" s="451">
        <v>380157</v>
      </c>
      <c r="S262" s="451">
        <v>0</v>
      </c>
      <c r="T262" s="451">
        <v>0</v>
      </c>
      <c r="U262" s="451">
        <v>380157</v>
      </c>
      <c r="V262" s="451">
        <v>1055717</v>
      </c>
      <c r="W262" s="451">
        <v>0</v>
      </c>
      <c r="X262" s="451">
        <v>0</v>
      </c>
      <c r="Y262" s="451">
        <v>1055717</v>
      </c>
      <c r="Z262" s="451">
        <v>43779016</v>
      </c>
      <c r="AA262" s="451">
        <v>0</v>
      </c>
      <c r="AB262" s="451">
        <v>0</v>
      </c>
      <c r="AC262" s="451">
        <v>43779016</v>
      </c>
      <c r="AD262" s="451">
        <v>35841.160000000003</v>
      </c>
      <c r="AE262" s="451">
        <v>0</v>
      </c>
      <c r="AF262" s="451">
        <v>0</v>
      </c>
      <c r="AG262" s="451">
        <v>35841.160000000003</v>
      </c>
      <c r="AH262" s="451">
        <v>0</v>
      </c>
      <c r="AI262" s="451">
        <v>0</v>
      </c>
      <c r="AJ262" s="451">
        <v>0</v>
      </c>
      <c r="AK262" s="451">
        <v>0</v>
      </c>
      <c r="AL262" s="451">
        <v>0</v>
      </c>
      <c r="AM262" s="451">
        <v>0</v>
      </c>
      <c r="AN262" s="451">
        <v>35841.160000000003</v>
      </c>
      <c r="AO262" s="451">
        <v>1330227.93</v>
      </c>
      <c r="AP262" s="451">
        <v>316503.61</v>
      </c>
      <c r="AQ262" s="324"/>
      <c r="AR262" s="310"/>
      <c r="AS262" s="310"/>
      <c r="AT262" s="310"/>
      <c r="AU262" s="310"/>
      <c r="AV262" s="310"/>
      <c r="AW262" s="310"/>
      <c r="AX262" s="310"/>
      <c r="AY262" s="310"/>
      <c r="AZ262" s="310"/>
      <c r="BA262" s="310"/>
      <c r="BB262" s="310"/>
      <c r="BC262" s="310"/>
      <c r="BD262" s="310"/>
      <c r="BE262" s="310"/>
      <c r="BF262" s="310"/>
      <c r="BG262" s="310"/>
      <c r="BH262" s="310"/>
      <c r="BI262" s="310"/>
      <c r="BJ262" s="310"/>
      <c r="BK262" s="310"/>
      <c r="BL262" s="310"/>
      <c r="BM262" s="310"/>
      <c r="BN262" s="310"/>
      <c r="BO262" s="310"/>
      <c r="BP262" s="310"/>
      <c r="BQ262" s="310"/>
      <c r="BR262" s="310"/>
      <c r="BS262" s="310"/>
      <c r="BT262" s="310"/>
      <c r="BU262" s="310"/>
      <c r="BV262" s="310"/>
      <c r="BW262" s="310"/>
      <c r="BX262" s="310"/>
      <c r="BY262" s="310"/>
      <c r="BZ262" s="310"/>
      <c r="CA262" s="310"/>
      <c r="CB262" s="310"/>
      <c r="CC262" s="310"/>
      <c r="CD262" s="310"/>
      <c r="CE262" s="310"/>
      <c r="CF262" s="310"/>
      <c r="CG262" s="310"/>
      <c r="CH262" s="310"/>
      <c r="CI262" s="310"/>
      <c r="CJ262" s="310"/>
      <c r="CK262" s="310"/>
      <c r="CL262" s="310"/>
      <c r="CM262" s="310"/>
      <c r="CN262" s="310"/>
      <c r="CO262" s="310"/>
      <c r="CP262" s="310"/>
      <c r="CQ262" s="310"/>
      <c r="CR262" s="310"/>
      <c r="CS262" s="310"/>
      <c r="CT262" s="310"/>
      <c r="CU262" s="310"/>
      <c r="CV262" s="310"/>
      <c r="CW262" s="310"/>
      <c r="CX262" s="310"/>
      <c r="CY262" s="310"/>
      <c r="CZ262" s="310"/>
      <c r="DA262" s="310"/>
      <c r="DB262" s="310"/>
      <c r="DC262" s="310"/>
      <c r="DD262" s="310"/>
      <c r="DE262" s="310"/>
      <c r="DF262" s="310"/>
      <c r="DG262" s="310"/>
      <c r="DH262" s="310"/>
      <c r="DI262" s="310"/>
      <c r="DJ262" s="310"/>
      <c r="DK262" s="310"/>
      <c r="DL262" s="310"/>
      <c r="DM262" s="310"/>
      <c r="DN262" s="310"/>
      <c r="DO262" s="310"/>
      <c r="DP262" s="310"/>
      <c r="DQ262" s="310"/>
      <c r="DR262" s="310"/>
      <c r="DS262" s="310"/>
      <c r="DT262" s="310"/>
      <c r="DU262" s="310"/>
      <c r="DV262" s="310"/>
      <c r="DW262" s="310"/>
      <c r="DX262" s="310"/>
      <c r="DY262" s="310"/>
      <c r="DZ262" s="310"/>
      <c r="EA262" s="310"/>
      <c r="EB262" s="310"/>
      <c r="EC262" s="310"/>
      <c r="ED262" s="310"/>
      <c r="EE262" s="310"/>
      <c r="EF262" s="310"/>
      <c r="EG262" s="310"/>
      <c r="EH262" s="310"/>
      <c r="EI262" s="310"/>
      <c r="EJ262" s="310"/>
      <c r="EK262" s="310"/>
      <c r="EL262" s="310"/>
      <c r="EM262" s="310"/>
      <c r="EN262" s="310"/>
      <c r="EO262" s="310"/>
      <c r="EP262" s="310"/>
      <c r="EQ262" s="310"/>
      <c r="ER262" s="310"/>
      <c r="ES262" s="310"/>
      <c r="ET262" s="310"/>
      <c r="EU262" s="310"/>
      <c r="EV262" s="310"/>
      <c r="EW262" s="310"/>
      <c r="EX262" s="310"/>
      <c r="EY262" s="310"/>
      <c r="EZ262" s="310"/>
      <c r="FA262" s="310"/>
      <c r="FB262" s="310"/>
      <c r="FC262" s="310"/>
      <c r="FD262" s="310"/>
      <c r="FE262" s="311"/>
      <c r="FF262" s="312"/>
    </row>
    <row r="263" spans="1:162" ht="12.75" x14ac:dyDescent="0.2">
      <c r="A263" s="446">
        <v>256</v>
      </c>
      <c r="B263" s="447" t="s">
        <v>395</v>
      </c>
      <c r="C263" s="448" t="s">
        <v>1100</v>
      </c>
      <c r="D263" s="449" t="s">
        <v>1095</v>
      </c>
      <c r="E263" s="450" t="s">
        <v>394</v>
      </c>
      <c r="F263" s="451">
        <v>52617354</v>
      </c>
      <c r="G263" s="451">
        <v>0</v>
      </c>
      <c r="H263" s="451">
        <v>0</v>
      </c>
      <c r="I263" s="451">
        <v>52617354</v>
      </c>
      <c r="J263" s="451">
        <v>619634</v>
      </c>
      <c r="K263" s="451">
        <v>0</v>
      </c>
      <c r="L263" s="451">
        <v>0</v>
      </c>
      <c r="M263" s="451">
        <v>619634</v>
      </c>
      <c r="N263" s="451">
        <v>408929</v>
      </c>
      <c r="O263" s="451">
        <v>0</v>
      </c>
      <c r="P263" s="451">
        <v>0</v>
      </c>
      <c r="Q263" s="451">
        <v>408929</v>
      </c>
      <c r="R263" s="451">
        <v>786976</v>
      </c>
      <c r="S263" s="451">
        <v>0</v>
      </c>
      <c r="T263" s="451">
        <v>0</v>
      </c>
      <c r="U263" s="451">
        <v>786976</v>
      </c>
      <c r="V263" s="451">
        <v>2349718</v>
      </c>
      <c r="W263" s="451">
        <v>0</v>
      </c>
      <c r="X263" s="451">
        <v>0</v>
      </c>
      <c r="Y263" s="451">
        <v>2349718</v>
      </c>
      <c r="Z263" s="451">
        <v>48452097</v>
      </c>
      <c r="AA263" s="451">
        <v>0</v>
      </c>
      <c r="AB263" s="451">
        <v>0</v>
      </c>
      <c r="AC263" s="451">
        <v>48452097</v>
      </c>
      <c r="AD263" s="451">
        <v>0</v>
      </c>
      <c r="AE263" s="451">
        <v>0</v>
      </c>
      <c r="AF263" s="451">
        <v>0</v>
      </c>
      <c r="AG263" s="451">
        <v>0</v>
      </c>
      <c r="AH263" s="451">
        <v>0</v>
      </c>
      <c r="AI263" s="451">
        <v>0</v>
      </c>
      <c r="AJ263" s="451">
        <v>0</v>
      </c>
      <c r="AK263" s="451">
        <v>0</v>
      </c>
      <c r="AL263" s="451">
        <v>0</v>
      </c>
      <c r="AM263" s="451">
        <v>0</v>
      </c>
      <c r="AN263" s="451">
        <v>0</v>
      </c>
      <c r="AO263" s="451">
        <v>3549980</v>
      </c>
      <c r="AP263" s="451">
        <v>888689</v>
      </c>
      <c r="AQ263" s="324"/>
      <c r="AR263" s="310"/>
      <c r="AS263" s="310"/>
      <c r="AT263" s="310"/>
      <c r="AU263" s="310"/>
      <c r="AV263" s="310"/>
      <c r="AW263" s="310"/>
      <c r="AX263" s="310"/>
      <c r="AY263" s="310"/>
      <c r="AZ263" s="310"/>
      <c r="BA263" s="310"/>
      <c r="BB263" s="310"/>
      <c r="BC263" s="310"/>
      <c r="BD263" s="310"/>
      <c r="BE263" s="310"/>
      <c r="BF263" s="310"/>
      <c r="BG263" s="310"/>
      <c r="BH263" s="310"/>
      <c r="BI263" s="310"/>
      <c r="BJ263" s="310"/>
      <c r="BK263" s="310"/>
      <c r="BL263" s="310"/>
      <c r="BM263" s="310"/>
      <c r="BN263" s="310"/>
      <c r="BO263" s="310"/>
      <c r="BP263" s="310"/>
      <c r="BQ263" s="310"/>
      <c r="BR263" s="310"/>
      <c r="BS263" s="310"/>
      <c r="BT263" s="310"/>
      <c r="BU263" s="310"/>
      <c r="BV263" s="310"/>
      <c r="BW263" s="310"/>
      <c r="BX263" s="310"/>
      <c r="BY263" s="310"/>
      <c r="BZ263" s="310"/>
      <c r="CA263" s="310"/>
      <c r="CB263" s="310"/>
      <c r="CC263" s="310"/>
      <c r="CD263" s="310"/>
      <c r="CE263" s="310"/>
      <c r="CF263" s="310"/>
      <c r="CG263" s="310"/>
      <c r="CH263" s="310"/>
      <c r="CI263" s="310"/>
      <c r="CJ263" s="310"/>
      <c r="CK263" s="310"/>
      <c r="CL263" s="310"/>
      <c r="CM263" s="310"/>
      <c r="CN263" s="310"/>
      <c r="CO263" s="310"/>
      <c r="CP263" s="310"/>
      <c r="CQ263" s="310"/>
      <c r="CR263" s="310"/>
      <c r="CS263" s="310"/>
      <c r="CT263" s="310"/>
      <c r="CU263" s="310"/>
      <c r="CV263" s="310"/>
      <c r="CW263" s="310"/>
      <c r="CX263" s="310"/>
      <c r="CY263" s="310"/>
      <c r="CZ263" s="310"/>
      <c r="DA263" s="310"/>
      <c r="DB263" s="310"/>
      <c r="DC263" s="310"/>
      <c r="DD263" s="310"/>
      <c r="DE263" s="310"/>
      <c r="DF263" s="310"/>
      <c r="DG263" s="310"/>
      <c r="DH263" s="310"/>
      <c r="DI263" s="310"/>
      <c r="DJ263" s="310"/>
      <c r="DK263" s="310"/>
      <c r="DL263" s="310"/>
      <c r="DM263" s="310"/>
      <c r="DN263" s="310"/>
      <c r="DO263" s="310"/>
      <c r="DP263" s="310"/>
      <c r="DQ263" s="310"/>
      <c r="DR263" s="310"/>
      <c r="DS263" s="310"/>
      <c r="DT263" s="310"/>
      <c r="DU263" s="310"/>
      <c r="DV263" s="310"/>
      <c r="DW263" s="310"/>
      <c r="DX263" s="310"/>
      <c r="DY263" s="310"/>
      <c r="DZ263" s="310"/>
      <c r="EA263" s="310"/>
      <c r="EB263" s="310"/>
      <c r="EC263" s="310"/>
      <c r="ED263" s="310"/>
      <c r="EE263" s="310"/>
      <c r="EF263" s="310"/>
      <c r="EG263" s="310"/>
      <c r="EH263" s="310"/>
      <c r="EI263" s="310"/>
      <c r="EJ263" s="310"/>
      <c r="EK263" s="310"/>
      <c r="EL263" s="310"/>
      <c r="EM263" s="310"/>
      <c r="EN263" s="310"/>
      <c r="EO263" s="310"/>
      <c r="EP263" s="310"/>
      <c r="EQ263" s="310"/>
      <c r="ER263" s="310"/>
      <c r="ES263" s="310"/>
      <c r="ET263" s="310"/>
      <c r="EU263" s="310"/>
      <c r="EV263" s="310"/>
      <c r="EW263" s="310"/>
      <c r="EX263" s="310"/>
      <c r="EY263" s="310"/>
      <c r="EZ263" s="310"/>
      <c r="FA263" s="310"/>
      <c r="FB263" s="310"/>
      <c r="FC263" s="310"/>
      <c r="FD263" s="310"/>
      <c r="FE263" s="311"/>
      <c r="FF263" s="312"/>
    </row>
    <row r="264" spans="1:162" ht="12.75" x14ac:dyDescent="0.2">
      <c r="A264" s="446">
        <v>257</v>
      </c>
      <c r="B264" s="447" t="s">
        <v>397</v>
      </c>
      <c r="C264" s="448" t="s">
        <v>1093</v>
      </c>
      <c r="D264" s="449" t="s">
        <v>1103</v>
      </c>
      <c r="E264" s="450" t="s">
        <v>396</v>
      </c>
      <c r="F264" s="451">
        <v>44183024</v>
      </c>
      <c r="G264" s="451">
        <v>0</v>
      </c>
      <c r="H264" s="451">
        <v>0</v>
      </c>
      <c r="I264" s="451">
        <v>44183024</v>
      </c>
      <c r="J264" s="451">
        <v>103882</v>
      </c>
      <c r="K264" s="451">
        <v>0</v>
      </c>
      <c r="L264" s="451">
        <v>0</v>
      </c>
      <c r="M264" s="451">
        <v>103882</v>
      </c>
      <c r="N264" s="451">
        <v>302218</v>
      </c>
      <c r="O264" s="451">
        <v>0</v>
      </c>
      <c r="P264" s="451">
        <v>0</v>
      </c>
      <c r="Q264" s="451">
        <v>302218</v>
      </c>
      <c r="R264" s="451">
        <v>445610</v>
      </c>
      <c r="S264" s="451">
        <v>0</v>
      </c>
      <c r="T264" s="451">
        <v>0</v>
      </c>
      <c r="U264" s="451">
        <v>445610</v>
      </c>
      <c r="V264" s="451">
        <v>1336846</v>
      </c>
      <c r="W264" s="451">
        <v>0</v>
      </c>
      <c r="X264" s="451">
        <v>0</v>
      </c>
      <c r="Y264" s="451">
        <v>1336846</v>
      </c>
      <c r="Z264" s="451">
        <v>41994468</v>
      </c>
      <c r="AA264" s="451">
        <v>0</v>
      </c>
      <c r="AB264" s="451">
        <v>0</v>
      </c>
      <c r="AC264" s="451">
        <v>41994468</v>
      </c>
      <c r="AD264" s="451">
        <v>0</v>
      </c>
      <c r="AE264" s="451">
        <v>0</v>
      </c>
      <c r="AF264" s="451">
        <v>0</v>
      </c>
      <c r="AG264" s="451">
        <v>0</v>
      </c>
      <c r="AH264" s="451">
        <v>0</v>
      </c>
      <c r="AI264" s="451">
        <v>0</v>
      </c>
      <c r="AJ264" s="451">
        <v>0</v>
      </c>
      <c r="AK264" s="451">
        <v>0</v>
      </c>
      <c r="AL264" s="451">
        <v>0</v>
      </c>
      <c r="AM264" s="451">
        <v>0</v>
      </c>
      <c r="AN264" s="451">
        <v>0</v>
      </c>
      <c r="AO264" s="451">
        <v>1643503</v>
      </c>
      <c r="AP264" s="451">
        <v>71648</v>
      </c>
      <c r="AQ264" s="324"/>
      <c r="AR264" s="310"/>
      <c r="AS264" s="310"/>
      <c r="AT264" s="310"/>
      <c r="AU264" s="310"/>
      <c r="AV264" s="310"/>
      <c r="AW264" s="310"/>
      <c r="AX264" s="310"/>
      <c r="AY264" s="310"/>
      <c r="AZ264" s="310"/>
      <c r="BA264" s="310"/>
      <c r="BB264" s="310"/>
      <c r="BC264" s="310"/>
      <c r="BD264" s="310"/>
      <c r="BE264" s="310"/>
      <c r="BF264" s="310"/>
      <c r="BG264" s="310"/>
      <c r="BH264" s="310"/>
      <c r="BI264" s="310"/>
      <c r="BJ264" s="310"/>
      <c r="BK264" s="310"/>
      <c r="BL264" s="310"/>
      <c r="BM264" s="310"/>
      <c r="BN264" s="310"/>
      <c r="BO264" s="310"/>
      <c r="BP264" s="310"/>
      <c r="BQ264" s="310"/>
      <c r="BR264" s="310"/>
      <c r="BS264" s="310"/>
      <c r="BT264" s="310"/>
      <c r="BU264" s="310"/>
      <c r="BV264" s="310"/>
      <c r="BW264" s="310"/>
      <c r="BX264" s="310"/>
      <c r="BY264" s="310"/>
      <c r="BZ264" s="310"/>
      <c r="CA264" s="310"/>
      <c r="CB264" s="310"/>
      <c r="CC264" s="310"/>
      <c r="CD264" s="310"/>
      <c r="CE264" s="310"/>
      <c r="CF264" s="310"/>
      <c r="CG264" s="310"/>
      <c r="CH264" s="310"/>
      <c r="CI264" s="310"/>
      <c r="CJ264" s="310"/>
      <c r="CK264" s="310"/>
      <c r="CL264" s="310"/>
      <c r="CM264" s="310"/>
      <c r="CN264" s="310"/>
      <c r="CO264" s="310"/>
      <c r="CP264" s="310"/>
      <c r="CQ264" s="310"/>
      <c r="CR264" s="310"/>
      <c r="CS264" s="310"/>
      <c r="CT264" s="310"/>
      <c r="CU264" s="310"/>
      <c r="CV264" s="310"/>
      <c r="CW264" s="310"/>
      <c r="CX264" s="310"/>
      <c r="CY264" s="310"/>
      <c r="CZ264" s="310"/>
      <c r="DA264" s="310"/>
      <c r="DB264" s="310"/>
      <c r="DC264" s="310"/>
      <c r="DD264" s="310"/>
      <c r="DE264" s="310"/>
      <c r="DF264" s="310"/>
      <c r="DG264" s="310"/>
      <c r="DH264" s="310"/>
      <c r="DI264" s="310"/>
      <c r="DJ264" s="310"/>
      <c r="DK264" s="310"/>
      <c r="DL264" s="310"/>
      <c r="DM264" s="310"/>
      <c r="DN264" s="310"/>
      <c r="DO264" s="310"/>
      <c r="DP264" s="310"/>
      <c r="DQ264" s="310"/>
      <c r="DR264" s="310"/>
      <c r="DS264" s="310"/>
      <c r="DT264" s="310"/>
      <c r="DU264" s="310"/>
      <c r="DV264" s="310"/>
      <c r="DW264" s="310"/>
      <c r="DX264" s="310"/>
      <c r="DY264" s="310"/>
      <c r="DZ264" s="310"/>
      <c r="EA264" s="310"/>
      <c r="EB264" s="310"/>
      <c r="EC264" s="310"/>
      <c r="ED264" s="310"/>
      <c r="EE264" s="310"/>
      <c r="EF264" s="310"/>
      <c r="EG264" s="310"/>
      <c r="EH264" s="310"/>
      <c r="EI264" s="310"/>
      <c r="EJ264" s="310"/>
      <c r="EK264" s="310"/>
      <c r="EL264" s="310"/>
      <c r="EM264" s="310"/>
      <c r="EN264" s="310"/>
      <c r="EO264" s="310"/>
      <c r="EP264" s="310"/>
      <c r="EQ264" s="310"/>
      <c r="ER264" s="310"/>
      <c r="ES264" s="310"/>
      <c r="ET264" s="310"/>
      <c r="EU264" s="310"/>
      <c r="EV264" s="310"/>
      <c r="EW264" s="310"/>
      <c r="EX264" s="310"/>
      <c r="EY264" s="310"/>
      <c r="EZ264" s="310"/>
      <c r="FA264" s="310"/>
      <c r="FB264" s="310"/>
      <c r="FC264" s="310"/>
      <c r="FD264" s="310"/>
      <c r="FE264" s="311"/>
      <c r="FF264" s="312"/>
    </row>
    <row r="265" spans="1:162" ht="12.75" x14ac:dyDescent="0.2">
      <c r="A265" s="446">
        <v>258</v>
      </c>
      <c r="B265" s="447" t="s">
        <v>399</v>
      </c>
      <c r="C265" s="448" t="s">
        <v>1093</v>
      </c>
      <c r="D265" s="449" t="s">
        <v>1103</v>
      </c>
      <c r="E265" s="450" t="s">
        <v>398</v>
      </c>
      <c r="F265" s="451">
        <v>17801478</v>
      </c>
      <c r="G265" s="451">
        <v>0</v>
      </c>
      <c r="H265" s="451">
        <v>0</v>
      </c>
      <c r="I265" s="451">
        <v>17801478</v>
      </c>
      <c r="J265" s="451">
        <v>165020</v>
      </c>
      <c r="K265" s="451">
        <v>0</v>
      </c>
      <c r="L265" s="451">
        <v>0</v>
      </c>
      <c r="M265" s="451">
        <v>165020</v>
      </c>
      <c r="N265" s="451">
        <v>-25496</v>
      </c>
      <c r="O265" s="451">
        <v>0</v>
      </c>
      <c r="P265" s="451">
        <v>0</v>
      </c>
      <c r="Q265" s="451">
        <v>-25496</v>
      </c>
      <c r="R265" s="451">
        <v>110126</v>
      </c>
      <c r="S265" s="451">
        <v>0</v>
      </c>
      <c r="T265" s="451">
        <v>0</v>
      </c>
      <c r="U265" s="451">
        <v>110126</v>
      </c>
      <c r="V265" s="451">
        <v>267495</v>
      </c>
      <c r="W265" s="451">
        <v>0</v>
      </c>
      <c r="X265" s="451">
        <v>0</v>
      </c>
      <c r="Y265" s="451">
        <v>267495</v>
      </c>
      <c r="Z265" s="451">
        <v>17284333</v>
      </c>
      <c r="AA265" s="451">
        <v>0</v>
      </c>
      <c r="AB265" s="451">
        <v>0</v>
      </c>
      <c r="AC265" s="451">
        <v>17284333</v>
      </c>
      <c r="AD265" s="451">
        <v>0</v>
      </c>
      <c r="AE265" s="451">
        <v>0</v>
      </c>
      <c r="AF265" s="451">
        <v>0</v>
      </c>
      <c r="AG265" s="451">
        <v>0</v>
      </c>
      <c r="AH265" s="451">
        <v>0</v>
      </c>
      <c r="AI265" s="451">
        <v>0</v>
      </c>
      <c r="AJ265" s="451">
        <v>0</v>
      </c>
      <c r="AK265" s="451">
        <v>0</v>
      </c>
      <c r="AL265" s="451">
        <v>0</v>
      </c>
      <c r="AM265" s="451">
        <v>0</v>
      </c>
      <c r="AN265" s="451">
        <v>0</v>
      </c>
      <c r="AO265" s="451">
        <v>562532</v>
      </c>
      <c r="AP265" s="451">
        <v>125324</v>
      </c>
      <c r="AQ265" s="324"/>
      <c r="AR265" s="310"/>
      <c r="AS265" s="310"/>
      <c r="AT265" s="310"/>
      <c r="AU265" s="310"/>
      <c r="AV265" s="310"/>
      <c r="AW265" s="310"/>
      <c r="AX265" s="310"/>
      <c r="AY265" s="310"/>
      <c r="AZ265" s="310"/>
      <c r="BA265" s="310"/>
      <c r="BB265" s="310"/>
      <c r="BC265" s="310"/>
      <c r="BD265" s="310"/>
      <c r="BE265" s="310"/>
      <c r="BF265" s="310"/>
      <c r="BG265" s="310"/>
      <c r="BH265" s="310"/>
      <c r="BI265" s="310"/>
      <c r="BJ265" s="310"/>
      <c r="BK265" s="310"/>
      <c r="BL265" s="310"/>
      <c r="BM265" s="310"/>
      <c r="BN265" s="310"/>
      <c r="BO265" s="310"/>
      <c r="BP265" s="310"/>
      <c r="BQ265" s="310"/>
      <c r="BR265" s="310"/>
      <c r="BS265" s="310"/>
      <c r="BT265" s="310"/>
      <c r="BU265" s="310"/>
      <c r="BV265" s="310"/>
      <c r="BW265" s="310"/>
      <c r="BX265" s="310"/>
      <c r="BY265" s="310"/>
      <c r="BZ265" s="310"/>
      <c r="CA265" s="310"/>
      <c r="CB265" s="310"/>
      <c r="CC265" s="310"/>
      <c r="CD265" s="310"/>
      <c r="CE265" s="310"/>
      <c r="CF265" s="310"/>
      <c r="CG265" s="310"/>
      <c r="CH265" s="310"/>
      <c r="CI265" s="310"/>
      <c r="CJ265" s="310"/>
      <c r="CK265" s="310"/>
      <c r="CL265" s="310"/>
      <c r="CM265" s="310"/>
      <c r="CN265" s="310"/>
      <c r="CO265" s="310"/>
      <c r="CP265" s="310"/>
      <c r="CQ265" s="310"/>
      <c r="CR265" s="310"/>
      <c r="CS265" s="310"/>
      <c r="CT265" s="310"/>
      <c r="CU265" s="310"/>
      <c r="CV265" s="310"/>
      <c r="CW265" s="310"/>
      <c r="CX265" s="310"/>
      <c r="CY265" s="310"/>
      <c r="CZ265" s="310"/>
      <c r="DA265" s="310"/>
      <c r="DB265" s="310"/>
      <c r="DC265" s="310"/>
      <c r="DD265" s="310"/>
      <c r="DE265" s="310"/>
      <c r="DF265" s="310"/>
      <c r="DG265" s="310"/>
      <c r="DH265" s="310"/>
      <c r="DI265" s="310"/>
      <c r="DJ265" s="310"/>
      <c r="DK265" s="310"/>
      <c r="DL265" s="310"/>
      <c r="DM265" s="310"/>
      <c r="DN265" s="310"/>
      <c r="DO265" s="310"/>
      <c r="DP265" s="310"/>
      <c r="DQ265" s="310"/>
      <c r="DR265" s="310"/>
      <c r="DS265" s="310"/>
      <c r="DT265" s="310"/>
      <c r="DU265" s="310"/>
      <c r="DV265" s="310"/>
      <c r="DW265" s="310"/>
      <c r="DX265" s="310"/>
      <c r="DY265" s="310"/>
      <c r="DZ265" s="310"/>
      <c r="EA265" s="310"/>
      <c r="EB265" s="310"/>
      <c r="EC265" s="310"/>
      <c r="ED265" s="310"/>
      <c r="EE265" s="310"/>
      <c r="EF265" s="310"/>
      <c r="EG265" s="310"/>
      <c r="EH265" s="310"/>
      <c r="EI265" s="310"/>
      <c r="EJ265" s="310"/>
      <c r="EK265" s="310"/>
      <c r="EL265" s="310"/>
      <c r="EM265" s="310"/>
      <c r="EN265" s="310"/>
      <c r="EO265" s="310"/>
      <c r="EP265" s="310"/>
      <c r="EQ265" s="310"/>
      <c r="ER265" s="310"/>
      <c r="ES265" s="310"/>
      <c r="ET265" s="310"/>
      <c r="EU265" s="310"/>
      <c r="EV265" s="310"/>
      <c r="EW265" s="310"/>
      <c r="EX265" s="310"/>
      <c r="EY265" s="310"/>
      <c r="EZ265" s="310"/>
      <c r="FA265" s="310"/>
      <c r="FB265" s="310"/>
      <c r="FC265" s="310"/>
      <c r="FD265" s="310"/>
      <c r="FE265" s="311"/>
      <c r="FF265" s="312"/>
    </row>
    <row r="266" spans="1:162" ht="12.75" x14ac:dyDescent="0.2">
      <c r="A266" s="446">
        <v>259</v>
      </c>
      <c r="B266" s="447" t="s">
        <v>401</v>
      </c>
      <c r="C266" s="448" t="s">
        <v>1093</v>
      </c>
      <c r="D266" s="449" t="s">
        <v>1097</v>
      </c>
      <c r="E266" s="450" t="s">
        <v>400</v>
      </c>
      <c r="F266" s="451">
        <v>49110293</v>
      </c>
      <c r="G266" s="451">
        <v>0</v>
      </c>
      <c r="H266" s="451">
        <v>0</v>
      </c>
      <c r="I266" s="451">
        <v>49110293</v>
      </c>
      <c r="J266" s="451">
        <v>6509</v>
      </c>
      <c r="K266" s="451">
        <v>0</v>
      </c>
      <c r="L266" s="451">
        <v>0</v>
      </c>
      <c r="M266" s="451">
        <v>6509</v>
      </c>
      <c r="N266" s="451">
        <v>889476</v>
      </c>
      <c r="O266" s="451">
        <v>0</v>
      </c>
      <c r="P266" s="451">
        <v>0</v>
      </c>
      <c r="Q266" s="451">
        <v>889476</v>
      </c>
      <c r="R266" s="451">
        <v>806191</v>
      </c>
      <c r="S266" s="451">
        <v>0</v>
      </c>
      <c r="T266" s="451">
        <v>0</v>
      </c>
      <c r="U266" s="451">
        <v>806191</v>
      </c>
      <c r="V266" s="451">
        <v>2769460</v>
      </c>
      <c r="W266" s="451">
        <v>0</v>
      </c>
      <c r="X266" s="451">
        <v>0</v>
      </c>
      <c r="Y266" s="451">
        <v>2769460</v>
      </c>
      <c r="Z266" s="451">
        <v>44638657</v>
      </c>
      <c r="AA266" s="451">
        <v>0</v>
      </c>
      <c r="AB266" s="451">
        <v>0</v>
      </c>
      <c r="AC266" s="451">
        <v>44638657</v>
      </c>
      <c r="AD266" s="451">
        <v>0</v>
      </c>
      <c r="AE266" s="451">
        <v>0</v>
      </c>
      <c r="AF266" s="451">
        <v>0</v>
      </c>
      <c r="AG266" s="451">
        <v>0</v>
      </c>
      <c r="AH266" s="451">
        <v>0</v>
      </c>
      <c r="AI266" s="451">
        <v>0</v>
      </c>
      <c r="AJ266" s="451">
        <v>0</v>
      </c>
      <c r="AK266" s="451">
        <v>0</v>
      </c>
      <c r="AL266" s="451">
        <v>0</v>
      </c>
      <c r="AM266" s="451">
        <v>0</v>
      </c>
      <c r="AN266" s="451">
        <v>0</v>
      </c>
      <c r="AO266" s="451">
        <v>3913040</v>
      </c>
      <c r="AP266" s="451">
        <v>-1243805.3999999999</v>
      </c>
      <c r="AQ266" s="324"/>
      <c r="AR266" s="310"/>
      <c r="AS266" s="310"/>
      <c r="AT266" s="310"/>
      <c r="AU266" s="310"/>
      <c r="AV266" s="310"/>
      <c r="AW266" s="310"/>
      <c r="AX266" s="310"/>
      <c r="AY266" s="310"/>
      <c r="AZ266" s="310"/>
      <c r="BA266" s="310"/>
      <c r="BB266" s="310"/>
      <c r="BC266" s="310"/>
      <c r="BD266" s="310"/>
      <c r="BE266" s="310"/>
      <c r="BF266" s="310"/>
      <c r="BG266" s="310"/>
      <c r="BH266" s="310"/>
      <c r="BI266" s="310"/>
      <c r="BJ266" s="310"/>
      <c r="BK266" s="310"/>
      <c r="BL266" s="310"/>
      <c r="BM266" s="310"/>
      <c r="BN266" s="310"/>
      <c r="BO266" s="310"/>
      <c r="BP266" s="310"/>
      <c r="BQ266" s="310"/>
      <c r="BR266" s="310"/>
      <c r="BS266" s="310"/>
      <c r="BT266" s="310"/>
      <c r="BU266" s="310"/>
      <c r="BV266" s="310"/>
      <c r="BW266" s="310"/>
      <c r="BX266" s="310"/>
      <c r="BY266" s="310"/>
      <c r="BZ266" s="310"/>
      <c r="CA266" s="310"/>
      <c r="CB266" s="310"/>
      <c r="CC266" s="310"/>
      <c r="CD266" s="310"/>
      <c r="CE266" s="310"/>
      <c r="CF266" s="310"/>
      <c r="CG266" s="310"/>
      <c r="CH266" s="310"/>
      <c r="CI266" s="310"/>
      <c r="CJ266" s="310"/>
      <c r="CK266" s="310"/>
      <c r="CL266" s="310"/>
      <c r="CM266" s="310"/>
      <c r="CN266" s="310"/>
      <c r="CO266" s="310"/>
      <c r="CP266" s="310"/>
      <c r="CQ266" s="310"/>
      <c r="CR266" s="310"/>
      <c r="CS266" s="310"/>
      <c r="CT266" s="310"/>
      <c r="CU266" s="310"/>
      <c r="CV266" s="310"/>
      <c r="CW266" s="310"/>
      <c r="CX266" s="310"/>
      <c r="CY266" s="310"/>
      <c r="CZ266" s="310"/>
      <c r="DA266" s="310"/>
      <c r="DB266" s="310"/>
      <c r="DC266" s="310"/>
      <c r="DD266" s="310"/>
      <c r="DE266" s="310"/>
      <c r="DF266" s="310"/>
      <c r="DG266" s="310"/>
      <c r="DH266" s="310"/>
      <c r="DI266" s="310"/>
      <c r="DJ266" s="310"/>
      <c r="DK266" s="310"/>
      <c r="DL266" s="310"/>
      <c r="DM266" s="310"/>
      <c r="DN266" s="310"/>
      <c r="DO266" s="310"/>
      <c r="DP266" s="310"/>
      <c r="DQ266" s="310"/>
      <c r="DR266" s="310"/>
      <c r="DS266" s="310"/>
      <c r="DT266" s="310"/>
      <c r="DU266" s="310"/>
      <c r="DV266" s="310"/>
      <c r="DW266" s="310"/>
      <c r="DX266" s="310"/>
      <c r="DY266" s="310"/>
      <c r="DZ266" s="310"/>
      <c r="EA266" s="310"/>
      <c r="EB266" s="310"/>
      <c r="EC266" s="310"/>
      <c r="ED266" s="310"/>
      <c r="EE266" s="310"/>
      <c r="EF266" s="310"/>
      <c r="EG266" s="310"/>
      <c r="EH266" s="310"/>
      <c r="EI266" s="310"/>
      <c r="EJ266" s="310"/>
      <c r="EK266" s="310"/>
      <c r="EL266" s="310"/>
      <c r="EM266" s="310"/>
      <c r="EN266" s="310"/>
      <c r="EO266" s="310"/>
      <c r="EP266" s="310"/>
      <c r="EQ266" s="310"/>
      <c r="ER266" s="310"/>
      <c r="ES266" s="310"/>
      <c r="ET266" s="310"/>
      <c r="EU266" s="310"/>
      <c r="EV266" s="310"/>
      <c r="EW266" s="310"/>
      <c r="EX266" s="310"/>
      <c r="EY266" s="310"/>
      <c r="EZ266" s="310"/>
      <c r="FA266" s="310"/>
      <c r="FB266" s="310"/>
      <c r="FC266" s="310"/>
      <c r="FD266" s="310"/>
      <c r="FE266" s="311"/>
      <c r="FF266" s="312"/>
    </row>
    <row r="267" spans="1:162" ht="12.75" x14ac:dyDescent="0.2">
      <c r="A267" s="446">
        <v>260</v>
      </c>
      <c r="B267" s="447" t="s">
        <v>403</v>
      </c>
      <c r="C267" s="448" t="s">
        <v>1100</v>
      </c>
      <c r="D267" s="449" t="s">
        <v>1095</v>
      </c>
      <c r="E267" s="450" t="s">
        <v>402</v>
      </c>
      <c r="F267" s="451">
        <v>89835804</v>
      </c>
      <c r="G267" s="451">
        <v>0</v>
      </c>
      <c r="H267" s="451">
        <v>0</v>
      </c>
      <c r="I267" s="451">
        <v>89835804</v>
      </c>
      <c r="J267" s="451">
        <v>1005661</v>
      </c>
      <c r="K267" s="451">
        <v>0</v>
      </c>
      <c r="L267" s="451">
        <v>0</v>
      </c>
      <c r="M267" s="451">
        <v>1005661</v>
      </c>
      <c r="N267" s="451">
        <v>-317867</v>
      </c>
      <c r="O267" s="451">
        <v>0</v>
      </c>
      <c r="P267" s="451">
        <v>0</v>
      </c>
      <c r="Q267" s="451">
        <v>-317867</v>
      </c>
      <c r="R267" s="451">
        <v>1011586</v>
      </c>
      <c r="S267" s="451">
        <v>0</v>
      </c>
      <c r="T267" s="451">
        <v>0</v>
      </c>
      <c r="U267" s="451">
        <v>1011586</v>
      </c>
      <c r="V267" s="451">
        <v>2929317</v>
      </c>
      <c r="W267" s="451">
        <v>0</v>
      </c>
      <c r="X267" s="451">
        <v>0</v>
      </c>
      <c r="Y267" s="451">
        <v>2929317</v>
      </c>
      <c r="Z267" s="451">
        <v>85207107</v>
      </c>
      <c r="AA267" s="451">
        <v>0</v>
      </c>
      <c r="AB267" s="451">
        <v>0</v>
      </c>
      <c r="AC267" s="451">
        <v>85207107</v>
      </c>
      <c r="AD267" s="451">
        <v>0</v>
      </c>
      <c r="AE267" s="451">
        <v>0</v>
      </c>
      <c r="AF267" s="451">
        <v>0</v>
      </c>
      <c r="AG267" s="451">
        <v>0</v>
      </c>
      <c r="AH267" s="451">
        <v>0</v>
      </c>
      <c r="AI267" s="451">
        <v>0</v>
      </c>
      <c r="AJ267" s="451">
        <v>0</v>
      </c>
      <c r="AK267" s="451">
        <v>0</v>
      </c>
      <c r="AL267" s="451">
        <v>0</v>
      </c>
      <c r="AM267" s="451">
        <v>0</v>
      </c>
      <c r="AN267" s="451">
        <v>0</v>
      </c>
      <c r="AO267" s="451">
        <v>12130438</v>
      </c>
      <c r="AP267" s="451">
        <v>-1389389</v>
      </c>
      <c r="AQ267" s="324"/>
      <c r="AR267" s="310"/>
      <c r="AS267" s="310"/>
      <c r="AT267" s="310"/>
      <c r="AU267" s="310"/>
      <c r="AV267" s="310"/>
      <c r="AW267" s="310"/>
      <c r="AX267" s="310"/>
      <c r="AY267" s="310"/>
      <c r="AZ267" s="310"/>
      <c r="BA267" s="310"/>
      <c r="BB267" s="310"/>
      <c r="BC267" s="310"/>
      <c r="BD267" s="310"/>
      <c r="BE267" s="310"/>
      <c r="BF267" s="310"/>
      <c r="BG267" s="310"/>
      <c r="BH267" s="310"/>
      <c r="BI267" s="310"/>
      <c r="BJ267" s="310"/>
      <c r="BK267" s="310"/>
      <c r="BL267" s="310"/>
      <c r="BM267" s="310"/>
      <c r="BN267" s="310"/>
      <c r="BO267" s="310"/>
      <c r="BP267" s="310"/>
      <c r="BQ267" s="310"/>
      <c r="BR267" s="310"/>
      <c r="BS267" s="310"/>
      <c r="BT267" s="310"/>
      <c r="BU267" s="310"/>
      <c r="BV267" s="310"/>
      <c r="BW267" s="310"/>
      <c r="BX267" s="310"/>
      <c r="BY267" s="310"/>
      <c r="BZ267" s="310"/>
      <c r="CA267" s="310"/>
      <c r="CB267" s="310"/>
      <c r="CC267" s="310"/>
      <c r="CD267" s="310"/>
      <c r="CE267" s="310"/>
      <c r="CF267" s="310"/>
      <c r="CG267" s="310"/>
      <c r="CH267" s="310"/>
      <c r="CI267" s="310"/>
      <c r="CJ267" s="310"/>
      <c r="CK267" s="310"/>
      <c r="CL267" s="310"/>
      <c r="CM267" s="310"/>
      <c r="CN267" s="310"/>
      <c r="CO267" s="310"/>
      <c r="CP267" s="310"/>
      <c r="CQ267" s="310"/>
      <c r="CR267" s="310"/>
      <c r="CS267" s="310"/>
      <c r="CT267" s="310"/>
      <c r="CU267" s="310"/>
      <c r="CV267" s="310"/>
      <c r="CW267" s="310"/>
      <c r="CX267" s="310"/>
      <c r="CY267" s="310"/>
      <c r="CZ267" s="310"/>
      <c r="DA267" s="310"/>
      <c r="DB267" s="310"/>
      <c r="DC267" s="310"/>
      <c r="DD267" s="310"/>
      <c r="DE267" s="310"/>
      <c r="DF267" s="310"/>
      <c r="DG267" s="310"/>
      <c r="DH267" s="310"/>
      <c r="DI267" s="310"/>
      <c r="DJ267" s="310"/>
      <c r="DK267" s="310"/>
      <c r="DL267" s="310"/>
      <c r="DM267" s="310"/>
      <c r="DN267" s="310"/>
      <c r="DO267" s="310"/>
      <c r="DP267" s="310"/>
      <c r="DQ267" s="310"/>
      <c r="DR267" s="310"/>
      <c r="DS267" s="310"/>
      <c r="DT267" s="310"/>
      <c r="DU267" s="310"/>
      <c r="DV267" s="310"/>
      <c r="DW267" s="310"/>
      <c r="DX267" s="310"/>
      <c r="DY267" s="310"/>
      <c r="DZ267" s="310"/>
      <c r="EA267" s="310"/>
      <c r="EB267" s="310"/>
      <c r="EC267" s="310"/>
      <c r="ED267" s="310"/>
      <c r="EE267" s="310"/>
      <c r="EF267" s="310"/>
      <c r="EG267" s="310"/>
      <c r="EH267" s="310"/>
      <c r="EI267" s="310"/>
      <c r="EJ267" s="310"/>
      <c r="EK267" s="310"/>
      <c r="EL267" s="310"/>
      <c r="EM267" s="310"/>
      <c r="EN267" s="310"/>
      <c r="EO267" s="310"/>
      <c r="EP267" s="310"/>
      <c r="EQ267" s="310"/>
      <c r="ER267" s="310"/>
      <c r="ES267" s="310"/>
      <c r="ET267" s="310"/>
      <c r="EU267" s="310"/>
      <c r="EV267" s="310"/>
      <c r="EW267" s="310"/>
      <c r="EX267" s="310"/>
      <c r="EY267" s="310"/>
      <c r="EZ267" s="310"/>
      <c r="FA267" s="310"/>
      <c r="FB267" s="310"/>
      <c r="FC267" s="310"/>
      <c r="FD267" s="310"/>
      <c r="FE267" s="311"/>
      <c r="FF267" s="312"/>
    </row>
    <row r="268" spans="1:162" ht="12.75" x14ac:dyDescent="0.2">
      <c r="A268" s="446">
        <v>261</v>
      </c>
      <c r="B268" s="447" t="s">
        <v>405</v>
      </c>
      <c r="C268" s="448" t="s">
        <v>794</v>
      </c>
      <c r="D268" s="449" t="s">
        <v>1105</v>
      </c>
      <c r="E268" s="450" t="s">
        <v>747</v>
      </c>
      <c r="F268" s="451">
        <v>80893072</v>
      </c>
      <c r="G268" s="451">
        <v>0</v>
      </c>
      <c r="H268" s="451">
        <v>0</v>
      </c>
      <c r="I268" s="451">
        <v>80893072</v>
      </c>
      <c r="J268" s="451">
        <v>295133</v>
      </c>
      <c r="K268" s="451">
        <v>0</v>
      </c>
      <c r="L268" s="451">
        <v>0</v>
      </c>
      <c r="M268" s="451">
        <v>295133</v>
      </c>
      <c r="N268" s="451">
        <v>82518</v>
      </c>
      <c r="O268" s="451">
        <v>0</v>
      </c>
      <c r="P268" s="451">
        <v>0</v>
      </c>
      <c r="Q268" s="451">
        <v>82518</v>
      </c>
      <c r="R268" s="451">
        <v>1207644</v>
      </c>
      <c r="S268" s="451">
        <v>0</v>
      </c>
      <c r="T268" s="451">
        <v>0</v>
      </c>
      <c r="U268" s="451">
        <v>1207644</v>
      </c>
      <c r="V268" s="451">
        <v>1835303</v>
      </c>
      <c r="W268" s="451">
        <v>0</v>
      </c>
      <c r="X268" s="451">
        <v>0</v>
      </c>
      <c r="Y268" s="451">
        <v>1835303</v>
      </c>
      <c r="Z268" s="451">
        <v>77472474</v>
      </c>
      <c r="AA268" s="451">
        <v>0</v>
      </c>
      <c r="AB268" s="451">
        <v>0</v>
      </c>
      <c r="AC268" s="451">
        <v>77472474</v>
      </c>
      <c r="AD268" s="451">
        <v>0</v>
      </c>
      <c r="AE268" s="451">
        <v>0</v>
      </c>
      <c r="AF268" s="451">
        <v>0</v>
      </c>
      <c r="AG268" s="451">
        <v>0</v>
      </c>
      <c r="AH268" s="451">
        <v>0</v>
      </c>
      <c r="AI268" s="451">
        <v>0</v>
      </c>
      <c r="AJ268" s="451">
        <v>0</v>
      </c>
      <c r="AK268" s="451">
        <v>0</v>
      </c>
      <c r="AL268" s="451">
        <v>0</v>
      </c>
      <c r="AM268" s="451">
        <v>0</v>
      </c>
      <c r="AN268" s="451">
        <v>0</v>
      </c>
      <c r="AO268" s="451">
        <v>1211168</v>
      </c>
      <c r="AP268" s="451">
        <v>1470911</v>
      </c>
      <c r="AQ268" s="324"/>
      <c r="AR268" s="310"/>
      <c r="AS268" s="310"/>
      <c r="AT268" s="310"/>
      <c r="AU268" s="310"/>
      <c r="AV268" s="310"/>
      <c r="AW268" s="310"/>
      <c r="AX268" s="310"/>
      <c r="AY268" s="310"/>
      <c r="AZ268" s="310"/>
      <c r="BA268" s="310"/>
      <c r="BB268" s="310"/>
      <c r="BC268" s="310"/>
      <c r="BD268" s="310"/>
      <c r="BE268" s="310"/>
      <c r="BF268" s="310"/>
      <c r="BG268" s="310"/>
      <c r="BH268" s="310"/>
      <c r="BI268" s="310"/>
      <c r="BJ268" s="310"/>
      <c r="BK268" s="310"/>
      <c r="BL268" s="310"/>
      <c r="BM268" s="310"/>
      <c r="BN268" s="310"/>
      <c r="BO268" s="310"/>
      <c r="BP268" s="310"/>
      <c r="BQ268" s="310"/>
      <c r="BR268" s="310"/>
      <c r="BS268" s="310"/>
      <c r="BT268" s="310"/>
      <c r="BU268" s="310"/>
      <c r="BV268" s="310"/>
      <c r="BW268" s="310"/>
      <c r="BX268" s="310"/>
      <c r="BY268" s="310"/>
      <c r="BZ268" s="310"/>
      <c r="CA268" s="310"/>
      <c r="CB268" s="310"/>
      <c r="CC268" s="310"/>
      <c r="CD268" s="310"/>
      <c r="CE268" s="310"/>
      <c r="CF268" s="310"/>
      <c r="CG268" s="310"/>
      <c r="CH268" s="310"/>
      <c r="CI268" s="310"/>
      <c r="CJ268" s="310"/>
      <c r="CK268" s="310"/>
      <c r="CL268" s="310"/>
      <c r="CM268" s="310"/>
      <c r="CN268" s="310"/>
      <c r="CO268" s="310"/>
      <c r="CP268" s="310"/>
      <c r="CQ268" s="310"/>
      <c r="CR268" s="310"/>
      <c r="CS268" s="310"/>
      <c r="CT268" s="310"/>
      <c r="CU268" s="310"/>
      <c r="CV268" s="310"/>
      <c r="CW268" s="310"/>
      <c r="CX268" s="310"/>
      <c r="CY268" s="310"/>
      <c r="CZ268" s="310"/>
      <c r="DA268" s="310"/>
      <c r="DB268" s="310"/>
      <c r="DC268" s="310"/>
      <c r="DD268" s="310"/>
      <c r="DE268" s="310"/>
      <c r="DF268" s="310"/>
      <c r="DG268" s="310"/>
      <c r="DH268" s="310"/>
      <c r="DI268" s="310"/>
      <c r="DJ268" s="310"/>
      <c r="DK268" s="310"/>
      <c r="DL268" s="310"/>
      <c r="DM268" s="310"/>
      <c r="DN268" s="310"/>
      <c r="DO268" s="310"/>
      <c r="DP268" s="310"/>
      <c r="DQ268" s="310"/>
      <c r="DR268" s="310"/>
      <c r="DS268" s="310"/>
      <c r="DT268" s="310"/>
      <c r="DU268" s="310"/>
      <c r="DV268" s="310"/>
      <c r="DW268" s="310"/>
      <c r="DX268" s="310"/>
      <c r="DY268" s="310"/>
      <c r="DZ268" s="310"/>
      <c r="EA268" s="310"/>
      <c r="EB268" s="310"/>
      <c r="EC268" s="310"/>
      <c r="ED268" s="310"/>
      <c r="EE268" s="310"/>
      <c r="EF268" s="310"/>
      <c r="EG268" s="310"/>
      <c r="EH268" s="310"/>
      <c r="EI268" s="310"/>
      <c r="EJ268" s="310"/>
      <c r="EK268" s="310"/>
      <c r="EL268" s="310"/>
      <c r="EM268" s="310"/>
      <c r="EN268" s="310"/>
      <c r="EO268" s="310"/>
      <c r="EP268" s="310"/>
      <c r="EQ268" s="310"/>
      <c r="ER268" s="310"/>
      <c r="ES268" s="310"/>
      <c r="ET268" s="310"/>
      <c r="EU268" s="310"/>
      <c r="EV268" s="310"/>
      <c r="EW268" s="310"/>
      <c r="EX268" s="310"/>
      <c r="EY268" s="310"/>
      <c r="EZ268" s="310"/>
      <c r="FA268" s="310"/>
      <c r="FB268" s="310"/>
      <c r="FC268" s="310"/>
      <c r="FD268" s="310"/>
      <c r="FE268" s="311"/>
      <c r="FF268" s="312"/>
    </row>
    <row r="269" spans="1:162" ht="12.75" x14ac:dyDescent="0.2">
      <c r="A269" s="446">
        <v>262</v>
      </c>
      <c r="B269" s="447" t="s">
        <v>407</v>
      </c>
      <c r="C269" s="448" t="s">
        <v>794</v>
      </c>
      <c r="D269" s="449" t="s">
        <v>1103</v>
      </c>
      <c r="E269" s="450" t="s">
        <v>748</v>
      </c>
      <c r="F269" s="451">
        <v>84884602</v>
      </c>
      <c r="G269" s="451">
        <v>0</v>
      </c>
      <c r="H269" s="451">
        <v>0</v>
      </c>
      <c r="I269" s="451">
        <v>84884602</v>
      </c>
      <c r="J269" s="451">
        <v>1418768</v>
      </c>
      <c r="K269" s="451">
        <v>0</v>
      </c>
      <c r="L269" s="451">
        <v>0</v>
      </c>
      <c r="M269" s="451">
        <v>1418768</v>
      </c>
      <c r="N269" s="451">
        <v>-621000</v>
      </c>
      <c r="O269" s="451">
        <v>0</v>
      </c>
      <c r="P269" s="451">
        <v>0</v>
      </c>
      <c r="Q269" s="451">
        <v>-621000</v>
      </c>
      <c r="R269" s="451">
        <v>2300000</v>
      </c>
      <c r="S269" s="451">
        <v>0</v>
      </c>
      <c r="T269" s="451">
        <v>0</v>
      </c>
      <c r="U269" s="451">
        <v>2300000</v>
      </c>
      <c r="V269" s="451">
        <v>6000000</v>
      </c>
      <c r="W269" s="451">
        <v>0</v>
      </c>
      <c r="X269" s="451">
        <v>0</v>
      </c>
      <c r="Y269" s="451">
        <v>6000000</v>
      </c>
      <c r="Z269" s="451">
        <v>75786834</v>
      </c>
      <c r="AA269" s="451">
        <v>0</v>
      </c>
      <c r="AB269" s="451">
        <v>0</v>
      </c>
      <c r="AC269" s="451">
        <v>75786834</v>
      </c>
      <c r="AD269" s="451">
        <v>0</v>
      </c>
      <c r="AE269" s="451">
        <v>0</v>
      </c>
      <c r="AF269" s="451">
        <v>0</v>
      </c>
      <c r="AG269" s="451">
        <v>0</v>
      </c>
      <c r="AH269" s="451">
        <v>0</v>
      </c>
      <c r="AI269" s="451">
        <v>0</v>
      </c>
      <c r="AJ269" s="451">
        <v>0</v>
      </c>
      <c r="AK269" s="451">
        <v>0</v>
      </c>
      <c r="AL269" s="451">
        <v>0</v>
      </c>
      <c r="AM269" s="451">
        <v>0</v>
      </c>
      <c r="AN269" s="451">
        <v>0</v>
      </c>
      <c r="AO269" s="451">
        <v>4671739</v>
      </c>
      <c r="AP269" s="451">
        <v>4975538</v>
      </c>
      <c r="AQ269" s="324"/>
      <c r="AR269" s="310"/>
      <c r="AS269" s="310"/>
      <c r="AT269" s="310"/>
      <c r="AU269" s="310"/>
      <c r="AV269" s="310"/>
      <c r="AW269" s="310"/>
      <c r="AX269" s="310"/>
      <c r="AY269" s="310"/>
      <c r="AZ269" s="310"/>
      <c r="BA269" s="310"/>
      <c r="BB269" s="310"/>
      <c r="BC269" s="310"/>
      <c r="BD269" s="310"/>
      <c r="BE269" s="310"/>
      <c r="BF269" s="310"/>
      <c r="BG269" s="310"/>
      <c r="BH269" s="310"/>
      <c r="BI269" s="310"/>
      <c r="BJ269" s="310"/>
      <c r="BK269" s="310"/>
      <c r="BL269" s="310"/>
      <c r="BM269" s="310"/>
      <c r="BN269" s="310"/>
      <c r="BO269" s="310"/>
      <c r="BP269" s="310"/>
      <c r="BQ269" s="310"/>
      <c r="BR269" s="310"/>
      <c r="BS269" s="310"/>
      <c r="BT269" s="310"/>
      <c r="BU269" s="310"/>
      <c r="BV269" s="310"/>
      <c r="BW269" s="310"/>
      <c r="BX269" s="310"/>
      <c r="BY269" s="310"/>
      <c r="BZ269" s="310"/>
      <c r="CA269" s="310"/>
      <c r="CB269" s="310"/>
      <c r="CC269" s="310"/>
      <c r="CD269" s="310"/>
      <c r="CE269" s="310"/>
      <c r="CF269" s="310"/>
      <c r="CG269" s="310"/>
      <c r="CH269" s="310"/>
      <c r="CI269" s="310"/>
      <c r="CJ269" s="310"/>
      <c r="CK269" s="310"/>
      <c r="CL269" s="310"/>
      <c r="CM269" s="310"/>
      <c r="CN269" s="310"/>
      <c r="CO269" s="310"/>
      <c r="CP269" s="310"/>
      <c r="CQ269" s="310"/>
      <c r="CR269" s="310"/>
      <c r="CS269" s="310"/>
      <c r="CT269" s="310"/>
      <c r="CU269" s="310"/>
      <c r="CV269" s="310"/>
      <c r="CW269" s="310"/>
      <c r="CX269" s="310"/>
      <c r="CY269" s="310"/>
      <c r="CZ269" s="310"/>
      <c r="DA269" s="310"/>
      <c r="DB269" s="310"/>
      <c r="DC269" s="310"/>
      <c r="DD269" s="310"/>
      <c r="DE269" s="310"/>
      <c r="DF269" s="310"/>
      <c r="DG269" s="310"/>
      <c r="DH269" s="310"/>
      <c r="DI269" s="310"/>
      <c r="DJ269" s="310"/>
      <c r="DK269" s="310"/>
      <c r="DL269" s="310"/>
      <c r="DM269" s="310"/>
      <c r="DN269" s="310"/>
      <c r="DO269" s="310"/>
      <c r="DP269" s="310"/>
      <c r="DQ269" s="310"/>
      <c r="DR269" s="310"/>
      <c r="DS269" s="310"/>
      <c r="DT269" s="310"/>
      <c r="DU269" s="310"/>
      <c r="DV269" s="310"/>
      <c r="DW269" s="310"/>
      <c r="DX269" s="310"/>
      <c r="DY269" s="310"/>
      <c r="DZ269" s="310"/>
      <c r="EA269" s="310"/>
      <c r="EB269" s="310"/>
      <c r="EC269" s="310"/>
      <c r="ED269" s="310"/>
      <c r="EE269" s="310"/>
      <c r="EF269" s="310"/>
      <c r="EG269" s="310"/>
      <c r="EH269" s="310"/>
      <c r="EI269" s="310"/>
      <c r="EJ269" s="310"/>
      <c r="EK269" s="310"/>
      <c r="EL269" s="310"/>
      <c r="EM269" s="310"/>
      <c r="EN269" s="310"/>
      <c r="EO269" s="310"/>
      <c r="EP269" s="310"/>
      <c r="EQ269" s="310"/>
      <c r="ER269" s="310"/>
      <c r="ES269" s="310"/>
      <c r="ET269" s="310"/>
      <c r="EU269" s="310"/>
      <c r="EV269" s="310"/>
      <c r="EW269" s="310"/>
      <c r="EX269" s="310"/>
      <c r="EY269" s="310"/>
      <c r="EZ269" s="310"/>
      <c r="FA269" s="310"/>
      <c r="FB269" s="310"/>
      <c r="FC269" s="310"/>
      <c r="FD269" s="310"/>
      <c r="FE269" s="311"/>
      <c r="FF269" s="312"/>
    </row>
    <row r="270" spans="1:162" ht="12.75" x14ac:dyDescent="0.2">
      <c r="A270" s="446">
        <v>263</v>
      </c>
      <c r="B270" s="447" t="s">
        <v>409</v>
      </c>
      <c r="C270" s="448" t="s">
        <v>1093</v>
      </c>
      <c r="D270" s="449" t="s">
        <v>1103</v>
      </c>
      <c r="E270" s="450" t="s">
        <v>408</v>
      </c>
      <c r="F270" s="451">
        <v>51686910</v>
      </c>
      <c r="G270" s="451">
        <v>0</v>
      </c>
      <c r="H270" s="451">
        <v>0</v>
      </c>
      <c r="I270" s="451">
        <v>51686910</v>
      </c>
      <c r="J270" s="451">
        <v>351842</v>
      </c>
      <c r="K270" s="451">
        <v>0</v>
      </c>
      <c r="L270" s="451">
        <v>0</v>
      </c>
      <c r="M270" s="451">
        <v>351842</v>
      </c>
      <c r="N270" s="451">
        <v>18852</v>
      </c>
      <c r="O270" s="451">
        <v>0</v>
      </c>
      <c r="P270" s="451">
        <v>0</v>
      </c>
      <c r="Q270" s="451">
        <v>18852</v>
      </c>
      <c r="R270" s="451">
        <v>569069</v>
      </c>
      <c r="S270" s="451">
        <v>0</v>
      </c>
      <c r="T270" s="451">
        <v>0</v>
      </c>
      <c r="U270" s="451">
        <v>569069</v>
      </c>
      <c r="V270" s="451">
        <v>2053998</v>
      </c>
      <c r="W270" s="451">
        <v>0</v>
      </c>
      <c r="X270" s="451">
        <v>0</v>
      </c>
      <c r="Y270" s="451">
        <v>2053998</v>
      </c>
      <c r="Z270" s="451">
        <v>48693149</v>
      </c>
      <c r="AA270" s="451">
        <v>0</v>
      </c>
      <c r="AB270" s="451">
        <v>0</v>
      </c>
      <c r="AC270" s="451">
        <v>48693149</v>
      </c>
      <c r="AD270" s="451">
        <v>0</v>
      </c>
      <c r="AE270" s="451">
        <v>0</v>
      </c>
      <c r="AF270" s="451">
        <v>0</v>
      </c>
      <c r="AG270" s="451">
        <v>0</v>
      </c>
      <c r="AH270" s="451">
        <v>0</v>
      </c>
      <c r="AI270" s="451">
        <v>0</v>
      </c>
      <c r="AJ270" s="451">
        <v>0</v>
      </c>
      <c r="AK270" s="451">
        <v>0</v>
      </c>
      <c r="AL270" s="451">
        <v>0</v>
      </c>
      <c r="AM270" s="451">
        <v>0</v>
      </c>
      <c r="AN270" s="451">
        <v>0</v>
      </c>
      <c r="AO270" s="451">
        <v>638887</v>
      </c>
      <c r="AP270" s="451">
        <v>746735</v>
      </c>
      <c r="AQ270" s="324"/>
      <c r="AR270" s="310"/>
      <c r="AS270" s="310"/>
      <c r="AT270" s="310"/>
      <c r="AU270" s="310"/>
      <c r="AV270" s="310"/>
      <c r="AW270" s="310"/>
      <c r="AX270" s="310"/>
      <c r="AY270" s="310"/>
      <c r="AZ270" s="310"/>
      <c r="BA270" s="310"/>
      <c r="BB270" s="310"/>
      <c r="BC270" s="310"/>
      <c r="BD270" s="310"/>
      <c r="BE270" s="310"/>
      <c r="BF270" s="310"/>
      <c r="BG270" s="310"/>
      <c r="BH270" s="310"/>
      <c r="BI270" s="310"/>
      <c r="BJ270" s="310"/>
      <c r="BK270" s="310"/>
      <c r="BL270" s="310"/>
      <c r="BM270" s="310"/>
      <c r="BN270" s="310"/>
      <c r="BO270" s="310"/>
      <c r="BP270" s="310"/>
      <c r="BQ270" s="310"/>
      <c r="BR270" s="310"/>
      <c r="BS270" s="310"/>
      <c r="BT270" s="310"/>
      <c r="BU270" s="310"/>
      <c r="BV270" s="310"/>
      <c r="BW270" s="310"/>
      <c r="BX270" s="310"/>
      <c r="BY270" s="310"/>
      <c r="BZ270" s="310"/>
      <c r="CA270" s="310"/>
      <c r="CB270" s="310"/>
      <c r="CC270" s="310"/>
      <c r="CD270" s="310"/>
      <c r="CE270" s="310"/>
      <c r="CF270" s="310"/>
      <c r="CG270" s="310"/>
      <c r="CH270" s="310"/>
      <c r="CI270" s="310"/>
      <c r="CJ270" s="310"/>
      <c r="CK270" s="310"/>
      <c r="CL270" s="310"/>
      <c r="CM270" s="310"/>
      <c r="CN270" s="310"/>
      <c r="CO270" s="310"/>
      <c r="CP270" s="310"/>
      <c r="CQ270" s="310"/>
      <c r="CR270" s="310"/>
      <c r="CS270" s="310"/>
      <c r="CT270" s="310"/>
      <c r="CU270" s="310"/>
      <c r="CV270" s="310"/>
      <c r="CW270" s="310"/>
      <c r="CX270" s="310"/>
      <c r="CY270" s="310"/>
      <c r="CZ270" s="310"/>
      <c r="DA270" s="310"/>
      <c r="DB270" s="310"/>
      <c r="DC270" s="310"/>
      <c r="DD270" s="310"/>
      <c r="DE270" s="310"/>
      <c r="DF270" s="310"/>
      <c r="DG270" s="310"/>
      <c r="DH270" s="310"/>
      <c r="DI270" s="310"/>
      <c r="DJ270" s="310"/>
      <c r="DK270" s="310"/>
      <c r="DL270" s="310"/>
      <c r="DM270" s="310"/>
      <c r="DN270" s="310"/>
      <c r="DO270" s="310"/>
      <c r="DP270" s="310"/>
      <c r="DQ270" s="310"/>
      <c r="DR270" s="310"/>
      <c r="DS270" s="310"/>
      <c r="DT270" s="310"/>
      <c r="DU270" s="310"/>
      <c r="DV270" s="310"/>
      <c r="DW270" s="310"/>
      <c r="DX270" s="310"/>
      <c r="DY270" s="310"/>
      <c r="DZ270" s="310"/>
      <c r="EA270" s="310"/>
      <c r="EB270" s="310"/>
      <c r="EC270" s="310"/>
      <c r="ED270" s="310"/>
      <c r="EE270" s="310"/>
      <c r="EF270" s="310"/>
      <c r="EG270" s="310"/>
      <c r="EH270" s="310"/>
      <c r="EI270" s="310"/>
      <c r="EJ270" s="310"/>
      <c r="EK270" s="310"/>
      <c r="EL270" s="310"/>
      <c r="EM270" s="310"/>
      <c r="EN270" s="310"/>
      <c r="EO270" s="310"/>
      <c r="EP270" s="310"/>
      <c r="EQ270" s="310"/>
      <c r="ER270" s="310"/>
      <c r="ES270" s="310"/>
      <c r="ET270" s="310"/>
      <c r="EU270" s="310"/>
      <c r="EV270" s="310"/>
      <c r="EW270" s="310"/>
      <c r="EX270" s="310"/>
      <c r="EY270" s="310"/>
      <c r="EZ270" s="310"/>
      <c r="FA270" s="310"/>
      <c r="FB270" s="310"/>
      <c r="FC270" s="310"/>
      <c r="FD270" s="310"/>
      <c r="FE270" s="311"/>
      <c r="FF270" s="312"/>
    </row>
    <row r="271" spans="1:162" ht="12.75" x14ac:dyDescent="0.2">
      <c r="A271" s="446">
        <v>264</v>
      </c>
      <c r="B271" s="447" t="s">
        <v>411</v>
      </c>
      <c r="C271" s="448" t="s">
        <v>1093</v>
      </c>
      <c r="D271" s="449" t="s">
        <v>1102</v>
      </c>
      <c r="E271" s="450" t="s">
        <v>410</v>
      </c>
      <c r="F271" s="451">
        <v>24334527.5</v>
      </c>
      <c r="G271" s="451">
        <v>0</v>
      </c>
      <c r="H271" s="451">
        <v>0</v>
      </c>
      <c r="I271" s="451">
        <v>24334527.5</v>
      </c>
      <c r="J271" s="451">
        <v>27901</v>
      </c>
      <c r="K271" s="451">
        <v>0</v>
      </c>
      <c r="L271" s="451">
        <v>0</v>
      </c>
      <c r="M271" s="451">
        <v>27901</v>
      </c>
      <c r="N271" s="451">
        <v>59256.800000000003</v>
      </c>
      <c r="O271" s="451">
        <v>0</v>
      </c>
      <c r="P271" s="451">
        <v>0</v>
      </c>
      <c r="Q271" s="451">
        <v>59256.800000000003</v>
      </c>
      <c r="R271" s="451">
        <v>307410</v>
      </c>
      <c r="S271" s="451">
        <v>0</v>
      </c>
      <c r="T271" s="451">
        <v>0</v>
      </c>
      <c r="U271" s="451">
        <v>307410</v>
      </c>
      <c r="V271" s="451">
        <v>475332</v>
      </c>
      <c r="W271" s="451">
        <v>0</v>
      </c>
      <c r="X271" s="451">
        <v>0</v>
      </c>
      <c r="Y271" s="451">
        <v>475332</v>
      </c>
      <c r="Z271" s="451">
        <v>23464628</v>
      </c>
      <c r="AA271" s="451">
        <v>0</v>
      </c>
      <c r="AB271" s="451">
        <v>0</v>
      </c>
      <c r="AC271" s="451">
        <v>23464628</v>
      </c>
      <c r="AD271" s="451">
        <v>550.39</v>
      </c>
      <c r="AE271" s="451">
        <v>0</v>
      </c>
      <c r="AF271" s="451">
        <v>0</v>
      </c>
      <c r="AG271" s="451">
        <v>550.39</v>
      </c>
      <c r="AH271" s="451">
        <v>0</v>
      </c>
      <c r="AI271" s="451">
        <v>0</v>
      </c>
      <c r="AJ271" s="451">
        <v>0</v>
      </c>
      <c r="AK271" s="451">
        <v>0</v>
      </c>
      <c r="AL271" s="451">
        <v>0</v>
      </c>
      <c r="AM271" s="451">
        <v>0</v>
      </c>
      <c r="AN271" s="451">
        <v>550.39</v>
      </c>
      <c r="AO271" s="451">
        <v>886524.48</v>
      </c>
      <c r="AP271" s="451">
        <v>284542.65999999997</v>
      </c>
      <c r="AQ271" s="324"/>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310"/>
      <c r="BS271" s="310"/>
      <c r="BT271" s="310"/>
      <c r="BU271" s="310"/>
      <c r="BV271" s="310"/>
      <c r="BW271" s="310"/>
      <c r="BX271" s="310"/>
      <c r="BY271" s="310"/>
      <c r="BZ271" s="310"/>
      <c r="CA271" s="310"/>
      <c r="CB271" s="310"/>
      <c r="CC271" s="310"/>
      <c r="CD271" s="310"/>
      <c r="CE271" s="310"/>
      <c r="CF271" s="310"/>
      <c r="CG271" s="310"/>
      <c r="CH271" s="310"/>
      <c r="CI271" s="310"/>
      <c r="CJ271" s="310"/>
      <c r="CK271" s="310"/>
      <c r="CL271" s="310"/>
      <c r="CM271" s="310"/>
      <c r="CN271" s="310"/>
      <c r="CO271" s="310"/>
      <c r="CP271" s="310"/>
      <c r="CQ271" s="310"/>
      <c r="CR271" s="310"/>
      <c r="CS271" s="310"/>
      <c r="CT271" s="310"/>
      <c r="CU271" s="310"/>
      <c r="CV271" s="310"/>
      <c r="CW271" s="310"/>
      <c r="CX271" s="310"/>
      <c r="CY271" s="310"/>
      <c r="CZ271" s="310"/>
      <c r="DA271" s="310"/>
      <c r="DB271" s="310"/>
      <c r="DC271" s="310"/>
      <c r="DD271" s="310"/>
      <c r="DE271" s="310"/>
      <c r="DF271" s="310"/>
      <c r="DG271" s="310"/>
      <c r="DH271" s="310"/>
      <c r="DI271" s="310"/>
      <c r="DJ271" s="310"/>
      <c r="DK271" s="310"/>
      <c r="DL271" s="310"/>
      <c r="DM271" s="310"/>
      <c r="DN271" s="310"/>
      <c r="DO271" s="310"/>
      <c r="DP271" s="310"/>
      <c r="DQ271" s="310"/>
      <c r="DR271" s="310"/>
      <c r="DS271" s="310"/>
      <c r="DT271" s="310"/>
      <c r="DU271" s="310"/>
      <c r="DV271" s="310"/>
      <c r="DW271" s="310"/>
      <c r="DX271" s="310"/>
      <c r="DY271" s="310"/>
      <c r="DZ271" s="310"/>
      <c r="EA271" s="310"/>
      <c r="EB271" s="310"/>
      <c r="EC271" s="310"/>
      <c r="ED271" s="310"/>
      <c r="EE271" s="310"/>
      <c r="EF271" s="310"/>
      <c r="EG271" s="310"/>
      <c r="EH271" s="310"/>
      <c r="EI271" s="310"/>
      <c r="EJ271" s="310"/>
      <c r="EK271" s="310"/>
      <c r="EL271" s="310"/>
      <c r="EM271" s="310"/>
      <c r="EN271" s="310"/>
      <c r="EO271" s="310"/>
      <c r="EP271" s="310"/>
      <c r="EQ271" s="310"/>
      <c r="ER271" s="310"/>
      <c r="ES271" s="310"/>
      <c r="ET271" s="310"/>
      <c r="EU271" s="310"/>
      <c r="EV271" s="310"/>
      <c r="EW271" s="310"/>
      <c r="EX271" s="310"/>
      <c r="EY271" s="310"/>
      <c r="EZ271" s="310"/>
      <c r="FA271" s="310"/>
      <c r="FB271" s="310"/>
      <c r="FC271" s="310"/>
      <c r="FD271" s="310"/>
      <c r="FE271" s="311"/>
      <c r="FF271" s="312"/>
    </row>
    <row r="272" spans="1:162" ht="12.75" x14ac:dyDescent="0.2">
      <c r="A272" s="446">
        <v>265</v>
      </c>
      <c r="B272" s="447" t="s">
        <v>413</v>
      </c>
      <c r="C272" s="448" t="s">
        <v>1093</v>
      </c>
      <c r="D272" s="449" t="s">
        <v>1097</v>
      </c>
      <c r="E272" s="450" t="s">
        <v>412</v>
      </c>
      <c r="F272" s="451">
        <v>48756085.700000003</v>
      </c>
      <c r="G272" s="451">
        <v>0</v>
      </c>
      <c r="H272" s="451">
        <v>0</v>
      </c>
      <c r="I272" s="451">
        <v>48756085.700000003</v>
      </c>
      <c r="J272" s="451">
        <v>53611.46</v>
      </c>
      <c r="K272" s="451">
        <v>0</v>
      </c>
      <c r="L272" s="451">
        <v>0</v>
      </c>
      <c r="M272" s="451">
        <v>53611.46</v>
      </c>
      <c r="N272" s="451">
        <v>44319</v>
      </c>
      <c r="O272" s="451">
        <v>0</v>
      </c>
      <c r="P272" s="451">
        <v>0</v>
      </c>
      <c r="Q272" s="451">
        <v>44319</v>
      </c>
      <c r="R272" s="451">
        <v>4651483</v>
      </c>
      <c r="S272" s="451">
        <v>0</v>
      </c>
      <c r="T272" s="451">
        <v>0</v>
      </c>
      <c r="U272" s="451">
        <v>4651483</v>
      </c>
      <c r="V272" s="451">
        <v>13609683</v>
      </c>
      <c r="W272" s="451">
        <v>0</v>
      </c>
      <c r="X272" s="451">
        <v>0</v>
      </c>
      <c r="Y272" s="451">
        <v>13609683</v>
      </c>
      <c r="Z272" s="451">
        <v>30396989</v>
      </c>
      <c r="AA272" s="451">
        <v>0</v>
      </c>
      <c r="AB272" s="451">
        <v>0</v>
      </c>
      <c r="AC272" s="451">
        <v>30396989</v>
      </c>
      <c r="AD272" s="451">
        <v>0</v>
      </c>
      <c r="AE272" s="451">
        <v>0</v>
      </c>
      <c r="AF272" s="451">
        <v>0</v>
      </c>
      <c r="AG272" s="451">
        <v>0</v>
      </c>
      <c r="AH272" s="451">
        <v>0</v>
      </c>
      <c r="AI272" s="451">
        <v>0</v>
      </c>
      <c r="AJ272" s="451">
        <v>0</v>
      </c>
      <c r="AK272" s="451">
        <v>0</v>
      </c>
      <c r="AL272" s="451">
        <v>0</v>
      </c>
      <c r="AM272" s="451">
        <v>0</v>
      </c>
      <c r="AN272" s="451">
        <v>0</v>
      </c>
      <c r="AO272" s="451">
        <v>667669</v>
      </c>
      <c r="AP272" s="451">
        <v>-357765</v>
      </c>
      <c r="AQ272" s="324" t="s">
        <v>1120</v>
      </c>
      <c r="AR272" s="310"/>
      <c r="AS272" s="310"/>
      <c r="AT272" s="310"/>
      <c r="AU272" s="310"/>
      <c r="AV272" s="310"/>
      <c r="AW272" s="310"/>
      <c r="AX272" s="310"/>
      <c r="AY272" s="310"/>
      <c r="AZ272" s="310"/>
      <c r="BA272" s="310"/>
      <c r="BB272" s="310"/>
      <c r="BC272" s="310"/>
      <c r="BD272" s="310"/>
      <c r="BE272" s="310"/>
      <c r="BF272" s="310"/>
      <c r="BG272" s="310"/>
      <c r="BH272" s="310"/>
      <c r="BI272" s="310"/>
      <c r="BJ272" s="310"/>
      <c r="BK272" s="310"/>
      <c r="BL272" s="310"/>
      <c r="BM272" s="310"/>
      <c r="BN272" s="310"/>
      <c r="BO272" s="310"/>
      <c r="BP272" s="310"/>
      <c r="BQ272" s="310"/>
      <c r="BR272" s="310"/>
      <c r="BS272" s="310"/>
      <c r="BT272" s="310"/>
      <c r="BU272" s="310"/>
      <c r="BV272" s="310"/>
      <c r="BW272" s="310"/>
      <c r="BX272" s="310"/>
      <c r="BY272" s="310"/>
      <c r="BZ272" s="310"/>
      <c r="CA272" s="310"/>
      <c r="CB272" s="310"/>
      <c r="CC272" s="310"/>
      <c r="CD272" s="310"/>
      <c r="CE272" s="310"/>
      <c r="CF272" s="310"/>
      <c r="CG272" s="310"/>
      <c r="CH272" s="310"/>
      <c r="CI272" s="310"/>
      <c r="CJ272" s="310"/>
      <c r="CK272" s="310"/>
      <c r="CL272" s="310"/>
      <c r="CM272" s="310"/>
      <c r="CN272" s="310"/>
      <c r="CO272" s="310"/>
      <c r="CP272" s="310"/>
      <c r="CQ272" s="310"/>
      <c r="CR272" s="310"/>
      <c r="CS272" s="310"/>
      <c r="CT272" s="310"/>
      <c r="CU272" s="310"/>
      <c r="CV272" s="310"/>
      <c r="CW272" s="310"/>
      <c r="CX272" s="310"/>
      <c r="CY272" s="310"/>
      <c r="CZ272" s="310"/>
      <c r="DA272" s="310"/>
      <c r="DB272" s="310"/>
      <c r="DC272" s="310"/>
      <c r="DD272" s="310"/>
      <c r="DE272" s="310"/>
      <c r="DF272" s="310"/>
      <c r="DG272" s="310"/>
      <c r="DH272" s="310"/>
      <c r="DI272" s="310"/>
      <c r="DJ272" s="310"/>
      <c r="DK272" s="310"/>
      <c r="DL272" s="310"/>
      <c r="DM272" s="310"/>
      <c r="DN272" s="310"/>
      <c r="DO272" s="310"/>
      <c r="DP272" s="310"/>
      <c r="DQ272" s="310"/>
      <c r="DR272" s="310"/>
      <c r="DS272" s="310"/>
      <c r="DT272" s="310"/>
      <c r="DU272" s="310"/>
      <c r="DV272" s="310"/>
      <c r="DW272" s="310"/>
      <c r="DX272" s="310"/>
      <c r="DY272" s="310"/>
      <c r="DZ272" s="310"/>
      <c r="EA272" s="310"/>
      <c r="EB272" s="310"/>
      <c r="EC272" s="310"/>
      <c r="ED272" s="310"/>
      <c r="EE272" s="310"/>
      <c r="EF272" s="310"/>
      <c r="EG272" s="310"/>
      <c r="EH272" s="310"/>
      <c r="EI272" s="310"/>
      <c r="EJ272" s="310"/>
      <c r="EK272" s="310"/>
      <c r="EL272" s="310"/>
      <c r="EM272" s="310"/>
      <c r="EN272" s="310"/>
      <c r="EO272" s="310"/>
      <c r="EP272" s="310"/>
      <c r="EQ272" s="310"/>
      <c r="ER272" s="310"/>
      <c r="ES272" s="310"/>
      <c r="ET272" s="310"/>
      <c r="EU272" s="310"/>
      <c r="EV272" s="310"/>
      <c r="EW272" s="310"/>
      <c r="EX272" s="310"/>
      <c r="EY272" s="310"/>
      <c r="EZ272" s="310"/>
      <c r="FA272" s="310"/>
      <c r="FB272" s="310"/>
      <c r="FC272" s="310"/>
      <c r="FD272" s="310"/>
      <c r="FE272" s="311"/>
      <c r="FF272" s="312"/>
    </row>
    <row r="273" spans="1:162" ht="12.75" x14ac:dyDescent="0.2">
      <c r="A273" s="446">
        <v>266</v>
      </c>
      <c r="B273" s="447" t="s">
        <v>415</v>
      </c>
      <c r="C273" s="448" t="s">
        <v>1100</v>
      </c>
      <c r="D273" s="449" t="s">
        <v>1105</v>
      </c>
      <c r="E273" s="450" t="s">
        <v>414</v>
      </c>
      <c r="F273" s="451">
        <v>89978777</v>
      </c>
      <c r="G273" s="451">
        <v>0</v>
      </c>
      <c r="H273" s="451">
        <v>718240.08</v>
      </c>
      <c r="I273" s="451">
        <v>90697017</v>
      </c>
      <c r="J273" s="451">
        <v>978733</v>
      </c>
      <c r="K273" s="451">
        <v>0</v>
      </c>
      <c r="L273" s="451">
        <v>0</v>
      </c>
      <c r="M273" s="451">
        <v>978733</v>
      </c>
      <c r="N273" s="451">
        <v>814983</v>
      </c>
      <c r="O273" s="451">
        <v>0</v>
      </c>
      <c r="P273" s="451">
        <v>0</v>
      </c>
      <c r="Q273" s="451">
        <v>814983</v>
      </c>
      <c r="R273" s="451">
        <v>1843364</v>
      </c>
      <c r="S273" s="451">
        <v>0</v>
      </c>
      <c r="T273" s="451">
        <v>10588</v>
      </c>
      <c r="U273" s="451">
        <v>1853952</v>
      </c>
      <c r="V273" s="451">
        <v>5911361</v>
      </c>
      <c r="W273" s="451">
        <v>0</v>
      </c>
      <c r="X273" s="451">
        <v>0</v>
      </c>
      <c r="Y273" s="451">
        <v>5911361</v>
      </c>
      <c r="Z273" s="451">
        <v>80430336</v>
      </c>
      <c r="AA273" s="451">
        <v>0</v>
      </c>
      <c r="AB273" s="451">
        <v>707652</v>
      </c>
      <c r="AC273" s="451">
        <v>81137988</v>
      </c>
      <c r="AD273" s="451">
        <v>0</v>
      </c>
      <c r="AE273" s="451">
        <v>0</v>
      </c>
      <c r="AF273" s="451">
        <v>0</v>
      </c>
      <c r="AG273" s="451">
        <v>0</v>
      </c>
      <c r="AH273" s="451">
        <v>0</v>
      </c>
      <c r="AI273" s="451">
        <v>0</v>
      </c>
      <c r="AJ273" s="451">
        <v>0</v>
      </c>
      <c r="AK273" s="451">
        <v>137302</v>
      </c>
      <c r="AL273" s="451">
        <v>0</v>
      </c>
      <c r="AM273" s="451">
        <v>570350</v>
      </c>
      <c r="AN273" s="451">
        <v>0</v>
      </c>
      <c r="AO273" s="451">
        <v>8382348</v>
      </c>
      <c r="AP273" s="451">
        <v>584579</v>
      </c>
      <c r="AQ273" s="324"/>
      <c r="AR273" s="310"/>
      <c r="AS273" s="310"/>
      <c r="AT273" s="310"/>
      <c r="AU273" s="310"/>
      <c r="AV273" s="310"/>
      <c r="AW273" s="310"/>
      <c r="AX273" s="310"/>
      <c r="AY273" s="310"/>
      <c r="AZ273" s="310"/>
      <c r="BA273" s="310"/>
      <c r="BB273" s="310"/>
      <c r="BC273" s="310"/>
      <c r="BD273" s="310"/>
      <c r="BE273" s="310"/>
      <c r="BF273" s="310"/>
      <c r="BG273" s="310"/>
      <c r="BH273" s="310"/>
      <c r="BI273" s="310"/>
      <c r="BJ273" s="310"/>
      <c r="BK273" s="310"/>
      <c r="BL273" s="310"/>
      <c r="BM273" s="310"/>
      <c r="BN273" s="310"/>
      <c r="BO273" s="310"/>
      <c r="BP273" s="310"/>
      <c r="BQ273" s="310"/>
      <c r="BR273" s="310"/>
      <c r="BS273" s="310"/>
      <c r="BT273" s="310"/>
      <c r="BU273" s="310"/>
      <c r="BV273" s="310"/>
      <c r="BW273" s="310"/>
      <c r="BX273" s="310"/>
      <c r="BY273" s="310"/>
      <c r="BZ273" s="310"/>
      <c r="CA273" s="310"/>
      <c r="CB273" s="310"/>
      <c r="CC273" s="310"/>
      <c r="CD273" s="310"/>
      <c r="CE273" s="310"/>
      <c r="CF273" s="310"/>
      <c r="CG273" s="310"/>
      <c r="CH273" s="310"/>
      <c r="CI273" s="310"/>
      <c r="CJ273" s="310"/>
      <c r="CK273" s="310"/>
      <c r="CL273" s="310"/>
      <c r="CM273" s="310"/>
      <c r="CN273" s="310"/>
      <c r="CO273" s="310"/>
      <c r="CP273" s="310"/>
      <c r="CQ273" s="310"/>
      <c r="CR273" s="310"/>
      <c r="CS273" s="310"/>
      <c r="CT273" s="310"/>
      <c r="CU273" s="310"/>
      <c r="CV273" s="310"/>
      <c r="CW273" s="310"/>
      <c r="CX273" s="310"/>
      <c r="CY273" s="310"/>
      <c r="CZ273" s="310"/>
      <c r="DA273" s="310"/>
      <c r="DB273" s="310"/>
      <c r="DC273" s="310"/>
      <c r="DD273" s="310"/>
      <c r="DE273" s="310"/>
      <c r="DF273" s="310"/>
      <c r="DG273" s="310"/>
      <c r="DH273" s="310"/>
      <c r="DI273" s="310"/>
      <c r="DJ273" s="310"/>
      <c r="DK273" s="310"/>
      <c r="DL273" s="310"/>
      <c r="DM273" s="310"/>
      <c r="DN273" s="310"/>
      <c r="DO273" s="310"/>
      <c r="DP273" s="310"/>
      <c r="DQ273" s="310"/>
      <c r="DR273" s="310"/>
      <c r="DS273" s="310"/>
      <c r="DT273" s="310"/>
      <c r="DU273" s="310"/>
      <c r="DV273" s="310"/>
      <c r="DW273" s="310"/>
      <c r="DX273" s="310"/>
      <c r="DY273" s="310"/>
      <c r="DZ273" s="310"/>
      <c r="EA273" s="310"/>
      <c r="EB273" s="310"/>
      <c r="EC273" s="310"/>
      <c r="ED273" s="310"/>
      <c r="EE273" s="310"/>
      <c r="EF273" s="310"/>
      <c r="EG273" s="310"/>
      <c r="EH273" s="310"/>
      <c r="EI273" s="310"/>
      <c r="EJ273" s="310"/>
      <c r="EK273" s="310"/>
      <c r="EL273" s="310"/>
      <c r="EM273" s="310"/>
      <c r="EN273" s="310"/>
      <c r="EO273" s="310"/>
      <c r="EP273" s="310"/>
      <c r="EQ273" s="310"/>
      <c r="ER273" s="310"/>
      <c r="ES273" s="310"/>
      <c r="ET273" s="310"/>
      <c r="EU273" s="310"/>
      <c r="EV273" s="310"/>
      <c r="EW273" s="310"/>
      <c r="EX273" s="310"/>
      <c r="EY273" s="310"/>
      <c r="EZ273" s="310"/>
      <c r="FA273" s="310"/>
      <c r="FB273" s="310"/>
      <c r="FC273" s="310"/>
      <c r="FD273" s="310"/>
      <c r="FE273" s="311"/>
      <c r="FF273" s="312"/>
    </row>
    <row r="274" spans="1:162" ht="12.75" x14ac:dyDescent="0.2">
      <c r="A274" s="446">
        <v>267</v>
      </c>
      <c r="B274" s="447" t="s">
        <v>417</v>
      </c>
      <c r="C274" s="448" t="s">
        <v>1093</v>
      </c>
      <c r="D274" s="449" t="s">
        <v>1094</v>
      </c>
      <c r="E274" s="450" t="s">
        <v>416</v>
      </c>
      <c r="F274" s="451">
        <v>35007271</v>
      </c>
      <c r="G274" s="451">
        <v>0</v>
      </c>
      <c r="H274" s="451">
        <v>0</v>
      </c>
      <c r="I274" s="451">
        <v>35007271</v>
      </c>
      <c r="J274" s="451">
        <v>204787</v>
      </c>
      <c r="K274" s="451">
        <v>0</v>
      </c>
      <c r="L274" s="451">
        <v>0</v>
      </c>
      <c r="M274" s="451">
        <v>204787</v>
      </c>
      <c r="N274" s="451">
        <v>302000</v>
      </c>
      <c r="O274" s="451">
        <v>0</v>
      </c>
      <c r="P274" s="451">
        <v>0</v>
      </c>
      <c r="Q274" s="451">
        <v>302000</v>
      </c>
      <c r="R274" s="451">
        <v>360000</v>
      </c>
      <c r="S274" s="451">
        <v>0</v>
      </c>
      <c r="T274" s="451">
        <v>0</v>
      </c>
      <c r="U274" s="451">
        <v>360000</v>
      </c>
      <c r="V274" s="451">
        <v>1040000</v>
      </c>
      <c r="W274" s="451">
        <v>0</v>
      </c>
      <c r="X274" s="451">
        <v>0</v>
      </c>
      <c r="Y274" s="451">
        <v>1040000</v>
      </c>
      <c r="Z274" s="451">
        <v>33100484</v>
      </c>
      <c r="AA274" s="451">
        <v>0</v>
      </c>
      <c r="AB274" s="451">
        <v>0</v>
      </c>
      <c r="AC274" s="451">
        <v>33100484</v>
      </c>
      <c r="AD274" s="451">
        <v>0</v>
      </c>
      <c r="AE274" s="451">
        <v>0</v>
      </c>
      <c r="AF274" s="451">
        <v>0</v>
      </c>
      <c r="AG274" s="451">
        <v>0</v>
      </c>
      <c r="AH274" s="451">
        <v>0</v>
      </c>
      <c r="AI274" s="451">
        <v>0</v>
      </c>
      <c r="AJ274" s="451">
        <v>0</v>
      </c>
      <c r="AK274" s="451">
        <v>0</v>
      </c>
      <c r="AL274" s="451">
        <v>0</v>
      </c>
      <c r="AM274" s="451">
        <v>0</v>
      </c>
      <c r="AN274" s="451">
        <v>0</v>
      </c>
      <c r="AO274" s="451">
        <v>2246434</v>
      </c>
      <c r="AP274" s="451">
        <v>974349</v>
      </c>
      <c r="AQ274" s="324"/>
      <c r="AR274" s="310"/>
      <c r="AS274" s="310"/>
      <c r="AT274" s="310"/>
      <c r="AU274" s="310"/>
      <c r="AV274" s="310"/>
      <c r="AW274" s="310"/>
      <c r="AX274" s="310"/>
      <c r="AY274" s="310"/>
      <c r="AZ274" s="310"/>
      <c r="BA274" s="310"/>
      <c r="BB274" s="310"/>
      <c r="BC274" s="310"/>
      <c r="BD274" s="310"/>
      <c r="BE274" s="310"/>
      <c r="BF274" s="310"/>
      <c r="BG274" s="310"/>
      <c r="BH274" s="310"/>
      <c r="BI274" s="310"/>
      <c r="BJ274" s="310"/>
      <c r="BK274" s="310"/>
      <c r="BL274" s="310"/>
      <c r="BM274" s="310"/>
      <c r="BN274" s="310"/>
      <c r="BO274" s="310"/>
      <c r="BP274" s="310"/>
      <c r="BQ274" s="310"/>
      <c r="BR274" s="310"/>
      <c r="BS274" s="310"/>
      <c r="BT274" s="310"/>
      <c r="BU274" s="310"/>
      <c r="BV274" s="310"/>
      <c r="BW274" s="310"/>
      <c r="BX274" s="310"/>
      <c r="BY274" s="310"/>
      <c r="BZ274" s="310"/>
      <c r="CA274" s="310"/>
      <c r="CB274" s="310"/>
      <c r="CC274" s="310"/>
      <c r="CD274" s="310"/>
      <c r="CE274" s="310"/>
      <c r="CF274" s="310"/>
      <c r="CG274" s="310"/>
      <c r="CH274" s="310"/>
      <c r="CI274" s="310"/>
      <c r="CJ274" s="310"/>
      <c r="CK274" s="310"/>
      <c r="CL274" s="310"/>
      <c r="CM274" s="310"/>
      <c r="CN274" s="310"/>
      <c r="CO274" s="310"/>
      <c r="CP274" s="310"/>
      <c r="CQ274" s="310"/>
      <c r="CR274" s="310"/>
      <c r="CS274" s="310"/>
      <c r="CT274" s="310"/>
      <c r="CU274" s="310"/>
      <c r="CV274" s="310"/>
      <c r="CW274" s="310"/>
      <c r="CX274" s="310"/>
      <c r="CY274" s="310"/>
      <c r="CZ274" s="310"/>
      <c r="DA274" s="310"/>
      <c r="DB274" s="310"/>
      <c r="DC274" s="310"/>
      <c r="DD274" s="310"/>
      <c r="DE274" s="310"/>
      <c r="DF274" s="310"/>
      <c r="DG274" s="310"/>
      <c r="DH274" s="310"/>
      <c r="DI274" s="310"/>
      <c r="DJ274" s="310"/>
      <c r="DK274" s="310"/>
      <c r="DL274" s="310"/>
      <c r="DM274" s="310"/>
      <c r="DN274" s="310"/>
      <c r="DO274" s="310"/>
      <c r="DP274" s="310"/>
      <c r="DQ274" s="310"/>
      <c r="DR274" s="310"/>
      <c r="DS274" s="310"/>
      <c r="DT274" s="310"/>
      <c r="DU274" s="310"/>
      <c r="DV274" s="310"/>
      <c r="DW274" s="310"/>
      <c r="DX274" s="310"/>
      <c r="DY274" s="310"/>
      <c r="DZ274" s="310"/>
      <c r="EA274" s="310"/>
      <c r="EB274" s="310"/>
      <c r="EC274" s="310"/>
      <c r="ED274" s="310"/>
      <c r="EE274" s="310"/>
      <c r="EF274" s="310"/>
      <c r="EG274" s="310"/>
      <c r="EH274" s="310"/>
      <c r="EI274" s="310"/>
      <c r="EJ274" s="310"/>
      <c r="EK274" s="310"/>
      <c r="EL274" s="310"/>
      <c r="EM274" s="310"/>
      <c r="EN274" s="310"/>
      <c r="EO274" s="310"/>
      <c r="EP274" s="310"/>
      <c r="EQ274" s="310"/>
      <c r="ER274" s="310"/>
      <c r="ES274" s="310"/>
      <c r="ET274" s="310"/>
      <c r="EU274" s="310"/>
      <c r="EV274" s="310"/>
      <c r="EW274" s="310"/>
      <c r="EX274" s="310"/>
      <c r="EY274" s="310"/>
      <c r="EZ274" s="310"/>
      <c r="FA274" s="310"/>
      <c r="FB274" s="310"/>
      <c r="FC274" s="310"/>
      <c r="FD274" s="310"/>
      <c r="FE274" s="311"/>
      <c r="FF274" s="312"/>
    </row>
    <row r="275" spans="1:162" ht="12.75" x14ac:dyDescent="0.2">
      <c r="A275" s="446">
        <v>268</v>
      </c>
      <c r="B275" s="447" t="s">
        <v>419</v>
      </c>
      <c r="C275" s="448" t="s">
        <v>1098</v>
      </c>
      <c r="D275" s="449" t="s">
        <v>1099</v>
      </c>
      <c r="E275" s="450" t="s">
        <v>418</v>
      </c>
      <c r="F275" s="451">
        <v>50999625</v>
      </c>
      <c r="G275" s="451">
        <v>0</v>
      </c>
      <c r="H275" s="451">
        <v>0</v>
      </c>
      <c r="I275" s="451">
        <v>50999625</v>
      </c>
      <c r="J275" s="451">
        <v>907184</v>
      </c>
      <c r="K275" s="451">
        <v>0</v>
      </c>
      <c r="L275" s="451">
        <v>0</v>
      </c>
      <c r="M275" s="451">
        <v>907184</v>
      </c>
      <c r="N275" s="451">
        <v>-101753</v>
      </c>
      <c r="O275" s="451">
        <v>0</v>
      </c>
      <c r="P275" s="451">
        <v>0</v>
      </c>
      <c r="Q275" s="451">
        <v>-101753</v>
      </c>
      <c r="R275" s="451">
        <v>2163794</v>
      </c>
      <c r="S275" s="451">
        <v>0</v>
      </c>
      <c r="T275" s="451">
        <v>0</v>
      </c>
      <c r="U275" s="451">
        <v>2163794</v>
      </c>
      <c r="V275" s="451">
        <v>10000</v>
      </c>
      <c r="W275" s="451">
        <v>0</v>
      </c>
      <c r="X275" s="451">
        <v>0</v>
      </c>
      <c r="Y275" s="451">
        <v>10000</v>
      </c>
      <c r="Z275" s="451">
        <v>48020400</v>
      </c>
      <c r="AA275" s="451">
        <v>0</v>
      </c>
      <c r="AB275" s="451">
        <v>0</v>
      </c>
      <c r="AC275" s="451">
        <v>48020400</v>
      </c>
      <c r="AD275" s="451">
        <v>0</v>
      </c>
      <c r="AE275" s="451">
        <v>0</v>
      </c>
      <c r="AF275" s="451">
        <v>0</v>
      </c>
      <c r="AG275" s="451">
        <v>0</v>
      </c>
      <c r="AH275" s="451">
        <v>0</v>
      </c>
      <c r="AI275" s="451">
        <v>0</v>
      </c>
      <c r="AJ275" s="451">
        <v>0</v>
      </c>
      <c r="AK275" s="451">
        <v>0</v>
      </c>
      <c r="AL275" s="451">
        <v>0</v>
      </c>
      <c r="AM275" s="451">
        <v>0</v>
      </c>
      <c r="AN275" s="451">
        <v>0</v>
      </c>
      <c r="AO275" s="451">
        <v>2819861</v>
      </c>
      <c r="AP275" s="451">
        <v>-793783</v>
      </c>
      <c r="AQ275" s="324"/>
      <c r="AR275" s="310"/>
      <c r="AS275" s="310"/>
      <c r="AT275" s="310"/>
      <c r="AU275" s="310"/>
      <c r="AV275" s="310"/>
      <c r="AW275" s="310"/>
      <c r="AX275" s="310"/>
      <c r="AY275" s="310"/>
      <c r="AZ275" s="310"/>
      <c r="BA275" s="310"/>
      <c r="BB275" s="310"/>
      <c r="BC275" s="310"/>
      <c r="BD275" s="310"/>
      <c r="BE275" s="310"/>
      <c r="BF275" s="310"/>
      <c r="BG275" s="310"/>
      <c r="BH275" s="310"/>
      <c r="BI275" s="310"/>
      <c r="BJ275" s="310"/>
      <c r="BK275" s="310"/>
      <c r="BL275" s="310"/>
      <c r="BM275" s="310"/>
      <c r="BN275" s="310"/>
      <c r="BO275" s="310"/>
      <c r="BP275" s="310"/>
      <c r="BQ275" s="310"/>
      <c r="BR275" s="310"/>
      <c r="BS275" s="310"/>
      <c r="BT275" s="310"/>
      <c r="BU275" s="310"/>
      <c r="BV275" s="310"/>
      <c r="BW275" s="310"/>
      <c r="BX275" s="310"/>
      <c r="BY275" s="310"/>
      <c r="BZ275" s="310"/>
      <c r="CA275" s="310"/>
      <c r="CB275" s="310"/>
      <c r="CC275" s="310"/>
      <c r="CD275" s="310"/>
      <c r="CE275" s="310"/>
      <c r="CF275" s="310"/>
      <c r="CG275" s="310"/>
      <c r="CH275" s="310"/>
      <c r="CI275" s="310"/>
      <c r="CJ275" s="310"/>
      <c r="CK275" s="310"/>
      <c r="CL275" s="310"/>
      <c r="CM275" s="310"/>
      <c r="CN275" s="310"/>
      <c r="CO275" s="310"/>
      <c r="CP275" s="310"/>
      <c r="CQ275" s="310"/>
      <c r="CR275" s="310"/>
      <c r="CS275" s="310"/>
      <c r="CT275" s="310"/>
      <c r="CU275" s="310"/>
      <c r="CV275" s="310"/>
      <c r="CW275" s="310"/>
      <c r="CX275" s="310"/>
      <c r="CY275" s="310"/>
      <c r="CZ275" s="310"/>
      <c r="DA275" s="310"/>
      <c r="DB275" s="310"/>
      <c r="DC275" s="310"/>
      <c r="DD275" s="310"/>
      <c r="DE275" s="310"/>
      <c r="DF275" s="310"/>
      <c r="DG275" s="310"/>
      <c r="DH275" s="310"/>
      <c r="DI275" s="310"/>
      <c r="DJ275" s="310"/>
      <c r="DK275" s="310"/>
      <c r="DL275" s="310"/>
      <c r="DM275" s="310"/>
      <c r="DN275" s="310"/>
      <c r="DO275" s="310"/>
      <c r="DP275" s="310"/>
      <c r="DQ275" s="310"/>
      <c r="DR275" s="310"/>
      <c r="DS275" s="310"/>
      <c r="DT275" s="310"/>
      <c r="DU275" s="310"/>
      <c r="DV275" s="310"/>
      <c r="DW275" s="310"/>
      <c r="DX275" s="310"/>
      <c r="DY275" s="310"/>
      <c r="DZ275" s="310"/>
      <c r="EA275" s="310"/>
      <c r="EB275" s="310"/>
      <c r="EC275" s="310"/>
      <c r="ED275" s="310"/>
      <c r="EE275" s="310"/>
      <c r="EF275" s="310"/>
      <c r="EG275" s="310"/>
      <c r="EH275" s="310"/>
      <c r="EI275" s="310"/>
      <c r="EJ275" s="310"/>
      <c r="EK275" s="310"/>
      <c r="EL275" s="310"/>
      <c r="EM275" s="310"/>
      <c r="EN275" s="310"/>
      <c r="EO275" s="310"/>
      <c r="EP275" s="310"/>
      <c r="EQ275" s="310"/>
      <c r="ER275" s="310"/>
      <c r="ES275" s="310"/>
      <c r="ET275" s="310"/>
      <c r="EU275" s="310"/>
      <c r="EV275" s="310"/>
      <c r="EW275" s="310"/>
      <c r="EX275" s="310"/>
      <c r="EY275" s="310"/>
      <c r="EZ275" s="310"/>
      <c r="FA275" s="310"/>
      <c r="FB275" s="310"/>
      <c r="FC275" s="310"/>
      <c r="FD275" s="310"/>
      <c r="FE275" s="311"/>
      <c r="FF275" s="312"/>
    </row>
    <row r="276" spans="1:162" ht="12.75" x14ac:dyDescent="0.2">
      <c r="A276" s="446">
        <v>269</v>
      </c>
      <c r="B276" s="447" t="s">
        <v>421</v>
      </c>
      <c r="C276" s="448" t="s">
        <v>1093</v>
      </c>
      <c r="D276" s="449" t="s">
        <v>1094</v>
      </c>
      <c r="E276" s="450" t="s">
        <v>420</v>
      </c>
      <c r="F276" s="451">
        <v>41884071.600000001</v>
      </c>
      <c r="G276" s="451">
        <v>0</v>
      </c>
      <c r="H276" s="451">
        <v>0</v>
      </c>
      <c r="I276" s="451">
        <v>41884071.600000001</v>
      </c>
      <c r="J276" s="451">
        <v>89204.77</v>
      </c>
      <c r="K276" s="451">
        <v>0</v>
      </c>
      <c r="L276" s="451">
        <v>0</v>
      </c>
      <c r="M276" s="451">
        <v>89204.77</v>
      </c>
      <c r="N276" s="451">
        <v>322690</v>
      </c>
      <c r="O276" s="451">
        <v>0</v>
      </c>
      <c r="P276" s="451">
        <v>0</v>
      </c>
      <c r="Q276" s="451">
        <v>322690</v>
      </c>
      <c r="R276" s="451">
        <v>359604</v>
      </c>
      <c r="S276" s="451">
        <v>0</v>
      </c>
      <c r="T276" s="451">
        <v>0</v>
      </c>
      <c r="U276" s="451">
        <v>359604</v>
      </c>
      <c r="V276" s="451">
        <v>2054417</v>
      </c>
      <c r="W276" s="451">
        <v>0</v>
      </c>
      <c r="X276" s="451">
        <v>0</v>
      </c>
      <c r="Y276" s="451">
        <v>2054417</v>
      </c>
      <c r="Z276" s="451">
        <v>39058156</v>
      </c>
      <c r="AA276" s="451">
        <v>0</v>
      </c>
      <c r="AB276" s="451">
        <v>0</v>
      </c>
      <c r="AC276" s="451">
        <v>39058156</v>
      </c>
      <c r="AD276" s="451">
        <v>0</v>
      </c>
      <c r="AE276" s="451">
        <v>0</v>
      </c>
      <c r="AF276" s="451">
        <v>0</v>
      </c>
      <c r="AG276" s="451">
        <v>0</v>
      </c>
      <c r="AH276" s="451">
        <v>0</v>
      </c>
      <c r="AI276" s="451">
        <v>0</v>
      </c>
      <c r="AJ276" s="451">
        <v>0</v>
      </c>
      <c r="AK276" s="451">
        <v>0</v>
      </c>
      <c r="AL276" s="451">
        <v>0</v>
      </c>
      <c r="AM276" s="451">
        <v>0</v>
      </c>
      <c r="AN276" s="451">
        <v>0</v>
      </c>
      <c r="AO276" s="451">
        <v>2151265</v>
      </c>
      <c r="AP276" s="451">
        <v>891767</v>
      </c>
      <c r="AQ276" s="324"/>
      <c r="AR276" s="310"/>
      <c r="AS276" s="310"/>
      <c r="AT276" s="310"/>
      <c r="AU276" s="310"/>
      <c r="AV276" s="310"/>
      <c r="AW276" s="310"/>
      <c r="AX276" s="310"/>
      <c r="AY276" s="310"/>
      <c r="AZ276" s="310"/>
      <c r="BA276" s="310"/>
      <c r="BB276" s="310"/>
      <c r="BC276" s="310"/>
      <c r="BD276" s="310"/>
      <c r="BE276" s="310"/>
      <c r="BF276" s="310"/>
      <c r="BG276" s="310"/>
      <c r="BH276" s="310"/>
      <c r="BI276" s="310"/>
      <c r="BJ276" s="310"/>
      <c r="BK276" s="310"/>
      <c r="BL276" s="310"/>
      <c r="BM276" s="310"/>
      <c r="BN276" s="310"/>
      <c r="BO276" s="310"/>
      <c r="BP276" s="310"/>
      <c r="BQ276" s="310"/>
      <c r="BR276" s="310"/>
      <c r="BS276" s="310"/>
      <c r="BT276" s="310"/>
      <c r="BU276" s="310"/>
      <c r="BV276" s="310"/>
      <c r="BW276" s="310"/>
      <c r="BX276" s="310"/>
      <c r="BY276" s="310"/>
      <c r="BZ276" s="310"/>
      <c r="CA276" s="310"/>
      <c r="CB276" s="310"/>
      <c r="CC276" s="310"/>
      <c r="CD276" s="310"/>
      <c r="CE276" s="310"/>
      <c r="CF276" s="310"/>
      <c r="CG276" s="310"/>
      <c r="CH276" s="310"/>
      <c r="CI276" s="310"/>
      <c r="CJ276" s="310"/>
      <c r="CK276" s="310"/>
      <c r="CL276" s="310"/>
      <c r="CM276" s="310"/>
      <c r="CN276" s="310"/>
      <c r="CO276" s="310"/>
      <c r="CP276" s="310"/>
      <c r="CQ276" s="310"/>
      <c r="CR276" s="310"/>
      <c r="CS276" s="310"/>
      <c r="CT276" s="310"/>
      <c r="CU276" s="310"/>
      <c r="CV276" s="310"/>
      <c r="CW276" s="310"/>
      <c r="CX276" s="310"/>
      <c r="CY276" s="310"/>
      <c r="CZ276" s="310"/>
      <c r="DA276" s="310"/>
      <c r="DB276" s="310"/>
      <c r="DC276" s="310"/>
      <c r="DD276" s="310"/>
      <c r="DE276" s="310"/>
      <c r="DF276" s="310"/>
      <c r="DG276" s="310"/>
      <c r="DH276" s="310"/>
      <c r="DI276" s="310"/>
      <c r="DJ276" s="310"/>
      <c r="DK276" s="310"/>
      <c r="DL276" s="310"/>
      <c r="DM276" s="310"/>
      <c r="DN276" s="310"/>
      <c r="DO276" s="310"/>
      <c r="DP276" s="310"/>
      <c r="DQ276" s="310"/>
      <c r="DR276" s="310"/>
      <c r="DS276" s="310"/>
      <c r="DT276" s="310"/>
      <c r="DU276" s="310"/>
      <c r="DV276" s="310"/>
      <c r="DW276" s="310"/>
      <c r="DX276" s="310"/>
      <c r="DY276" s="310"/>
      <c r="DZ276" s="310"/>
      <c r="EA276" s="310"/>
      <c r="EB276" s="310"/>
      <c r="EC276" s="310"/>
      <c r="ED276" s="310"/>
      <c r="EE276" s="310"/>
      <c r="EF276" s="310"/>
      <c r="EG276" s="310"/>
      <c r="EH276" s="310"/>
      <c r="EI276" s="310"/>
      <c r="EJ276" s="310"/>
      <c r="EK276" s="310"/>
      <c r="EL276" s="310"/>
      <c r="EM276" s="310"/>
      <c r="EN276" s="310"/>
      <c r="EO276" s="310"/>
      <c r="EP276" s="310"/>
      <c r="EQ276" s="310"/>
      <c r="ER276" s="310"/>
      <c r="ES276" s="310"/>
      <c r="ET276" s="310"/>
      <c r="EU276" s="310"/>
      <c r="EV276" s="310"/>
      <c r="EW276" s="310"/>
      <c r="EX276" s="310"/>
      <c r="EY276" s="310"/>
      <c r="EZ276" s="310"/>
      <c r="FA276" s="310"/>
      <c r="FB276" s="310"/>
      <c r="FC276" s="310"/>
      <c r="FD276" s="310"/>
      <c r="FE276" s="311"/>
      <c r="FF276" s="312"/>
    </row>
    <row r="277" spans="1:162" ht="12.75" x14ac:dyDescent="0.2">
      <c r="A277" s="446">
        <v>270</v>
      </c>
      <c r="B277" s="447" t="s">
        <v>423</v>
      </c>
      <c r="C277" s="448" t="s">
        <v>794</v>
      </c>
      <c r="D277" s="449" t="s">
        <v>1102</v>
      </c>
      <c r="E277" s="450" t="s">
        <v>749</v>
      </c>
      <c r="F277" s="451">
        <v>105276023</v>
      </c>
      <c r="G277" s="451">
        <v>0</v>
      </c>
      <c r="H277" s="451">
        <v>0</v>
      </c>
      <c r="I277" s="451">
        <v>105276023</v>
      </c>
      <c r="J277" s="451">
        <v>1056069.02</v>
      </c>
      <c r="K277" s="451">
        <v>0</v>
      </c>
      <c r="L277" s="451">
        <v>0</v>
      </c>
      <c r="M277" s="451">
        <v>1056069.02</v>
      </c>
      <c r="N277" s="451">
        <v>44630.43</v>
      </c>
      <c r="O277" s="451">
        <v>0</v>
      </c>
      <c r="P277" s="451">
        <v>0</v>
      </c>
      <c r="Q277" s="451">
        <v>44630.43</v>
      </c>
      <c r="R277" s="451">
        <v>1248869</v>
      </c>
      <c r="S277" s="451">
        <v>0</v>
      </c>
      <c r="T277" s="451">
        <v>0</v>
      </c>
      <c r="U277" s="451">
        <v>1248869</v>
      </c>
      <c r="V277" s="451">
        <v>2569570</v>
      </c>
      <c r="W277" s="451">
        <v>0</v>
      </c>
      <c r="X277" s="451">
        <v>0</v>
      </c>
      <c r="Y277" s="451">
        <v>2569570</v>
      </c>
      <c r="Z277" s="451">
        <v>100356885</v>
      </c>
      <c r="AA277" s="451">
        <v>0</v>
      </c>
      <c r="AB277" s="451">
        <v>0</v>
      </c>
      <c r="AC277" s="451">
        <v>100356885</v>
      </c>
      <c r="AD277" s="451">
        <v>0</v>
      </c>
      <c r="AE277" s="451">
        <v>0</v>
      </c>
      <c r="AF277" s="451">
        <v>0</v>
      </c>
      <c r="AG277" s="451">
        <v>0</v>
      </c>
      <c r="AH277" s="451">
        <v>0</v>
      </c>
      <c r="AI277" s="451">
        <v>0</v>
      </c>
      <c r="AJ277" s="451">
        <v>0</v>
      </c>
      <c r="AK277" s="451">
        <v>0</v>
      </c>
      <c r="AL277" s="451">
        <v>0</v>
      </c>
      <c r="AM277" s="451">
        <v>0</v>
      </c>
      <c r="AN277" s="451">
        <v>0</v>
      </c>
      <c r="AO277" s="451">
        <v>3444897.81</v>
      </c>
      <c r="AP277" s="451">
        <v>1323849.77</v>
      </c>
      <c r="AQ277" s="324"/>
      <c r="AR277" s="310"/>
      <c r="AS277" s="310"/>
      <c r="AT277" s="310"/>
      <c r="AU277" s="310"/>
      <c r="AV277" s="310"/>
      <c r="AW277" s="310"/>
      <c r="AX277" s="310"/>
      <c r="AY277" s="310"/>
      <c r="AZ277" s="310"/>
      <c r="BA277" s="310"/>
      <c r="BB277" s="310"/>
      <c r="BC277" s="310"/>
      <c r="BD277" s="310"/>
      <c r="BE277" s="310"/>
      <c r="BF277" s="310"/>
      <c r="BG277" s="310"/>
      <c r="BH277" s="310"/>
      <c r="BI277" s="310"/>
      <c r="BJ277" s="310"/>
      <c r="BK277" s="310"/>
      <c r="BL277" s="310"/>
      <c r="BM277" s="310"/>
      <c r="BN277" s="310"/>
      <c r="BO277" s="310"/>
      <c r="BP277" s="310"/>
      <c r="BQ277" s="310"/>
      <c r="BR277" s="310"/>
      <c r="BS277" s="310"/>
      <c r="BT277" s="310"/>
      <c r="BU277" s="310"/>
      <c r="BV277" s="310"/>
      <c r="BW277" s="310"/>
      <c r="BX277" s="310"/>
      <c r="BY277" s="310"/>
      <c r="BZ277" s="310"/>
      <c r="CA277" s="310"/>
      <c r="CB277" s="310"/>
      <c r="CC277" s="310"/>
      <c r="CD277" s="310"/>
      <c r="CE277" s="310"/>
      <c r="CF277" s="310"/>
      <c r="CG277" s="310"/>
      <c r="CH277" s="310"/>
      <c r="CI277" s="310"/>
      <c r="CJ277" s="310"/>
      <c r="CK277" s="310"/>
      <c r="CL277" s="310"/>
      <c r="CM277" s="310"/>
      <c r="CN277" s="310"/>
      <c r="CO277" s="310"/>
      <c r="CP277" s="310"/>
      <c r="CQ277" s="310"/>
      <c r="CR277" s="310"/>
      <c r="CS277" s="310"/>
      <c r="CT277" s="310"/>
      <c r="CU277" s="310"/>
      <c r="CV277" s="310"/>
      <c r="CW277" s="310"/>
      <c r="CX277" s="310"/>
      <c r="CY277" s="310"/>
      <c r="CZ277" s="310"/>
      <c r="DA277" s="310"/>
      <c r="DB277" s="310"/>
      <c r="DC277" s="310"/>
      <c r="DD277" s="310"/>
      <c r="DE277" s="310"/>
      <c r="DF277" s="310"/>
      <c r="DG277" s="310"/>
      <c r="DH277" s="310"/>
      <c r="DI277" s="310"/>
      <c r="DJ277" s="310"/>
      <c r="DK277" s="310"/>
      <c r="DL277" s="310"/>
      <c r="DM277" s="310"/>
      <c r="DN277" s="310"/>
      <c r="DO277" s="310"/>
      <c r="DP277" s="310"/>
      <c r="DQ277" s="310"/>
      <c r="DR277" s="310"/>
      <c r="DS277" s="310"/>
      <c r="DT277" s="310"/>
      <c r="DU277" s="310"/>
      <c r="DV277" s="310"/>
      <c r="DW277" s="310"/>
      <c r="DX277" s="310"/>
      <c r="DY277" s="310"/>
      <c r="DZ277" s="310"/>
      <c r="EA277" s="310"/>
      <c r="EB277" s="310"/>
      <c r="EC277" s="310"/>
      <c r="ED277" s="310"/>
      <c r="EE277" s="310"/>
      <c r="EF277" s="310"/>
      <c r="EG277" s="310"/>
      <c r="EH277" s="310"/>
      <c r="EI277" s="310"/>
      <c r="EJ277" s="310"/>
      <c r="EK277" s="310"/>
      <c r="EL277" s="310"/>
      <c r="EM277" s="310"/>
      <c r="EN277" s="310"/>
      <c r="EO277" s="310"/>
      <c r="EP277" s="310"/>
      <c r="EQ277" s="310"/>
      <c r="ER277" s="310"/>
      <c r="ES277" s="310"/>
      <c r="ET277" s="310"/>
      <c r="EU277" s="310"/>
      <c r="EV277" s="310"/>
      <c r="EW277" s="310"/>
      <c r="EX277" s="310"/>
      <c r="EY277" s="310"/>
      <c r="EZ277" s="310"/>
      <c r="FA277" s="310"/>
      <c r="FB277" s="310"/>
      <c r="FC277" s="310"/>
      <c r="FD277" s="310"/>
      <c r="FE277" s="311"/>
      <c r="FF277" s="312"/>
    </row>
    <row r="278" spans="1:162" ht="12.75" x14ac:dyDescent="0.2">
      <c r="A278" s="446">
        <v>271</v>
      </c>
      <c r="B278" s="447" t="s">
        <v>425</v>
      </c>
      <c r="C278" s="448" t="s">
        <v>1100</v>
      </c>
      <c r="D278" s="449" t="s">
        <v>1095</v>
      </c>
      <c r="E278" s="450" t="s">
        <v>424</v>
      </c>
      <c r="F278" s="451">
        <v>57838508.899999999</v>
      </c>
      <c r="G278" s="451">
        <v>0</v>
      </c>
      <c r="H278" s="451">
        <v>0</v>
      </c>
      <c r="I278" s="451">
        <v>57838508.899999999</v>
      </c>
      <c r="J278" s="451">
        <v>69580.600000000006</v>
      </c>
      <c r="K278" s="451">
        <v>0</v>
      </c>
      <c r="L278" s="451">
        <v>0</v>
      </c>
      <c r="M278" s="451">
        <v>69580.600000000006</v>
      </c>
      <c r="N278" s="451">
        <v>921003.06</v>
      </c>
      <c r="O278" s="451">
        <v>0</v>
      </c>
      <c r="P278" s="451">
        <v>0</v>
      </c>
      <c r="Q278" s="451">
        <v>921003.06</v>
      </c>
      <c r="R278" s="451">
        <v>914059</v>
      </c>
      <c r="S278" s="451">
        <v>0</v>
      </c>
      <c r="T278" s="451">
        <v>0</v>
      </c>
      <c r="U278" s="451">
        <v>914059</v>
      </c>
      <c r="V278" s="451">
        <v>2452226</v>
      </c>
      <c r="W278" s="451">
        <v>0</v>
      </c>
      <c r="X278" s="451">
        <v>0</v>
      </c>
      <c r="Y278" s="451">
        <v>2452226</v>
      </c>
      <c r="Z278" s="451">
        <v>53481640</v>
      </c>
      <c r="AA278" s="451">
        <v>0</v>
      </c>
      <c r="AB278" s="451">
        <v>0</v>
      </c>
      <c r="AC278" s="451">
        <v>53481640</v>
      </c>
      <c r="AD278" s="451">
        <v>0</v>
      </c>
      <c r="AE278" s="451">
        <v>0</v>
      </c>
      <c r="AF278" s="451">
        <v>0</v>
      </c>
      <c r="AG278" s="451">
        <v>0</v>
      </c>
      <c r="AH278" s="451">
        <v>0</v>
      </c>
      <c r="AI278" s="451">
        <v>0</v>
      </c>
      <c r="AJ278" s="451">
        <v>0</v>
      </c>
      <c r="AK278" s="451">
        <v>0</v>
      </c>
      <c r="AL278" s="451">
        <v>0</v>
      </c>
      <c r="AM278" s="451">
        <v>0</v>
      </c>
      <c r="AN278" s="451">
        <v>0</v>
      </c>
      <c r="AO278" s="451">
        <v>5808510.6699999999</v>
      </c>
      <c r="AP278" s="451">
        <v>971231.17</v>
      </c>
      <c r="AQ278" s="324"/>
      <c r="AR278" s="310"/>
      <c r="AS278" s="310"/>
      <c r="AT278" s="310"/>
      <c r="AU278" s="310"/>
      <c r="AV278" s="310"/>
      <c r="AW278" s="310"/>
      <c r="AX278" s="310"/>
      <c r="AY278" s="310"/>
      <c r="AZ278" s="310"/>
      <c r="BA278" s="310"/>
      <c r="BB278" s="310"/>
      <c r="BC278" s="310"/>
      <c r="BD278" s="310"/>
      <c r="BE278" s="310"/>
      <c r="BF278" s="310"/>
      <c r="BG278" s="310"/>
      <c r="BH278" s="310"/>
      <c r="BI278" s="310"/>
      <c r="BJ278" s="310"/>
      <c r="BK278" s="310"/>
      <c r="BL278" s="310"/>
      <c r="BM278" s="310"/>
      <c r="BN278" s="310"/>
      <c r="BO278" s="310"/>
      <c r="BP278" s="310"/>
      <c r="BQ278" s="310"/>
      <c r="BR278" s="310"/>
      <c r="BS278" s="310"/>
      <c r="BT278" s="310"/>
      <c r="BU278" s="310"/>
      <c r="BV278" s="310"/>
      <c r="BW278" s="310"/>
      <c r="BX278" s="310"/>
      <c r="BY278" s="310"/>
      <c r="BZ278" s="310"/>
      <c r="CA278" s="310"/>
      <c r="CB278" s="310"/>
      <c r="CC278" s="310"/>
      <c r="CD278" s="310"/>
      <c r="CE278" s="310"/>
      <c r="CF278" s="310"/>
      <c r="CG278" s="310"/>
      <c r="CH278" s="310"/>
      <c r="CI278" s="310"/>
      <c r="CJ278" s="310"/>
      <c r="CK278" s="310"/>
      <c r="CL278" s="310"/>
      <c r="CM278" s="310"/>
      <c r="CN278" s="310"/>
      <c r="CO278" s="310"/>
      <c r="CP278" s="310"/>
      <c r="CQ278" s="310"/>
      <c r="CR278" s="310"/>
      <c r="CS278" s="310"/>
      <c r="CT278" s="310"/>
      <c r="CU278" s="310"/>
      <c r="CV278" s="310"/>
      <c r="CW278" s="310"/>
      <c r="CX278" s="310"/>
      <c r="CY278" s="310"/>
      <c r="CZ278" s="310"/>
      <c r="DA278" s="310"/>
      <c r="DB278" s="310"/>
      <c r="DC278" s="310"/>
      <c r="DD278" s="310"/>
      <c r="DE278" s="310"/>
      <c r="DF278" s="310"/>
      <c r="DG278" s="310"/>
      <c r="DH278" s="310"/>
      <c r="DI278" s="310"/>
      <c r="DJ278" s="310"/>
      <c r="DK278" s="310"/>
      <c r="DL278" s="310"/>
      <c r="DM278" s="310"/>
      <c r="DN278" s="310"/>
      <c r="DO278" s="310"/>
      <c r="DP278" s="310"/>
      <c r="DQ278" s="310"/>
      <c r="DR278" s="310"/>
      <c r="DS278" s="310"/>
      <c r="DT278" s="310"/>
      <c r="DU278" s="310"/>
      <c r="DV278" s="310"/>
      <c r="DW278" s="310"/>
      <c r="DX278" s="310"/>
      <c r="DY278" s="310"/>
      <c r="DZ278" s="310"/>
      <c r="EA278" s="310"/>
      <c r="EB278" s="310"/>
      <c r="EC278" s="310"/>
      <c r="ED278" s="310"/>
      <c r="EE278" s="310"/>
      <c r="EF278" s="310"/>
      <c r="EG278" s="310"/>
      <c r="EH278" s="310"/>
      <c r="EI278" s="310"/>
      <c r="EJ278" s="310"/>
      <c r="EK278" s="310"/>
      <c r="EL278" s="310"/>
      <c r="EM278" s="310"/>
      <c r="EN278" s="310"/>
      <c r="EO278" s="310"/>
      <c r="EP278" s="310"/>
      <c r="EQ278" s="310"/>
      <c r="ER278" s="310"/>
      <c r="ES278" s="310"/>
      <c r="ET278" s="310"/>
      <c r="EU278" s="310"/>
      <c r="EV278" s="310"/>
      <c r="EW278" s="310"/>
      <c r="EX278" s="310"/>
      <c r="EY278" s="310"/>
      <c r="EZ278" s="310"/>
      <c r="FA278" s="310"/>
      <c r="FB278" s="310"/>
      <c r="FC278" s="310"/>
      <c r="FD278" s="310"/>
      <c r="FE278" s="311"/>
      <c r="FF278" s="312"/>
    </row>
    <row r="279" spans="1:162" ht="12.75" x14ac:dyDescent="0.2">
      <c r="A279" s="446">
        <v>272</v>
      </c>
      <c r="B279" s="447" t="s">
        <v>427</v>
      </c>
      <c r="C279" s="448" t="s">
        <v>1093</v>
      </c>
      <c r="D279" s="449" t="s">
        <v>1103</v>
      </c>
      <c r="E279" s="450" t="s">
        <v>426</v>
      </c>
      <c r="F279" s="451">
        <v>33038943</v>
      </c>
      <c r="G279" s="451">
        <v>0</v>
      </c>
      <c r="H279" s="451">
        <v>0</v>
      </c>
      <c r="I279" s="451">
        <v>33038943</v>
      </c>
      <c r="J279" s="451">
        <v>165902</v>
      </c>
      <c r="K279" s="451">
        <v>0</v>
      </c>
      <c r="L279" s="451">
        <v>0</v>
      </c>
      <c r="M279" s="451">
        <v>165902</v>
      </c>
      <c r="N279" s="451">
        <v>-32856.239999999998</v>
      </c>
      <c r="O279" s="451">
        <v>0</v>
      </c>
      <c r="P279" s="451">
        <v>0</v>
      </c>
      <c r="Q279" s="451">
        <v>-32856.239999999998</v>
      </c>
      <c r="R279" s="451">
        <v>273955</v>
      </c>
      <c r="S279" s="451">
        <v>0</v>
      </c>
      <c r="T279" s="451">
        <v>0</v>
      </c>
      <c r="U279" s="451">
        <v>273955</v>
      </c>
      <c r="V279" s="451">
        <v>708194</v>
      </c>
      <c r="W279" s="451">
        <v>0</v>
      </c>
      <c r="X279" s="451">
        <v>0</v>
      </c>
      <c r="Y279" s="451">
        <v>708194</v>
      </c>
      <c r="Z279" s="451">
        <v>31923748</v>
      </c>
      <c r="AA279" s="451">
        <v>0</v>
      </c>
      <c r="AB279" s="451">
        <v>0</v>
      </c>
      <c r="AC279" s="451">
        <v>31923748</v>
      </c>
      <c r="AD279" s="451">
        <v>0</v>
      </c>
      <c r="AE279" s="451">
        <v>0</v>
      </c>
      <c r="AF279" s="451">
        <v>0</v>
      </c>
      <c r="AG279" s="451">
        <v>0</v>
      </c>
      <c r="AH279" s="451">
        <v>0</v>
      </c>
      <c r="AI279" s="451">
        <v>0</v>
      </c>
      <c r="AJ279" s="451">
        <v>0</v>
      </c>
      <c r="AK279" s="451">
        <v>0</v>
      </c>
      <c r="AL279" s="451">
        <v>0</v>
      </c>
      <c r="AM279" s="451">
        <v>0</v>
      </c>
      <c r="AN279" s="451">
        <v>0</v>
      </c>
      <c r="AO279" s="451">
        <v>836109</v>
      </c>
      <c r="AP279" s="451">
        <v>601347</v>
      </c>
      <c r="AQ279" s="324"/>
      <c r="AR279" s="310"/>
      <c r="AS279" s="310"/>
      <c r="AT279" s="310"/>
      <c r="AU279" s="310"/>
      <c r="AV279" s="310"/>
      <c r="AW279" s="310"/>
      <c r="AX279" s="310"/>
      <c r="AY279" s="310"/>
      <c r="AZ279" s="310"/>
      <c r="BA279" s="310"/>
      <c r="BB279" s="310"/>
      <c r="BC279" s="310"/>
      <c r="BD279" s="310"/>
      <c r="BE279" s="310"/>
      <c r="BF279" s="310"/>
      <c r="BG279" s="310"/>
      <c r="BH279" s="310"/>
      <c r="BI279" s="310"/>
      <c r="BJ279" s="310"/>
      <c r="BK279" s="310"/>
      <c r="BL279" s="310"/>
      <c r="BM279" s="310"/>
      <c r="BN279" s="310"/>
      <c r="BO279" s="310"/>
      <c r="BP279" s="310"/>
      <c r="BQ279" s="310"/>
      <c r="BR279" s="310"/>
      <c r="BS279" s="310"/>
      <c r="BT279" s="310"/>
      <c r="BU279" s="310"/>
      <c r="BV279" s="310"/>
      <c r="BW279" s="310"/>
      <c r="BX279" s="310"/>
      <c r="BY279" s="310"/>
      <c r="BZ279" s="310"/>
      <c r="CA279" s="310"/>
      <c r="CB279" s="310"/>
      <c r="CC279" s="310"/>
      <c r="CD279" s="310"/>
      <c r="CE279" s="310"/>
      <c r="CF279" s="310"/>
      <c r="CG279" s="310"/>
      <c r="CH279" s="310"/>
      <c r="CI279" s="310"/>
      <c r="CJ279" s="310"/>
      <c r="CK279" s="310"/>
      <c r="CL279" s="310"/>
      <c r="CM279" s="310"/>
      <c r="CN279" s="310"/>
      <c r="CO279" s="310"/>
      <c r="CP279" s="310"/>
      <c r="CQ279" s="310"/>
      <c r="CR279" s="310"/>
      <c r="CS279" s="310"/>
      <c r="CT279" s="310"/>
      <c r="CU279" s="310"/>
      <c r="CV279" s="310"/>
      <c r="CW279" s="310"/>
      <c r="CX279" s="310"/>
      <c r="CY279" s="310"/>
      <c r="CZ279" s="310"/>
      <c r="DA279" s="310"/>
      <c r="DB279" s="310"/>
      <c r="DC279" s="310"/>
      <c r="DD279" s="310"/>
      <c r="DE279" s="310"/>
      <c r="DF279" s="310"/>
      <c r="DG279" s="310"/>
      <c r="DH279" s="310"/>
      <c r="DI279" s="310"/>
      <c r="DJ279" s="310"/>
      <c r="DK279" s="310"/>
      <c r="DL279" s="310"/>
      <c r="DM279" s="310"/>
      <c r="DN279" s="310"/>
      <c r="DO279" s="310"/>
      <c r="DP279" s="310"/>
      <c r="DQ279" s="310"/>
      <c r="DR279" s="310"/>
      <c r="DS279" s="310"/>
      <c r="DT279" s="310"/>
      <c r="DU279" s="310"/>
      <c r="DV279" s="310"/>
      <c r="DW279" s="310"/>
      <c r="DX279" s="310"/>
      <c r="DY279" s="310"/>
      <c r="DZ279" s="310"/>
      <c r="EA279" s="310"/>
      <c r="EB279" s="310"/>
      <c r="EC279" s="310"/>
      <c r="ED279" s="310"/>
      <c r="EE279" s="310"/>
      <c r="EF279" s="310"/>
      <c r="EG279" s="310"/>
      <c r="EH279" s="310"/>
      <c r="EI279" s="310"/>
      <c r="EJ279" s="310"/>
      <c r="EK279" s="310"/>
      <c r="EL279" s="310"/>
      <c r="EM279" s="310"/>
      <c r="EN279" s="310"/>
      <c r="EO279" s="310"/>
      <c r="EP279" s="310"/>
      <c r="EQ279" s="310"/>
      <c r="ER279" s="310"/>
      <c r="ES279" s="310"/>
      <c r="ET279" s="310"/>
      <c r="EU279" s="310"/>
      <c r="EV279" s="310"/>
      <c r="EW279" s="310"/>
      <c r="EX279" s="310"/>
      <c r="EY279" s="310"/>
      <c r="EZ279" s="310"/>
      <c r="FA279" s="310"/>
      <c r="FB279" s="310"/>
      <c r="FC279" s="310"/>
      <c r="FD279" s="310"/>
      <c r="FE279" s="311"/>
      <c r="FF279" s="312"/>
    </row>
    <row r="280" spans="1:162" ht="12.75" x14ac:dyDescent="0.2">
      <c r="A280" s="446">
        <v>273</v>
      </c>
      <c r="B280" s="447" t="s">
        <v>429</v>
      </c>
      <c r="C280" s="448" t="s">
        <v>1093</v>
      </c>
      <c r="D280" s="449" t="s">
        <v>1094</v>
      </c>
      <c r="E280" s="450" t="s">
        <v>428</v>
      </c>
      <c r="F280" s="451">
        <v>20098959.399999999</v>
      </c>
      <c r="G280" s="451">
        <v>0</v>
      </c>
      <c r="H280" s="451">
        <v>0</v>
      </c>
      <c r="I280" s="451">
        <v>20098959.399999999</v>
      </c>
      <c r="J280" s="451">
        <v>0</v>
      </c>
      <c r="K280" s="451">
        <v>0</v>
      </c>
      <c r="L280" s="451">
        <v>0</v>
      </c>
      <c r="M280" s="451">
        <v>0</v>
      </c>
      <c r="N280" s="451">
        <v>102180</v>
      </c>
      <c r="O280" s="451">
        <v>0</v>
      </c>
      <c r="P280" s="451">
        <v>0</v>
      </c>
      <c r="Q280" s="451">
        <v>102180</v>
      </c>
      <c r="R280" s="451">
        <v>170000</v>
      </c>
      <c r="S280" s="451">
        <v>0</v>
      </c>
      <c r="T280" s="451">
        <v>0</v>
      </c>
      <c r="U280" s="451">
        <v>170000</v>
      </c>
      <c r="V280" s="451">
        <v>590000</v>
      </c>
      <c r="W280" s="451">
        <v>0</v>
      </c>
      <c r="X280" s="451">
        <v>0</v>
      </c>
      <c r="Y280" s="451">
        <v>590000</v>
      </c>
      <c r="Z280" s="451">
        <v>19236779</v>
      </c>
      <c r="AA280" s="451">
        <v>0</v>
      </c>
      <c r="AB280" s="451">
        <v>0</v>
      </c>
      <c r="AC280" s="451">
        <v>19236779</v>
      </c>
      <c r="AD280" s="451">
        <v>0</v>
      </c>
      <c r="AE280" s="451">
        <v>0</v>
      </c>
      <c r="AF280" s="451">
        <v>0</v>
      </c>
      <c r="AG280" s="451">
        <v>0</v>
      </c>
      <c r="AH280" s="451">
        <v>0</v>
      </c>
      <c r="AI280" s="451">
        <v>0</v>
      </c>
      <c r="AJ280" s="451">
        <v>0</v>
      </c>
      <c r="AK280" s="451">
        <v>0</v>
      </c>
      <c r="AL280" s="451">
        <v>0</v>
      </c>
      <c r="AM280" s="451">
        <v>0</v>
      </c>
      <c r="AN280" s="451">
        <v>0</v>
      </c>
      <c r="AO280" s="451">
        <v>659572.54</v>
      </c>
      <c r="AP280" s="451">
        <v>403103</v>
      </c>
      <c r="AQ280" s="324"/>
      <c r="AR280" s="310"/>
      <c r="AS280" s="310"/>
      <c r="AT280" s="310"/>
      <c r="AU280" s="310"/>
      <c r="AV280" s="310"/>
      <c r="AW280" s="310"/>
      <c r="AX280" s="310"/>
      <c r="AY280" s="310"/>
      <c r="AZ280" s="310"/>
      <c r="BA280" s="310"/>
      <c r="BB280" s="310"/>
      <c r="BC280" s="310"/>
      <c r="BD280" s="310"/>
      <c r="BE280" s="310"/>
      <c r="BF280" s="310"/>
      <c r="BG280" s="310"/>
      <c r="BH280" s="310"/>
      <c r="BI280" s="310"/>
      <c r="BJ280" s="310"/>
      <c r="BK280" s="310"/>
      <c r="BL280" s="310"/>
      <c r="BM280" s="310"/>
      <c r="BN280" s="310"/>
      <c r="BO280" s="310"/>
      <c r="BP280" s="310"/>
      <c r="BQ280" s="310"/>
      <c r="BR280" s="310"/>
      <c r="BS280" s="310"/>
      <c r="BT280" s="310"/>
      <c r="BU280" s="310"/>
      <c r="BV280" s="310"/>
      <c r="BW280" s="310"/>
      <c r="BX280" s="310"/>
      <c r="BY280" s="310"/>
      <c r="BZ280" s="310"/>
      <c r="CA280" s="310"/>
      <c r="CB280" s="310"/>
      <c r="CC280" s="310"/>
      <c r="CD280" s="310"/>
      <c r="CE280" s="310"/>
      <c r="CF280" s="310"/>
      <c r="CG280" s="310"/>
      <c r="CH280" s="310"/>
      <c r="CI280" s="310"/>
      <c r="CJ280" s="310"/>
      <c r="CK280" s="310"/>
      <c r="CL280" s="310"/>
      <c r="CM280" s="310"/>
      <c r="CN280" s="310"/>
      <c r="CO280" s="310"/>
      <c r="CP280" s="310"/>
      <c r="CQ280" s="310"/>
      <c r="CR280" s="310"/>
      <c r="CS280" s="310"/>
      <c r="CT280" s="310"/>
      <c r="CU280" s="310"/>
      <c r="CV280" s="310"/>
      <c r="CW280" s="310"/>
      <c r="CX280" s="310"/>
      <c r="CY280" s="310"/>
      <c r="CZ280" s="310"/>
      <c r="DA280" s="310"/>
      <c r="DB280" s="310"/>
      <c r="DC280" s="310"/>
      <c r="DD280" s="310"/>
      <c r="DE280" s="310"/>
      <c r="DF280" s="310"/>
      <c r="DG280" s="310"/>
      <c r="DH280" s="310"/>
      <c r="DI280" s="310"/>
      <c r="DJ280" s="310"/>
      <c r="DK280" s="310"/>
      <c r="DL280" s="310"/>
      <c r="DM280" s="310"/>
      <c r="DN280" s="310"/>
      <c r="DO280" s="310"/>
      <c r="DP280" s="310"/>
      <c r="DQ280" s="310"/>
      <c r="DR280" s="310"/>
      <c r="DS280" s="310"/>
      <c r="DT280" s="310"/>
      <c r="DU280" s="310"/>
      <c r="DV280" s="310"/>
      <c r="DW280" s="310"/>
      <c r="DX280" s="310"/>
      <c r="DY280" s="310"/>
      <c r="DZ280" s="310"/>
      <c r="EA280" s="310"/>
      <c r="EB280" s="310"/>
      <c r="EC280" s="310"/>
      <c r="ED280" s="310"/>
      <c r="EE280" s="310"/>
      <c r="EF280" s="310"/>
      <c r="EG280" s="310"/>
      <c r="EH280" s="310"/>
      <c r="EI280" s="310"/>
      <c r="EJ280" s="310"/>
      <c r="EK280" s="310"/>
      <c r="EL280" s="310"/>
      <c r="EM280" s="310"/>
      <c r="EN280" s="310"/>
      <c r="EO280" s="310"/>
      <c r="EP280" s="310"/>
      <c r="EQ280" s="310"/>
      <c r="ER280" s="310"/>
      <c r="ES280" s="310"/>
      <c r="ET280" s="310"/>
      <c r="EU280" s="310"/>
      <c r="EV280" s="310"/>
      <c r="EW280" s="310"/>
      <c r="EX280" s="310"/>
      <c r="EY280" s="310"/>
      <c r="EZ280" s="310"/>
      <c r="FA280" s="310"/>
      <c r="FB280" s="310"/>
      <c r="FC280" s="310"/>
      <c r="FD280" s="310"/>
      <c r="FE280" s="311"/>
      <c r="FF280" s="312"/>
    </row>
    <row r="281" spans="1:162" ht="12.75" x14ac:dyDescent="0.2">
      <c r="A281" s="446">
        <v>274</v>
      </c>
      <c r="B281" s="447" t="s">
        <v>431</v>
      </c>
      <c r="C281" s="448" t="s">
        <v>1093</v>
      </c>
      <c r="D281" s="449" t="s">
        <v>1102</v>
      </c>
      <c r="E281" s="450" t="s">
        <v>430</v>
      </c>
      <c r="F281" s="451">
        <v>39240158.299999997</v>
      </c>
      <c r="G281" s="451">
        <v>0</v>
      </c>
      <c r="H281" s="451">
        <v>0</v>
      </c>
      <c r="I281" s="451">
        <v>39240158.299999997</v>
      </c>
      <c r="J281" s="451">
        <v>160845</v>
      </c>
      <c r="K281" s="451">
        <v>0</v>
      </c>
      <c r="L281" s="451">
        <v>0</v>
      </c>
      <c r="M281" s="451">
        <v>160845</v>
      </c>
      <c r="N281" s="451">
        <v>255656</v>
      </c>
      <c r="O281" s="451">
        <v>0</v>
      </c>
      <c r="P281" s="451">
        <v>0</v>
      </c>
      <c r="Q281" s="451">
        <v>255656</v>
      </c>
      <c r="R281" s="451">
        <v>962300</v>
      </c>
      <c r="S281" s="451">
        <v>0</v>
      </c>
      <c r="T281" s="451">
        <v>0</v>
      </c>
      <c r="U281" s="451">
        <v>962300</v>
      </c>
      <c r="V281" s="451">
        <v>1979731</v>
      </c>
      <c r="W281" s="451">
        <v>0</v>
      </c>
      <c r="X281" s="451">
        <v>0</v>
      </c>
      <c r="Y281" s="451">
        <v>1979731</v>
      </c>
      <c r="Z281" s="451">
        <v>35881626</v>
      </c>
      <c r="AA281" s="451">
        <v>0</v>
      </c>
      <c r="AB281" s="451">
        <v>0</v>
      </c>
      <c r="AC281" s="451">
        <v>35881626</v>
      </c>
      <c r="AD281" s="451">
        <v>29894</v>
      </c>
      <c r="AE281" s="451">
        <v>0</v>
      </c>
      <c r="AF281" s="451">
        <v>0</v>
      </c>
      <c r="AG281" s="451">
        <v>29894</v>
      </c>
      <c r="AH281" s="451">
        <v>0</v>
      </c>
      <c r="AI281" s="451">
        <v>0</v>
      </c>
      <c r="AJ281" s="451">
        <v>0</v>
      </c>
      <c r="AK281" s="451">
        <v>0</v>
      </c>
      <c r="AL281" s="451">
        <v>0</v>
      </c>
      <c r="AM281" s="451">
        <v>0</v>
      </c>
      <c r="AN281" s="451">
        <v>29894</v>
      </c>
      <c r="AO281" s="451">
        <v>1210537</v>
      </c>
      <c r="AP281" s="451">
        <v>706564.34</v>
      </c>
      <c r="AQ281" s="324"/>
      <c r="AR281" s="310"/>
      <c r="AS281" s="310"/>
      <c r="AT281" s="310"/>
      <c r="AU281" s="310"/>
      <c r="AV281" s="310"/>
      <c r="AW281" s="310"/>
      <c r="AX281" s="310"/>
      <c r="AY281" s="310"/>
      <c r="AZ281" s="310"/>
      <c r="BA281" s="310"/>
      <c r="BB281" s="310"/>
      <c r="BC281" s="310"/>
      <c r="BD281" s="310"/>
      <c r="BE281" s="310"/>
      <c r="BF281" s="310"/>
      <c r="BG281" s="310"/>
      <c r="BH281" s="310"/>
      <c r="BI281" s="310"/>
      <c r="BJ281" s="310"/>
      <c r="BK281" s="310"/>
      <c r="BL281" s="310"/>
      <c r="BM281" s="310"/>
      <c r="BN281" s="310"/>
      <c r="BO281" s="310"/>
      <c r="BP281" s="310"/>
      <c r="BQ281" s="310"/>
      <c r="BR281" s="310"/>
      <c r="BS281" s="310"/>
      <c r="BT281" s="310"/>
      <c r="BU281" s="310"/>
      <c r="BV281" s="310"/>
      <c r="BW281" s="310"/>
      <c r="BX281" s="310"/>
      <c r="BY281" s="310"/>
      <c r="BZ281" s="310"/>
      <c r="CA281" s="310"/>
      <c r="CB281" s="310"/>
      <c r="CC281" s="310"/>
      <c r="CD281" s="310"/>
      <c r="CE281" s="310"/>
      <c r="CF281" s="310"/>
      <c r="CG281" s="310"/>
      <c r="CH281" s="310"/>
      <c r="CI281" s="310"/>
      <c r="CJ281" s="310"/>
      <c r="CK281" s="310"/>
      <c r="CL281" s="310"/>
      <c r="CM281" s="310"/>
      <c r="CN281" s="310"/>
      <c r="CO281" s="310"/>
      <c r="CP281" s="310"/>
      <c r="CQ281" s="310"/>
      <c r="CR281" s="310"/>
      <c r="CS281" s="310"/>
      <c r="CT281" s="310"/>
      <c r="CU281" s="310"/>
      <c r="CV281" s="310"/>
      <c r="CW281" s="310"/>
      <c r="CX281" s="310"/>
      <c r="CY281" s="310"/>
      <c r="CZ281" s="310"/>
      <c r="DA281" s="310"/>
      <c r="DB281" s="310"/>
      <c r="DC281" s="310"/>
      <c r="DD281" s="310"/>
      <c r="DE281" s="310"/>
      <c r="DF281" s="310"/>
      <c r="DG281" s="310"/>
      <c r="DH281" s="310"/>
      <c r="DI281" s="310"/>
      <c r="DJ281" s="310"/>
      <c r="DK281" s="310"/>
      <c r="DL281" s="310"/>
      <c r="DM281" s="310"/>
      <c r="DN281" s="310"/>
      <c r="DO281" s="310"/>
      <c r="DP281" s="310"/>
      <c r="DQ281" s="310"/>
      <c r="DR281" s="310"/>
      <c r="DS281" s="310"/>
      <c r="DT281" s="310"/>
      <c r="DU281" s="310"/>
      <c r="DV281" s="310"/>
      <c r="DW281" s="310"/>
      <c r="DX281" s="310"/>
      <c r="DY281" s="310"/>
      <c r="DZ281" s="310"/>
      <c r="EA281" s="310"/>
      <c r="EB281" s="310"/>
      <c r="EC281" s="310"/>
      <c r="ED281" s="310"/>
      <c r="EE281" s="310"/>
      <c r="EF281" s="310"/>
      <c r="EG281" s="310"/>
      <c r="EH281" s="310"/>
      <c r="EI281" s="310"/>
      <c r="EJ281" s="310"/>
      <c r="EK281" s="310"/>
      <c r="EL281" s="310"/>
      <c r="EM281" s="310"/>
      <c r="EN281" s="310"/>
      <c r="EO281" s="310"/>
      <c r="EP281" s="310"/>
      <c r="EQ281" s="310"/>
      <c r="ER281" s="310"/>
      <c r="ES281" s="310"/>
      <c r="ET281" s="310"/>
      <c r="EU281" s="310"/>
      <c r="EV281" s="310"/>
      <c r="EW281" s="310"/>
      <c r="EX281" s="310"/>
      <c r="EY281" s="310"/>
      <c r="EZ281" s="310"/>
      <c r="FA281" s="310"/>
      <c r="FB281" s="310"/>
      <c r="FC281" s="310"/>
      <c r="FD281" s="310"/>
      <c r="FE281" s="311"/>
      <c r="FF281" s="312"/>
    </row>
    <row r="282" spans="1:162" ht="12.75" x14ac:dyDescent="0.2">
      <c r="A282" s="446">
        <v>275</v>
      </c>
      <c r="B282" s="447" t="s">
        <v>433</v>
      </c>
      <c r="C282" s="448" t="s">
        <v>1093</v>
      </c>
      <c r="D282" s="449" t="s">
        <v>1102</v>
      </c>
      <c r="E282" s="450" t="s">
        <v>432</v>
      </c>
      <c r="F282" s="451">
        <v>30634866</v>
      </c>
      <c r="G282" s="451">
        <v>0</v>
      </c>
      <c r="H282" s="451">
        <v>0</v>
      </c>
      <c r="I282" s="451">
        <v>30634866</v>
      </c>
      <c r="J282" s="451">
        <v>96938</v>
      </c>
      <c r="K282" s="451">
        <v>0</v>
      </c>
      <c r="L282" s="451">
        <v>0</v>
      </c>
      <c r="M282" s="451">
        <v>96938</v>
      </c>
      <c r="N282" s="451">
        <v>0</v>
      </c>
      <c r="O282" s="451">
        <v>0</v>
      </c>
      <c r="P282" s="451">
        <v>0</v>
      </c>
      <c r="Q282" s="451">
        <v>0</v>
      </c>
      <c r="R282" s="451">
        <v>117662</v>
      </c>
      <c r="S282" s="451">
        <v>0</v>
      </c>
      <c r="T282" s="451">
        <v>0</v>
      </c>
      <c r="U282" s="451">
        <v>117662</v>
      </c>
      <c r="V282" s="451">
        <v>235325</v>
      </c>
      <c r="W282" s="451">
        <v>0</v>
      </c>
      <c r="X282" s="451">
        <v>0</v>
      </c>
      <c r="Y282" s="451">
        <v>235325</v>
      </c>
      <c r="Z282" s="451">
        <v>30184941</v>
      </c>
      <c r="AA282" s="451">
        <v>0</v>
      </c>
      <c r="AB282" s="451">
        <v>0</v>
      </c>
      <c r="AC282" s="451">
        <v>30184941</v>
      </c>
      <c r="AD282" s="451">
        <v>0</v>
      </c>
      <c r="AE282" s="451">
        <v>0</v>
      </c>
      <c r="AF282" s="451">
        <v>0</v>
      </c>
      <c r="AG282" s="451">
        <v>0</v>
      </c>
      <c r="AH282" s="451">
        <v>0</v>
      </c>
      <c r="AI282" s="451">
        <v>0</v>
      </c>
      <c r="AJ282" s="451">
        <v>0</v>
      </c>
      <c r="AK282" s="451">
        <v>0</v>
      </c>
      <c r="AL282" s="451">
        <v>0</v>
      </c>
      <c r="AM282" s="451">
        <v>0</v>
      </c>
      <c r="AN282" s="451">
        <v>0</v>
      </c>
      <c r="AO282" s="451">
        <v>805564</v>
      </c>
      <c r="AP282" s="451">
        <v>485660</v>
      </c>
      <c r="AQ282" s="324"/>
      <c r="AR282" s="310"/>
      <c r="AS282" s="310"/>
      <c r="AT282" s="310"/>
      <c r="AU282" s="310"/>
      <c r="AV282" s="310"/>
      <c r="AW282" s="310"/>
      <c r="AX282" s="310"/>
      <c r="AY282" s="310"/>
      <c r="AZ282" s="310"/>
      <c r="BA282" s="310"/>
      <c r="BB282" s="310"/>
      <c r="BC282" s="310"/>
      <c r="BD282" s="310"/>
      <c r="BE282" s="310"/>
      <c r="BF282" s="310"/>
      <c r="BG282" s="310"/>
      <c r="BH282" s="310"/>
      <c r="BI282" s="310"/>
      <c r="BJ282" s="310"/>
      <c r="BK282" s="310"/>
      <c r="BL282" s="310"/>
      <c r="BM282" s="310"/>
      <c r="BN282" s="310"/>
      <c r="BO282" s="310"/>
      <c r="BP282" s="310"/>
      <c r="BQ282" s="310"/>
      <c r="BR282" s="310"/>
      <c r="BS282" s="310"/>
      <c r="BT282" s="310"/>
      <c r="BU282" s="310"/>
      <c r="BV282" s="310"/>
      <c r="BW282" s="310"/>
      <c r="BX282" s="310"/>
      <c r="BY282" s="310"/>
      <c r="BZ282" s="310"/>
      <c r="CA282" s="310"/>
      <c r="CB282" s="310"/>
      <c r="CC282" s="310"/>
      <c r="CD282" s="310"/>
      <c r="CE282" s="310"/>
      <c r="CF282" s="310"/>
      <c r="CG282" s="310"/>
      <c r="CH282" s="310"/>
      <c r="CI282" s="310"/>
      <c r="CJ282" s="310"/>
      <c r="CK282" s="310"/>
      <c r="CL282" s="310"/>
      <c r="CM282" s="310"/>
      <c r="CN282" s="310"/>
      <c r="CO282" s="310"/>
      <c r="CP282" s="310"/>
      <c r="CQ282" s="310"/>
      <c r="CR282" s="310"/>
      <c r="CS282" s="310"/>
      <c r="CT282" s="310"/>
      <c r="CU282" s="310"/>
      <c r="CV282" s="310"/>
      <c r="CW282" s="310"/>
      <c r="CX282" s="310"/>
      <c r="CY282" s="310"/>
      <c r="CZ282" s="310"/>
      <c r="DA282" s="310"/>
      <c r="DB282" s="310"/>
      <c r="DC282" s="310"/>
      <c r="DD282" s="310"/>
      <c r="DE282" s="310"/>
      <c r="DF282" s="310"/>
      <c r="DG282" s="310"/>
      <c r="DH282" s="310"/>
      <c r="DI282" s="310"/>
      <c r="DJ282" s="310"/>
      <c r="DK282" s="310"/>
      <c r="DL282" s="310"/>
      <c r="DM282" s="310"/>
      <c r="DN282" s="310"/>
      <c r="DO282" s="310"/>
      <c r="DP282" s="310"/>
      <c r="DQ282" s="310"/>
      <c r="DR282" s="310"/>
      <c r="DS282" s="310"/>
      <c r="DT282" s="310"/>
      <c r="DU282" s="310"/>
      <c r="DV282" s="310"/>
      <c r="DW282" s="310"/>
      <c r="DX282" s="310"/>
      <c r="DY282" s="310"/>
      <c r="DZ282" s="310"/>
      <c r="EA282" s="310"/>
      <c r="EB282" s="310"/>
      <c r="EC282" s="310"/>
      <c r="ED282" s="310"/>
      <c r="EE282" s="310"/>
      <c r="EF282" s="310"/>
      <c r="EG282" s="310"/>
      <c r="EH282" s="310"/>
      <c r="EI282" s="310"/>
      <c r="EJ282" s="310"/>
      <c r="EK282" s="310"/>
      <c r="EL282" s="310"/>
      <c r="EM282" s="310"/>
      <c r="EN282" s="310"/>
      <c r="EO282" s="310"/>
      <c r="EP282" s="310"/>
      <c r="EQ282" s="310"/>
      <c r="ER282" s="310"/>
      <c r="ES282" s="310"/>
      <c r="ET282" s="310"/>
      <c r="EU282" s="310"/>
      <c r="EV282" s="310"/>
      <c r="EW282" s="310"/>
      <c r="EX282" s="310"/>
      <c r="EY282" s="310"/>
      <c r="EZ282" s="310"/>
      <c r="FA282" s="310"/>
      <c r="FB282" s="310"/>
      <c r="FC282" s="310"/>
      <c r="FD282" s="310"/>
      <c r="FE282" s="311"/>
      <c r="FF282" s="312"/>
    </row>
    <row r="283" spans="1:162" ht="12.75" x14ac:dyDescent="0.2">
      <c r="A283" s="446">
        <v>276</v>
      </c>
      <c r="B283" s="447" t="s">
        <v>435</v>
      </c>
      <c r="C283" s="448" t="s">
        <v>794</v>
      </c>
      <c r="D283" s="449" t="s">
        <v>1103</v>
      </c>
      <c r="E283" s="450" t="s">
        <v>750</v>
      </c>
      <c r="F283" s="451">
        <v>68497240</v>
      </c>
      <c r="G283" s="451">
        <v>0</v>
      </c>
      <c r="H283" s="451">
        <v>0</v>
      </c>
      <c r="I283" s="451">
        <v>68497240</v>
      </c>
      <c r="J283" s="451">
        <v>1098654.05</v>
      </c>
      <c r="K283" s="451">
        <v>0</v>
      </c>
      <c r="L283" s="451">
        <v>0</v>
      </c>
      <c r="M283" s="451">
        <v>1098654.05</v>
      </c>
      <c r="N283" s="451">
        <v>252000</v>
      </c>
      <c r="O283" s="451">
        <v>0</v>
      </c>
      <c r="P283" s="451">
        <v>0</v>
      </c>
      <c r="Q283" s="451">
        <v>252000</v>
      </c>
      <c r="R283" s="451">
        <v>1724000</v>
      </c>
      <c r="S283" s="451">
        <v>0</v>
      </c>
      <c r="T283" s="451">
        <v>0</v>
      </c>
      <c r="U283" s="451">
        <v>1724000</v>
      </c>
      <c r="V283" s="451">
        <v>2380000</v>
      </c>
      <c r="W283" s="451">
        <v>0</v>
      </c>
      <c r="X283" s="451">
        <v>0</v>
      </c>
      <c r="Y283" s="451">
        <v>2380000</v>
      </c>
      <c r="Z283" s="451">
        <v>63042586</v>
      </c>
      <c r="AA283" s="451">
        <v>0</v>
      </c>
      <c r="AB283" s="451">
        <v>0</v>
      </c>
      <c r="AC283" s="451">
        <v>63042586</v>
      </c>
      <c r="AD283" s="451">
        <v>0</v>
      </c>
      <c r="AE283" s="451">
        <v>0</v>
      </c>
      <c r="AF283" s="451">
        <v>0</v>
      </c>
      <c r="AG283" s="451">
        <v>0</v>
      </c>
      <c r="AH283" s="451">
        <v>0</v>
      </c>
      <c r="AI283" s="451">
        <v>0</v>
      </c>
      <c r="AJ283" s="451">
        <v>0</v>
      </c>
      <c r="AK283" s="451">
        <v>0</v>
      </c>
      <c r="AL283" s="451">
        <v>0</v>
      </c>
      <c r="AM283" s="451">
        <v>0</v>
      </c>
      <c r="AN283" s="451">
        <v>0</v>
      </c>
      <c r="AO283" s="451">
        <v>3191696.21</v>
      </c>
      <c r="AP283" s="451">
        <v>1594884.26</v>
      </c>
      <c r="AQ283" s="324"/>
      <c r="AR283" s="310"/>
      <c r="AS283" s="310"/>
      <c r="AT283" s="310"/>
      <c r="AU283" s="310"/>
      <c r="AV283" s="310"/>
      <c r="AW283" s="310"/>
      <c r="AX283" s="310"/>
      <c r="AY283" s="310"/>
      <c r="AZ283" s="310"/>
      <c r="BA283" s="310"/>
      <c r="BB283" s="310"/>
      <c r="BC283" s="310"/>
      <c r="BD283" s="310"/>
      <c r="BE283" s="310"/>
      <c r="BF283" s="310"/>
      <c r="BG283" s="310"/>
      <c r="BH283" s="310"/>
      <c r="BI283" s="310"/>
      <c r="BJ283" s="310"/>
      <c r="BK283" s="310"/>
      <c r="BL283" s="310"/>
      <c r="BM283" s="310"/>
      <c r="BN283" s="310"/>
      <c r="BO283" s="310"/>
      <c r="BP283" s="310"/>
      <c r="BQ283" s="310"/>
      <c r="BR283" s="310"/>
      <c r="BS283" s="310"/>
      <c r="BT283" s="310"/>
      <c r="BU283" s="310"/>
      <c r="BV283" s="310"/>
      <c r="BW283" s="310"/>
      <c r="BX283" s="310"/>
      <c r="BY283" s="310"/>
      <c r="BZ283" s="310"/>
      <c r="CA283" s="310"/>
      <c r="CB283" s="310"/>
      <c r="CC283" s="310"/>
      <c r="CD283" s="310"/>
      <c r="CE283" s="310"/>
      <c r="CF283" s="310"/>
      <c r="CG283" s="310"/>
      <c r="CH283" s="310"/>
      <c r="CI283" s="310"/>
      <c r="CJ283" s="310"/>
      <c r="CK283" s="310"/>
      <c r="CL283" s="310"/>
      <c r="CM283" s="310"/>
      <c r="CN283" s="310"/>
      <c r="CO283" s="310"/>
      <c r="CP283" s="310"/>
      <c r="CQ283" s="310"/>
      <c r="CR283" s="310"/>
      <c r="CS283" s="310"/>
      <c r="CT283" s="310"/>
      <c r="CU283" s="310"/>
      <c r="CV283" s="310"/>
      <c r="CW283" s="310"/>
      <c r="CX283" s="310"/>
      <c r="CY283" s="310"/>
      <c r="CZ283" s="310"/>
      <c r="DA283" s="310"/>
      <c r="DB283" s="310"/>
      <c r="DC283" s="310"/>
      <c r="DD283" s="310"/>
      <c r="DE283" s="310"/>
      <c r="DF283" s="310"/>
      <c r="DG283" s="310"/>
      <c r="DH283" s="310"/>
      <c r="DI283" s="310"/>
      <c r="DJ283" s="310"/>
      <c r="DK283" s="310"/>
      <c r="DL283" s="310"/>
      <c r="DM283" s="310"/>
      <c r="DN283" s="310"/>
      <c r="DO283" s="310"/>
      <c r="DP283" s="310"/>
      <c r="DQ283" s="310"/>
      <c r="DR283" s="310"/>
      <c r="DS283" s="310"/>
      <c r="DT283" s="310"/>
      <c r="DU283" s="310"/>
      <c r="DV283" s="310"/>
      <c r="DW283" s="310"/>
      <c r="DX283" s="310"/>
      <c r="DY283" s="310"/>
      <c r="DZ283" s="310"/>
      <c r="EA283" s="310"/>
      <c r="EB283" s="310"/>
      <c r="EC283" s="310"/>
      <c r="ED283" s="310"/>
      <c r="EE283" s="310"/>
      <c r="EF283" s="310"/>
      <c r="EG283" s="310"/>
      <c r="EH283" s="310"/>
      <c r="EI283" s="310"/>
      <c r="EJ283" s="310"/>
      <c r="EK283" s="310"/>
      <c r="EL283" s="310"/>
      <c r="EM283" s="310"/>
      <c r="EN283" s="310"/>
      <c r="EO283" s="310"/>
      <c r="EP283" s="310"/>
      <c r="EQ283" s="310"/>
      <c r="ER283" s="310"/>
      <c r="ES283" s="310"/>
      <c r="ET283" s="310"/>
      <c r="EU283" s="310"/>
      <c r="EV283" s="310"/>
      <c r="EW283" s="310"/>
      <c r="EX283" s="310"/>
      <c r="EY283" s="310"/>
      <c r="EZ283" s="310"/>
      <c r="FA283" s="310"/>
      <c r="FB283" s="310"/>
      <c r="FC283" s="310"/>
      <c r="FD283" s="310"/>
      <c r="FE283" s="311"/>
      <c r="FF283" s="312"/>
    </row>
    <row r="284" spans="1:162" ht="12.75" x14ac:dyDescent="0.2">
      <c r="A284" s="446">
        <v>277</v>
      </c>
      <c r="B284" s="447" t="s">
        <v>437</v>
      </c>
      <c r="C284" s="448" t="s">
        <v>1093</v>
      </c>
      <c r="D284" s="449" t="s">
        <v>1097</v>
      </c>
      <c r="E284" s="450" t="s">
        <v>436</v>
      </c>
      <c r="F284" s="451">
        <v>25699448</v>
      </c>
      <c r="G284" s="451">
        <v>0</v>
      </c>
      <c r="H284" s="451">
        <v>0</v>
      </c>
      <c r="I284" s="451">
        <v>25699448</v>
      </c>
      <c r="J284" s="451">
        <v>37057</v>
      </c>
      <c r="K284" s="451">
        <v>0</v>
      </c>
      <c r="L284" s="451">
        <v>0</v>
      </c>
      <c r="M284" s="451">
        <v>37057</v>
      </c>
      <c r="N284" s="451">
        <v>-310816</v>
      </c>
      <c r="O284" s="451">
        <v>0</v>
      </c>
      <c r="P284" s="451">
        <v>0</v>
      </c>
      <c r="Q284" s="451">
        <v>-310816</v>
      </c>
      <c r="R284" s="451">
        <v>473000</v>
      </c>
      <c r="S284" s="451">
        <v>0</v>
      </c>
      <c r="T284" s="451">
        <v>0</v>
      </c>
      <c r="U284" s="451">
        <v>473000</v>
      </c>
      <c r="V284" s="451">
        <v>1105000</v>
      </c>
      <c r="W284" s="451">
        <v>0</v>
      </c>
      <c r="X284" s="451">
        <v>0</v>
      </c>
      <c r="Y284" s="451">
        <v>1105000</v>
      </c>
      <c r="Z284" s="451">
        <v>24395207</v>
      </c>
      <c r="AA284" s="451">
        <v>0</v>
      </c>
      <c r="AB284" s="451">
        <v>0</v>
      </c>
      <c r="AC284" s="451">
        <v>24395207</v>
      </c>
      <c r="AD284" s="451">
        <v>54662</v>
      </c>
      <c r="AE284" s="451">
        <v>0</v>
      </c>
      <c r="AF284" s="451">
        <v>0</v>
      </c>
      <c r="AG284" s="451">
        <v>54662</v>
      </c>
      <c r="AH284" s="451">
        <v>0</v>
      </c>
      <c r="AI284" s="451">
        <v>0</v>
      </c>
      <c r="AJ284" s="451">
        <v>0</v>
      </c>
      <c r="AK284" s="451">
        <v>0</v>
      </c>
      <c r="AL284" s="451">
        <v>0</v>
      </c>
      <c r="AM284" s="451">
        <v>0</v>
      </c>
      <c r="AN284" s="451">
        <v>54662</v>
      </c>
      <c r="AO284" s="451">
        <v>515701</v>
      </c>
      <c r="AP284" s="451">
        <v>527675</v>
      </c>
      <c r="AQ284" s="324"/>
      <c r="AR284" s="310"/>
      <c r="AS284" s="310"/>
      <c r="AT284" s="310"/>
      <c r="AU284" s="310"/>
      <c r="AV284" s="310"/>
      <c r="AW284" s="310"/>
      <c r="AX284" s="310"/>
      <c r="AY284" s="310"/>
      <c r="AZ284" s="310"/>
      <c r="BA284" s="310"/>
      <c r="BB284" s="310"/>
      <c r="BC284" s="310"/>
      <c r="BD284" s="310"/>
      <c r="BE284" s="310"/>
      <c r="BF284" s="310"/>
      <c r="BG284" s="310"/>
      <c r="BH284" s="310"/>
      <c r="BI284" s="310"/>
      <c r="BJ284" s="310"/>
      <c r="BK284" s="310"/>
      <c r="BL284" s="310"/>
      <c r="BM284" s="310"/>
      <c r="BN284" s="310"/>
      <c r="BO284" s="310"/>
      <c r="BP284" s="310"/>
      <c r="BQ284" s="310"/>
      <c r="BR284" s="310"/>
      <c r="BS284" s="310"/>
      <c r="BT284" s="310"/>
      <c r="BU284" s="310"/>
      <c r="BV284" s="310"/>
      <c r="BW284" s="310"/>
      <c r="BX284" s="310"/>
      <c r="BY284" s="310"/>
      <c r="BZ284" s="310"/>
      <c r="CA284" s="310"/>
      <c r="CB284" s="310"/>
      <c r="CC284" s="310"/>
      <c r="CD284" s="310"/>
      <c r="CE284" s="310"/>
      <c r="CF284" s="310"/>
      <c r="CG284" s="310"/>
      <c r="CH284" s="310"/>
      <c r="CI284" s="310"/>
      <c r="CJ284" s="310"/>
      <c r="CK284" s="310"/>
      <c r="CL284" s="310"/>
      <c r="CM284" s="310"/>
      <c r="CN284" s="310"/>
      <c r="CO284" s="310"/>
      <c r="CP284" s="310"/>
      <c r="CQ284" s="310"/>
      <c r="CR284" s="310"/>
      <c r="CS284" s="310"/>
      <c r="CT284" s="310"/>
      <c r="CU284" s="310"/>
      <c r="CV284" s="310"/>
      <c r="CW284" s="310"/>
      <c r="CX284" s="310"/>
      <c r="CY284" s="310"/>
      <c r="CZ284" s="310"/>
      <c r="DA284" s="310"/>
      <c r="DB284" s="310"/>
      <c r="DC284" s="310"/>
      <c r="DD284" s="310"/>
      <c r="DE284" s="310"/>
      <c r="DF284" s="310"/>
      <c r="DG284" s="310"/>
      <c r="DH284" s="310"/>
      <c r="DI284" s="310"/>
      <c r="DJ284" s="310"/>
      <c r="DK284" s="310"/>
      <c r="DL284" s="310"/>
      <c r="DM284" s="310"/>
      <c r="DN284" s="310"/>
      <c r="DO284" s="310"/>
      <c r="DP284" s="310"/>
      <c r="DQ284" s="310"/>
      <c r="DR284" s="310"/>
      <c r="DS284" s="310"/>
      <c r="DT284" s="310"/>
      <c r="DU284" s="310"/>
      <c r="DV284" s="310"/>
      <c r="DW284" s="310"/>
      <c r="DX284" s="310"/>
      <c r="DY284" s="310"/>
      <c r="DZ284" s="310"/>
      <c r="EA284" s="310"/>
      <c r="EB284" s="310"/>
      <c r="EC284" s="310"/>
      <c r="ED284" s="310"/>
      <c r="EE284" s="310"/>
      <c r="EF284" s="310"/>
      <c r="EG284" s="310"/>
      <c r="EH284" s="310"/>
      <c r="EI284" s="310"/>
      <c r="EJ284" s="310"/>
      <c r="EK284" s="310"/>
      <c r="EL284" s="310"/>
      <c r="EM284" s="310"/>
      <c r="EN284" s="310"/>
      <c r="EO284" s="310"/>
      <c r="EP284" s="310"/>
      <c r="EQ284" s="310"/>
      <c r="ER284" s="310"/>
      <c r="ES284" s="310"/>
      <c r="ET284" s="310"/>
      <c r="EU284" s="310"/>
      <c r="EV284" s="310"/>
      <c r="EW284" s="310"/>
      <c r="EX284" s="310"/>
      <c r="EY284" s="310"/>
      <c r="EZ284" s="310"/>
      <c r="FA284" s="310"/>
      <c r="FB284" s="310"/>
      <c r="FC284" s="310"/>
      <c r="FD284" s="310"/>
      <c r="FE284" s="311"/>
      <c r="FF284" s="312"/>
    </row>
    <row r="285" spans="1:162" ht="12.75" x14ac:dyDescent="0.2">
      <c r="A285" s="446">
        <v>278</v>
      </c>
      <c r="B285" s="447" t="s">
        <v>439</v>
      </c>
      <c r="C285" s="448" t="s">
        <v>1093</v>
      </c>
      <c r="D285" s="449" t="s">
        <v>1094</v>
      </c>
      <c r="E285" s="450" t="s">
        <v>438</v>
      </c>
      <c r="F285" s="451">
        <v>48224798</v>
      </c>
      <c r="G285" s="451">
        <v>0</v>
      </c>
      <c r="H285" s="451">
        <v>0</v>
      </c>
      <c r="I285" s="451">
        <v>48224798</v>
      </c>
      <c r="J285" s="451">
        <v>402335</v>
      </c>
      <c r="K285" s="451">
        <v>0</v>
      </c>
      <c r="L285" s="451">
        <v>0</v>
      </c>
      <c r="M285" s="451">
        <v>402335</v>
      </c>
      <c r="N285" s="451">
        <v>-203277</v>
      </c>
      <c r="O285" s="451">
        <v>0</v>
      </c>
      <c r="P285" s="451">
        <v>0</v>
      </c>
      <c r="Q285" s="451">
        <v>-203277</v>
      </c>
      <c r="R285" s="451">
        <v>899555</v>
      </c>
      <c r="S285" s="451">
        <v>0</v>
      </c>
      <c r="T285" s="451">
        <v>0</v>
      </c>
      <c r="U285" s="451">
        <v>899555</v>
      </c>
      <c r="V285" s="451">
        <v>2735290</v>
      </c>
      <c r="W285" s="451">
        <v>0</v>
      </c>
      <c r="X285" s="451">
        <v>0</v>
      </c>
      <c r="Y285" s="451">
        <v>2735290</v>
      </c>
      <c r="Z285" s="451">
        <v>44390895</v>
      </c>
      <c r="AA285" s="451">
        <v>0</v>
      </c>
      <c r="AB285" s="451">
        <v>0</v>
      </c>
      <c r="AC285" s="451">
        <v>44390895</v>
      </c>
      <c r="AD285" s="451">
        <v>0</v>
      </c>
      <c r="AE285" s="451">
        <v>0</v>
      </c>
      <c r="AF285" s="451">
        <v>0</v>
      </c>
      <c r="AG285" s="451">
        <v>0</v>
      </c>
      <c r="AH285" s="451">
        <v>0</v>
      </c>
      <c r="AI285" s="451">
        <v>0</v>
      </c>
      <c r="AJ285" s="451">
        <v>0</v>
      </c>
      <c r="AK285" s="451">
        <v>0</v>
      </c>
      <c r="AL285" s="451">
        <v>0</v>
      </c>
      <c r="AM285" s="451">
        <v>0</v>
      </c>
      <c r="AN285" s="451">
        <v>0</v>
      </c>
      <c r="AO285" s="451">
        <v>3357963</v>
      </c>
      <c r="AP285" s="451">
        <v>1060083</v>
      </c>
      <c r="AQ285" s="324"/>
      <c r="AR285" s="310"/>
      <c r="AS285" s="310"/>
      <c r="AT285" s="310"/>
      <c r="AU285" s="310"/>
      <c r="AV285" s="310"/>
      <c r="AW285" s="310"/>
      <c r="AX285" s="310"/>
      <c r="AY285" s="310"/>
      <c r="AZ285" s="310"/>
      <c r="BA285" s="310"/>
      <c r="BB285" s="310"/>
      <c r="BC285" s="310"/>
      <c r="BD285" s="310"/>
      <c r="BE285" s="310"/>
      <c r="BF285" s="310"/>
      <c r="BG285" s="310"/>
      <c r="BH285" s="310"/>
      <c r="BI285" s="310"/>
      <c r="BJ285" s="310"/>
      <c r="BK285" s="310"/>
      <c r="BL285" s="310"/>
      <c r="BM285" s="310"/>
      <c r="BN285" s="310"/>
      <c r="BO285" s="310"/>
      <c r="BP285" s="310"/>
      <c r="BQ285" s="310"/>
      <c r="BR285" s="310"/>
      <c r="BS285" s="310"/>
      <c r="BT285" s="310"/>
      <c r="BU285" s="310"/>
      <c r="BV285" s="310"/>
      <c r="BW285" s="310"/>
      <c r="BX285" s="310"/>
      <c r="BY285" s="310"/>
      <c r="BZ285" s="310"/>
      <c r="CA285" s="310"/>
      <c r="CB285" s="310"/>
      <c r="CC285" s="310"/>
      <c r="CD285" s="310"/>
      <c r="CE285" s="310"/>
      <c r="CF285" s="310"/>
      <c r="CG285" s="310"/>
      <c r="CH285" s="310"/>
      <c r="CI285" s="310"/>
      <c r="CJ285" s="310"/>
      <c r="CK285" s="310"/>
      <c r="CL285" s="310"/>
      <c r="CM285" s="310"/>
      <c r="CN285" s="310"/>
      <c r="CO285" s="310"/>
      <c r="CP285" s="310"/>
      <c r="CQ285" s="310"/>
      <c r="CR285" s="310"/>
      <c r="CS285" s="310"/>
      <c r="CT285" s="310"/>
      <c r="CU285" s="310"/>
      <c r="CV285" s="310"/>
      <c r="CW285" s="310"/>
      <c r="CX285" s="310"/>
      <c r="CY285" s="310"/>
      <c r="CZ285" s="310"/>
      <c r="DA285" s="310"/>
      <c r="DB285" s="310"/>
      <c r="DC285" s="310"/>
      <c r="DD285" s="310"/>
      <c r="DE285" s="310"/>
      <c r="DF285" s="310"/>
      <c r="DG285" s="310"/>
      <c r="DH285" s="310"/>
      <c r="DI285" s="310"/>
      <c r="DJ285" s="310"/>
      <c r="DK285" s="310"/>
      <c r="DL285" s="310"/>
      <c r="DM285" s="310"/>
      <c r="DN285" s="310"/>
      <c r="DO285" s="310"/>
      <c r="DP285" s="310"/>
      <c r="DQ285" s="310"/>
      <c r="DR285" s="310"/>
      <c r="DS285" s="310"/>
      <c r="DT285" s="310"/>
      <c r="DU285" s="310"/>
      <c r="DV285" s="310"/>
      <c r="DW285" s="310"/>
      <c r="DX285" s="310"/>
      <c r="DY285" s="310"/>
      <c r="DZ285" s="310"/>
      <c r="EA285" s="310"/>
      <c r="EB285" s="310"/>
      <c r="EC285" s="310"/>
      <c r="ED285" s="310"/>
      <c r="EE285" s="310"/>
      <c r="EF285" s="310"/>
      <c r="EG285" s="310"/>
      <c r="EH285" s="310"/>
      <c r="EI285" s="310"/>
      <c r="EJ285" s="310"/>
      <c r="EK285" s="310"/>
      <c r="EL285" s="310"/>
      <c r="EM285" s="310"/>
      <c r="EN285" s="310"/>
      <c r="EO285" s="310"/>
      <c r="EP285" s="310"/>
      <c r="EQ285" s="310"/>
      <c r="ER285" s="310"/>
      <c r="ES285" s="310"/>
      <c r="ET285" s="310"/>
      <c r="EU285" s="310"/>
      <c r="EV285" s="310"/>
      <c r="EW285" s="310"/>
      <c r="EX285" s="310"/>
      <c r="EY285" s="310"/>
      <c r="EZ285" s="310"/>
      <c r="FA285" s="310"/>
      <c r="FB285" s="310"/>
      <c r="FC285" s="310"/>
      <c r="FD285" s="310"/>
      <c r="FE285" s="311"/>
      <c r="FF285" s="312"/>
    </row>
    <row r="286" spans="1:162" ht="12.75" x14ac:dyDescent="0.2">
      <c r="A286" s="446">
        <v>279</v>
      </c>
      <c r="B286" s="447" t="s">
        <v>441</v>
      </c>
      <c r="C286" s="448" t="s">
        <v>1093</v>
      </c>
      <c r="D286" s="449" t="s">
        <v>1102</v>
      </c>
      <c r="E286" s="450" t="s">
        <v>440</v>
      </c>
      <c r="F286" s="451">
        <v>35624088</v>
      </c>
      <c r="G286" s="451">
        <v>0</v>
      </c>
      <c r="H286" s="451">
        <v>0</v>
      </c>
      <c r="I286" s="451">
        <v>35624088</v>
      </c>
      <c r="J286" s="451">
        <v>115143.66</v>
      </c>
      <c r="K286" s="451">
        <v>0</v>
      </c>
      <c r="L286" s="451">
        <v>0</v>
      </c>
      <c r="M286" s="451">
        <v>115143.66</v>
      </c>
      <c r="N286" s="451">
        <v>26000</v>
      </c>
      <c r="O286" s="451">
        <v>0</v>
      </c>
      <c r="P286" s="451">
        <v>0</v>
      </c>
      <c r="Q286" s="451">
        <v>26000</v>
      </c>
      <c r="R286" s="451">
        <v>365870</v>
      </c>
      <c r="S286" s="451">
        <v>0</v>
      </c>
      <c r="T286" s="451">
        <v>0</v>
      </c>
      <c r="U286" s="451">
        <v>365870</v>
      </c>
      <c r="V286" s="451">
        <v>2566066</v>
      </c>
      <c r="W286" s="451">
        <v>0</v>
      </c>
      <c r="X286" s="451">
        <v>0</v>
      </c>
      <c r="Y286" s="451">
        <v>2566066</v>
      </c>
      <c r="Z286" s="451">
        <v>32551008</v>
      </c>
      <c r="AA286" s="451">
        <v>0</v>
      </c>
      <c r="AB286" s="451">
        <v>0</v>
      </c>
      <c r="AC286" s="451">
        <v>32551008</v>
      </c>
      <c r="AD286" s="451">
        <v>0</v>
      </c>
      <c r="AE286" s="451">
        <v>0</v>
      </c>
      <c r="AF286" s="451">
        <v>0</v>
      </c>
      <c r="AG286" s="451">
        <v>0</v>
      </c>
      <c r="AH286" s="451">
        <v>0</v>
      </c>
      <c r="AI286" s="451">
        <v>0</v>
      </c>
      <c r="AJ286" s="451">
        <v>0</v>
      </c>
      <c r="AK286" s="451">
        <v>0</v>
      </c>
      <c r="AL286" s="451">
        <v>0</v>
      </c>
      <c r="AM286" s="451">
        <v>0</v>
      </c>
      <c r="AN286" s="451">
        <v>0</v>
      </c>
      <c r="AO286" s="451">
        <v>886919.85</v>
      </c>
      <c r="AP286" s="451">
        <v>-355756.63</v>
      </c>
      <c r="AQ286" s="324"/>
      <c r="AR286" s="310"/>
      <c r="AS286" s="310"/>
      <c r="AT286" s="310"/>
      <c r="AU286" s="310"/>
      <c r="AV286" s="310"/>
      <c r="AW286" s="310"/>
      <c r="AX286" s="310"/>
      <c r="AY286" s="310"/>
      <c r="AZ286" s="310"/>
      <c r="BA286" s="310"/>
      <c r="BB286" s="310"/>
      <c r="BC286" s="310"/>
      <c r="BD286" s="310"/>
      <c r="BE286" s="310"/>
      <c r="BF286" s="310"/>
      <c r="BG286" s="310"/>
      <c r="BH286" s="310"/>
      <c r="BI286" s="310"/>
      <c r="BJ286" s="310"/>
      <c r="BK286" s="310"/>
      <c r="BL286" s="310"/>
      <c r="BM286" s="310"/>
      <c r="BN286" s="310"/>
      <c r="BO286" s="310"/>
      <c r="BP286" s="310"/>
      <c r="BQ286" s="310"/>
      <c r="BR286" s="310"/>
      <c r="BS286" s="310"/>
      <c r="BT286" s="310"/>
      <c r="BU286" s="310"/>
      <c r="BV286" s="310"/>
      <c r="BW286" s="310"/>
      <c r="BX286" s="310"/>
      <c r="BY286" s="310"/>
      <c r="BZ286" s="310"/>
      <c r="CA286" s="310"/>
      <c r="CB286" s="310"/>
      <c r="CC286" s="310"/>
      <c r="CD286" s="310"/>
      <c r="CE286" s="310"/>
      <c r="CF286" s="310"/>
      <c r="CG286" s="310"/>
      <c r="CH286" s="310"/>
      <c r="CI286" s="310"/>
      <c r="CJ286" s="310"/>
      <c r="CK286" s="310"/>
      <c r="CL286" s="310"/>
      <c r="CM286" s="310"/>
      <c r="CN286" s="310"/>
      <c r="CO286" s="310"/>
      <c r="CP286" s="310"/>
      <c r="CQ286" s="310"/>
      <c r="CR286" s="310"/>
      <c r="CS286" s="310"/>
      <c r="CT286" s="310"/>
      <c r="CU286" s="310"/>
      <c r="CV286" s="310"/>
      <c r="CW286" s="310"/>
      <c r="CX286" s="310"/>
      <c r="CY286" s="310"/>
      <c r="CZ286" s="310"/>
      <c r="DA286" s="310"/>
      <c r="DB286" s="310"/>
      <c r="DC286" s="310"/>
      <c r="DD286" s="310"/>
      <c r="DE286" s="310"/>
      <c r="DF286" s="310"/>
      <c r="DG286" s="310"/>
      <c r="DH286" s="310"/>
      <c r="DI286" s="310"/>
      <c r="DJ286" s="310"/>
      <c r="DK286" s="310"/>
      <c r="DL286" s="310"/>
      <c r="DM286" s="310"/>
      <c r="DN286" s="310"/>
      <c r="DO286" s="310"/>
      <c r="DP286" s="310"/>
      <c r="DQ286" s="310"/>
      <c r="DR286" s="310"/>
      <c r="DS286" s="310"/>
      <c r="DT286" s="310"/>
      <c r="DU286" s="310"/>
      <c r="DV286" s="310"/>
      <c r="DW286" s="310"/>
      <c r="DX286" s="310"/>
      <c r="DY286" s="310"/>
      <c r="DZ286" s="310"/>
      <c r="EA286" s="310"/>
      <c r="EB286" s="310"/>
      <c r="EC286" s="310"/>
      <c r="ED286" s="310"/>
      <c r="EE286" s="310"/>
      <c r="EF286" s="310"/>
      <c r="EG286" s="310"/>
      <c r="EH286" s="310"/>
      <c r="EI286" s="310"/>
      <c r="EJ286" s="310"/>
      <c r="EK286" s="310"/>
      <c r="EL286" s="310"/>
      <c r="EM286" s="310"/>
      <c r="EN286" s="310"/>
      <c r="EO286" s="310"/>
      <c r="EP286" s="310"/>
      <c r="EQ286" s="310"/>
      <c r="ER286" s="310"/>
      <c r="ES286" s="310"/>
      <c r="ET286" s="310"/>
      <c r="EU286" s="310"/>
      <c r="EV286" s="310"/>
      <c r="EW286" s="310"/>
      <c r="EX286" s="310"/>
      <c r="EY286" s="310"/>
      <c r="EZ286" s="310"/>
      <c r="FA286" s="310"/>
      <c r="FB286" s="310"/>
      <c r="FC286" s="310"/>
      <c r="FD286" s="310"/>
      <c r="FE286" s="311"/>
      <c r="FF286" s="312"/>
    </row>
    <row r="287" spans="1:162" ht="12.75" x14ac:dyDescent="0.2">
      <c r="A287" s="446">
        <v>280</v>
      </c>
      <c r="B287" s="447" t="s">
        <v>443</v>
      </c>
      <c r="C287" s="448" t="s">
        <v>1093</v>
      </c>
      <c r="D287" s="449" t="s">
        <v>1094</v>
      </c>
      <c r="E287" s="450" t="s">
        <v>442</v>
      </c>
      <c r="F287" s="451">
        <v>31061347</v>
      </c>
      <c r="G287" s="451">
        <v>0</v>
      </c>
      <c r="H287" s="451">
        <v>0</v>
      </c>
      <c r="I287" s="451">
        <v>31061347</v>
      </c>
      <c r="J287" s="451">
        <v>571362</v>
      </c>
      <c r="K287" s="451">
        <v>0</v>
      </c>
      <c r="L287" s="451">
        <v>0</v>
      </c>
      <c r="M287" s="451">
        <v>571362</v>
      </c>
      <c r="N287" s="451">
        <v>-57457</v>
      </c>
      <c r="O287" s="451">
        <v>0</v>
      </c>
      <c r="P287" s="451">
        <v>0</v>
      </c>
      <c r="Q287" s="451">
        <v>-57457</v>
      </c>
      <c r="R287" s="451">
        <v>373864</v>
      </c>
      <c r="S287" s="451">
        <v>0</v>
      </c>
      <c r="T287" s="451">
        <v>0</v>
      </c>
      <c r="U287" s="451">
        <v>373864</v>
      </c>
      <c r="V287" s="451">
        <v>134418</v>
      </c>
      <c r="W287" s="451">
        <v>0</v>
      </c>
      <c r="X287" s="451">
        <v>0</v>
      </c>
      <c r="Y287" s="451">
        <v>134418</v>
      </c>
      <c r="Z287" s="451">
        <v>30039160</v>
      </c>
      <c r="AA287" s="451">
        <v>0</v>
      </c>
      <c r="AB287" s="451">
        <v>0</v>
      </c>
      <c r="AC287" s="451">
        <v>30039160</v>
      </c>
      <c r="AD287" s="451">
        <v>0</v>
      </c>
      <c r="AE287" s="451">
        <v>0</v>
      </c>
      <c r="AF287" s="451">
        <v>0</v>
      </c>
      <c r="AG287" s="451">
        <v>0</v>
      </c>
      <c r="AH287" s="451">
        <v>0</v>
      </c>
      <c r="AI287" s="451">
        <v>0</v>
      </c>
      <c r="AJ287" s="451">
        <v>0</v>
      </c>
      <c r="AK287" s="451">
        <v>0</v>
      </c>
      <c r="AL287" s="451">
        <v>0</v>
      </c>
      <c r="AM287" s="451">
        <v>0</v>
      </c>
      <c r="AN287" s="451">
        <v>0</v>
      </c>
      <c r="AO287" s="451">
        <v>2073649</v>
      </c>
      <c r="AP287" s="451">
        <v>1369065</v>
      </c>
      <c r="AQ287" s="324"/>
      <c r="AR287" s="310"/>
      <c r="AS287" s="310"/>
      <c r="AT287" s="310"/>
      <c r="AU287" s="310"/>
      <c r="AV287" s="310"/>
      <c r="AW287" s="310"/>
      <c r="AX287" s="310"/>
      <c r="AY287" s="310"/>
      <c r="AZ287" s="310"/>
      <c r="BA287" s="310"/>
      <c r="BB287" s="310"/>
      <c r="BC287" s="310"/>
      <c r="BD287" s="310"/>
      <c r="BE287" s="310"/>
      <c r="BF287" s="310"/>
      <c r="BG287" s="310"/>
      <c r="BH287" s="310"/>
      <c r="BI287" s="310"/>
      <c r="BJ287" s="310"/>
      <c r="BK287" s="310"/>
      <c r="BL287" s="310"/>
      <c r="BM287" s="310"/>
      <c r="BN287" s="310"/>
      <c r="BO287" s="310"/>
      <c r="BP287" s="310"/>
      <c r="BQ287" s="310"/>
      <c r="BR287" s="310"/>
      <c r="BS287" s="310"/>
      <c r="BT287" s="310"/>
      <c r="BU287" s="310"/>
      <c r="BV287" s="310"/>
      <c r="BW287" s="310"/>
      <c r="BX287" s="310"/>
      <c r="BY287" s="310"/>
      <c r="BZ287" s="310"/>
      <c r="CA287" s="310"/>
      <c r="CB287" s="310"/>
      <c r="CC287" s="310"/>
      <c r="CD287" s="310"/>
      <c r="CE287" s="310"/>
      <c r="CF287" s="310"/>
      <c r="CG287" s="310"/>
      <c r="CH287" s="310"/>
      <c r="CI287" s="310"/>
      <c r="CJ287" s="310"/>
      <c r="CK287" s="310"/>
      <c r="CL287" s="310"/>
      <c r="CM287" s="310"/>
      <c r="CN287" s="310"/>
      <c r="CO287" s="310"/>
      <c r="CP287" s="310"/>
      <c r="CQ287" s="310"/>
      <c r="CR287" s="310"/>
      <c r="CS287" s="310"/>
      <c r="CT287" s="310"/>
      <c r="CU287" s="310"/>
      <c r="CV287" s="310"/>
      <c r="CW287" s="310"/>
      <c r="CX287" s="310"/>
      <c r="CY287" s="310"/>
      <c r="CZ287" s="310"/>
      <c r="DA287" s="310"/>
      <c r="DB287" s="310"/>
      <c r="DC287" s="310"/>
      <c r="DD287" s="310"/>
      <c r="DE287" s="310"/>
      <c r="DF287" s="310"/>
      <c r="DG287" s="310"/>
      <c r="DH287" s="310"/>
      <c r="DI287" s="310"/>
      <c r="DJ287" s="310"/>
      <c r="DK287" s="310"/>
      <c r="DL287" s="310"/>
      <c r="DM287" s="310"/>
      <c r="DN287" s="310"/>
      <c r="DO287" s="310"/>
      <c r="DP287" s="310"/>
      <c r="DQ287" s="310"/>
      <c r="DR287" s="310"/>
      <c r="DS287" s="310"/>
      <c r="DT287" s="310"/>
      <c r="DU287" s="310"/>
      <c r="DV287" s="310"/>
      <c r="DW287" s="310"/>
      <c r="DX287" s="310"/>
      <c r="DY287" s="310"/>
      <c r="DZ287" s="310"/>
      <c r="EA287" s="310"/>
      <c r="EB287" s="310"/>
      <c r="EC287" s="310"/>
      <c r="ED287" s="310"/>
      <c r="EE287" s="310"/>
      <c r="EF287" s="310"/>
      <c r="EG287" s="310"/>
      <c r="EH287" s="310"/>
      <c r="EI287" s="310"/>
      <c r="EJ287" s="310"/>
      <c r="EK287" s="310"/>
      <c r="EL287" s="310"/>
      <c r="EM287" s="310"/>
      <c r="EN287" s="310"/>
      <c r="EO287" s="310"/>
      <c r="EP287" s="310"/>
      <c r="EQ287" s="310"/>
      <c r="ER287" s="310"/>
      <c r="ES287" s="310"/>
      <c r="ET287" s="310"/>
      <c r="EU287" s="310"/>
      <c r="EV287" s="310"/>
      <c r="EW287" s="310"/>
      <c r="EX287" s="310"/>
      <c r="EY287" s="310"/>
      <c r="EZ287" s="310"/>
      <c r="FA287" s="310"/>
      <c r="FB287" s="310"/>
      <c r="FC287" s="310"/>
      <c r="FD287" s="310"/>
      <c r="FE287" s="311"/>
      <c r="FF287" s="312"/>
    </row>
    <row r="288" spans="1:162" ht="12.75" x14ac:dyDescent="0.2">
      <c r="A288" s="446">
        <v>281</v>
      </c>
      <c r="B288" s="447" t="s">
        <v>445</v>
      </c>
      <c r="C288" s="448" t="s">
        <v>1093</v>
      </c>
      <c r="D288" s="449" t="s">
        <v>1097</v>
      </c>
      <c r="E288" s="450" t="s">
        <v>444</v>
      </c>
      <c r="F288" s="451">
        <v>26869271</v>
      </c>
      <c r="G288" s="451">
        <v>0</v>
      </c>
      <c r="H288" s="451">
        <v>0</v>
      </c>
      <c r="I288" s="451">
        <v>26869271</v>
      </c>
      <c r="J288" s="451">
        <v>249961</v>
      </c>
      <c r="K288" s="451">
        <v>0</v>
      </c>
      <c r="L288" s="451">
        <v>0</v>
      </c>
      <c r="M288" s="451">
        <v>249961</v>
      </c>
      <c r="N288" s="451">
        <v>61000</v>
      </c>
      <c r="O288" s="451">
        <v>0</v>
      </c>
      <c r="P288" s="451">
        <v>0</v>
      </c>
      <c r="Q288" s="451">
        <v>61000</v>
      </c>
      <c r="R288" s="451">
        <v>355641</v>
      </c>
      <c r="S288" s="451">
        <v>0</v>
      </c>
      <c r="T288" s="451">
        <v>0</v>
      </c>
      <c r="U288" s="451">
        <v>355641</v>
      </c>
      <c r="V288" s="451">
        <v>931866</v>
      </c>
      <c r="W288" s="451">
        <v>0</v>
      </c>
      <c r="X288" s="451">
        <v>0</v>
      </c>
      <c r="Y288" s="451">
        <v>931866</v>
      </c>
      <c r="Z288" s="451">
        <v>25270803</v>
      </c>
      <c r="AA288" s="451">
        <v>0</v>
      </c>
      <c r="AB288" s="451">
        <v>0</v>
      </c>
      <c r="AC288" s="451">
        <v>25270803</v>
      </c>
      <c r="AD288" s="451">
        <v>0</v>
      </c>
      <c r="AE288" s="451">
        <v>0</v>
      </c>
      <c r="AF288" s="451">
        <v>0</v>
      </c>
      <c r="AG288" s="451">
        <v>0</v>
      </c>
      <c r="AH288" s="451">
        <v>0</v>
      </c>
      <c r="AI288" s="451">
        <v>0</v>
      </c>
      <c r="AJ288" s="451">
        <v>0</v>
      </c>
      <c r="AK288" s="451">
        <v>0</v>
      </c>
      <c r="AL288" s="451">
        <v>0</v>
      </c>
      <c r="AM288" s="451">
        <v>0</v>
      </c>
      <c r="AN288" s="451">
        <v>0</v>
      </c>
      <c r="AO288" s="451">
        <v>1842462</v>
      </c>
      <c r="AP288" s="451">
        <v>-1327583</v>
      </c>
      <c r="AQ288" s="324"/>
      <c r="AR288" s="310"/>
      <c r="AS288" s="310"/>
      <c r="AT288" s="310"/>
      <c r="AU288" s="310"/>
      <c r="AV288" s="310"/>
      <c r="AW288" s="310"/>
      <c r="AX288" s="310"/>
      <c r="AY288" s="310"/>
      <c r="AZ288" s="310"/>
      <c r="BA288" s="310"/>
      <c r="BB288" s="310"/>
      <c r="BC288" s="310"/>
      <c r="BD288" s="310"/>
      <c r="BE288" s="310"/>
      <c r="BF288" s="310"/>
      <c r="BG288" s="310"/>
      <c r="BH288" s="310"/>
      <c r="BI288" s="310"/>
      <c r="BJ288" s="310"/>
      <c r="BK288" s="310"/>
      <c r="BL288" s="310"/>
      <c r="BM288" s="310"/>
      <c r="BN288" s="310"/>
      <c r="BO288" s="310"/>
      <c r="BP288" s="310"/>
      <c r="BQ288" s="310"/>
      <c r="BR288" s="310"/>
      <c r="BS288" s="310"/>
      <c r="BT288" s="310"/>
      <c r="BU288" s="310"/>
      <c r="BV288" s="310"/>
      <c r="BW288" s="310"/>
      <c r="BX288" s="310"/>
      <c r="BY288" s="310"/>
      <c r="BZ288" s="310"/>
      <c r="CA288" s="310"/>
      <c r="CB288" s="310"/>
      <c r="CC288" s="310"/>
      <c r="CD288" s="310"/>
      <c r="CE288" s="310"/>
      <c r="CF288" s="310"/>
      <c r="CG288" s="310"/>
      <c r="CH288" s="310"/>
      <c r="CI288" s="310"/>
      <c r="CJ288" s="310"/>
      <c r="CK288" s="310"/>
      <c r="CL288" s="310"/>
      <c r="CM288" s="310"/>
      <c r="CN288" s="310"/>
      <c r="CO288" s="310"/>
      <c r="CP288" s="310"/>
      <c r="CQ288" s="310"/>
      <c r="CR288" s="310"/>
      <c r="CS288" s="310"/>
      <c r="CT288" s="310"/>
      <c r="CU288" s="310"/>
      <c r="CV288" s="310"/>
      <c r="CW288" s="310"/>
      <c r="CX288" s="310"/>
      <c r="CY288" s="310"/>
      <c r="CZ288" s="310"/>
      <c r="DA288" s="310"/>
      <c r="DB288" s="310"/>
      <c r="DC288" s="310"/>
      <c r="DD288" s="310"/>
      <c r="DE288" s="310"/>
      <c r="DF288" s="310"/>
      <c r="DG288" s="310"/>
      <c r="DH288" s="310"/>
      <c r="DI288" s="310"/>
      <c r="DJ288" s="310"/>
      <c r="DK288" s="310"/>
      <c r="DL288" s="310"/>
      <c r="DM288" s="310"/>
      <c r="DN288" s="310"/>
      <c r="DO288" s="310"/>
      <c r="DP288" s="310"/>
      <c r="DQ288" s="310"/>
      <c r="DR288" s="310"/>
      <c r="DS288" s="310"/>
      <c r="DT288" s="310"/>
      <c r="DU288" s="310"/>
      <c r="DV288" s="310"/>
      <c r="DW288" s="310"/>
      <c r="DX288" s="310"/>
      <c r="DY288" s="310"/>
      <c r="DZ288" s="310"/>
      <c r="EA288" s="310"/>
      <c r="EB288" s="310"/>
      <c r="EC288" s="310"/>
      <c r="ED288" s="310"/>
      <c r="EE288" s="310"/>
      <c r="EF288" s="310"/>
      <c r="EG288" s="310"/>
      <c r="EH288" s="310"/>
      <c r="EI288" s="310"/>
      <c r="EJ288" s="310"/>
      <c r="EK288" s="310"/>
      <c r="EL288" s="310"/>
      <c r="EM288" s="310"/>
      <c r="EN288" s="310"/>
      <c r="EO288" s="310"/>
      <c r="EP288" s="310"/>
      <c r="EQ288" s="310"/>
      <c r="ER288" s="310"/>
      <c r="ES288" s="310"/>
      <c r="ET288" s="310"/>
      <c r="EU288" s="310"/>
      <c r="EV288" s="310"/>
      <c r="EW288" s="310"/>
      <c r="EX288" s="310"/>
      <c r="EY288" s="310"/>
      <c r="EZ288" s="310"/>
      <c r="FA288" s="310"/>
      <c r="FB288" s="310"/>
      <c r="FC288" s="310"/>
      <c r="FD288" s="310"/>
      <c r="FE288" s="311"/>
      <c r="FF288" s="312"/>
    </row>
    <row r="289" spans="1:162" ht="12.75" x14ac:dyDescent="0.2">
      <c r="A289" s="446">
        <v>282</v>
      </c>
      <c r="B289" s="447" t="s">
        <v>447</v>
      </c>
      <c r="C289" s="448" t="s">
        <v>794</v>
      </c>
      <c r="D289" s="449" t="s">
        <v>1097</v>
      </c>
      <c r="E289" s="450" t="s">
        <v>751</v>
      </c>
      <c r="F289" s="451">
        <v>105098628</v>
      </c>
      <c r="G289" s="451">
        <v>0</v>
      </c>
      <c r="H289" s="451">
        <v>0</v>
      </c>
      <c r="I289" s="451">
        <v>105098628</v>
      </c>
      <c r="J289" s="451">
        <v>-5465345.5099999998</v>
      </c>
      <c r="K289" s="451">
        <v>0</v>
      </c>
      <c r="L289" s="451">
        <v>0</v>
      </c>
      <c r="M289" s="451">
        <v>-5465345.5099999998</v>
      </c>
      <c r="N289" s="451">
        <v>262847</v>
      </c>
      <c r="O289" s="451">
        <v>0</v>
      </c>
      <c r="P289" s="451">
        <v>0</v>
      </c>
      <c r="Q289" s="451">
        <v>262847</v>
      </c>
      <c r="R289" s="451">
        <v>3821097</v>
      </c>
      <c r="S289" s="451">
        <v>0</v>
      </c>
      <c r="T289" s="451">
        <v>0</v>
      </c>
      <c r="U289" s="451">
        <v>3821097</v>
      </c>
      <c r="V289" s="451">
        <v>9175978</v>
      </c>
      <c r="W289" s="451">
        <v>0</v>
      </c>
      <c r="X289" s="451">
        <v>0</v>
      </c>
      <c r="Y289" s="451">
        <v>9175978</v>
      </c>
      <c r="Z289" s="451">
        <v>97304052</v>
      </c>
      <c r="AA289" s="451">
        <v>0</v>
      </c>
      <c r="AB289" s="451">
        <v>0</v>
      </c>
      <c r="AC289" s="451">
        <v>97304052</v>
      </c>
      <c r="AD289" s="451">
        <v>0</v>
      </c>
      <c r="AE289" s="451">
        <v>0</v>
      </c>
      <c r="AF289" s="451">
        <v>0</v>
      </c>
      <c r="AG289" s="451">
        <v>0</v>
      </c>
      <c r="AH289" s="451">
        <v>0</v>
      </c>
      <c r="AI289" s="451">
        <v>0</v>
      </c>
      <c r="AJ289" s="451">
        <v>0</v>
      </c>
      <c r="AK289" s="451">
        <v>0</v>
      </c>
      <c r="AL289" s="451">
        <v>0</v>
      </c>
      <c r="AM289" s="451">
        <v>0</v>
      </c>
      <c r="AN289" s="451">
        <v>0</v>
      </c>
      <c r="AO289" s="451">
        <v>2368265</v>
      </c>
      <c r="AP289" s="451">
        <v>128865</v>
      </c>
      <c r="AQ289" s="324" t="s">
        <v>1120</v>
      </c>
      <c r="AR289" s="310"/>
      <c r="AS289" s="310"/>
      <c r="AT289" s="310"/>
      <c r="AU289" s="310"/>
      <c r="AV289" s="310"/>
      <c r="AW289" s="310"/>
      <c r="AX289" s="310"/>
      <c r="AY289" s="310"/>
      <c r="AZ289" s="310"/>
      <c r="BA289" s="310"/>
      <c r="BB289" s="310"/>
      <c r="BC289" s="310"/>
      <c r="BD289" s="310"/>
      <c r="BE289" s="310"/>
      <c r="BF289" s="310"/>
      <c r="BG289" s="310"/>
      <c r="BH289" s="310"/>
      <c r="BI289" s="310"/>
      <c r="BJ289" s="310"/>
      <c r="BK289" s="310"/>
      <c r="BL289" s="310"/>
      <c r="BM289" s="310"/>
      <c r="BN289" s="310"/>
      <c r="BO289" s="310"/>
      <c r="BP289" s="310"/>
      <c r="BQ289" s="310"/>
      <c r="BR289" s="310"/>
      <c r="BS289" s="310"/>
      <c r="BT289" s="310"/>
      <c r="BU289" s="310"/>
      <c r="BV289" s="310"/>
      <c r="BW289" s="310"/>
      <c r="BX289" s="310"/>
      <c r="BY289" s="310"/>
      <c r="BZ289" s="310"/>
      <c r="CA289" s="310"/>
      <c r="CB289" s="310"/>
      <c r="CC289" s="310"/>
      <c r="CD289" s="310"/>
      <c r="CE289" s="310"/>
      <c r="CF289" s="310"/>
      <c r="CG289" s="310"/>
      <c r="CH289" s="310"/>
      <c r="CI289" s="310"/>
      <c r="CJ289" s="310"/>
      <c r="CK289" s="310"/>
      <c r="CL289" s="310"/>
      <c r="CM289" s="310"/>
      <c r="CN289" s="310"/>
      <c r="CO289" s="310"/>
      <c r="CP289" s="310"/>
      <c r="CQ289" s="310"/>
      <c r="CR289" s="310"/>
      <c r="CS289" s="310"/>
      <c r="CT289" s="310"/>
      <c r="CU289" s="310"/>
      <c r="CV289" s="310"/>
      <c r="CW289" s="310"/>
      <c r="CX289" s="310"/>
      <c r="CY289" s="310"/>
      <c r="CZ289" s="310"/>
      <c r="DA289" s="310"/>
      <c r="DB289" s="310"/>
      <c r="DC289" s="310"/>
      <c r="DD289" s="310"/>
      <c r="DE289" s="310"/>
      <c r="DF289" s="310"/>
      <c r="DG289" s="310"/>
      <c r="DH289" s="310"/>
      <c r="DI289" s="310"/>
      <c r="DJ289" s="310"/>
      <c r="DK289" s="310"/>
      <c r="DL289" s="310"/>
      <c r="DM289" s="310"/>
      <c r="DN289" s="310"/>
      <c r="DO289" s="310"/>
      <c r="DP289" s="310"/>
      <c r="DQ289" s="310"/>
      <c r="DR289" s="310"/>
      <c r="DS289" s="310"/>
      <c r="DT289" s="310"/>
      <c r="DU289" s="310"/>
      <c r="DV289" s="310"/>
      <c r="DW289" s="310"/>
      <c r="DX289" s="310"/>
      <c r="DY289" s="310"/>
      <c r="DZ289" s="310"/>
      <c r="EA289" s="310"/>
      <c r="EB289" s="310"/>
      <c r="EC289" s="310"/>
      <c r="ED289" s="310"/>
      <c r="EE289" s="310"/>
      <c r="EF289" s="310"/>
      <c r="EG289" s="310"/>
      <c r="EH289" s="310"/>
      <c r="EI289" s="310"/>
      <c r="EJ289" s="310"/>
      <c r="EK289" s="310"/>
      <c r="EL289" s="310"/>
      <c r="EM289" s="310"/>
      <c r="EN289" s="310"/>
      <c r="EO289" s="310"/>
      <c r="EP289" s="310"/>
      <c r="EQ289" s="310"/>
      <c r="ER289" s="310"/>
      <c r="ES289" s="310"/>
      <c r="ET289" s="310"/>
      <c r="EU289" s="310"/>
      <c r="EV289" s="310"/>
      <c r="EW289" s="310"/>
      <c r="EX289" s="310"/>
      <c r="EY289" s="310"/>
      <c r="EZ289" s="310"/>
      <c r="FA289" s="310"/>
      <c r="FB289" s="310"/>
      <c r="FC289" s="310"/>
      <c r="FD289" s="310"/>
      <c r="FE289" s="311"/>
      <c r="FF289" s="312"/>
    </row>
    <row r="290" spans="1:162" ht="12.75" x14ac:dyDescent="0.2">
      <c r="A290" s="446">
        <v>283</v>
      </c>
      <c r="B290" s="447" t="s">
        <v>449</v>
      </c>
      <c r="C290" s="448" t="s">
        <v>1093</v>
      </c>
      <c r="D290" s="449" t="s">
        <v>1094</v>
      </c>
      <c r="E290" s="450" t="s">
        <v>752</v>
      </c>
      <c r="F290" s="451">
        <v>52294876</v>
      </c>
      <c r="G290" s="451">
        <v>0</v>
      </c>
      <c r="H290" s="451">
        <v>0</v>
      </c>
      <c r="I290" s="451">
        <v>52294876</v>
      </c>
      <c r="J290" s="451">
        <v>369174</v>
      </c>
      <c r="K290" s="451">
        <v>0</v>
      </c>
      <c r="L290" s="451">
        <v>0</v>
      </c>
      <c r="M290" s="451">
        <v>369174</v>
      </c>
      <c r="N290" s="451">
        <v>80000</v>
      </c>
      <c r="O290" s="451">
        <v>0</v>
      </c>
      <c r="P290" s="451">
        <v>0</v>
      </c>
      <c r="Q290" s="451">
        <v>80000</v>
      </c>
      <c r="R290" s="451">
        <v>535000</v>
      </c>
      <c r="S290" s="451">
        <v>0</v>
      </c>
      <c r="T290" s="451">
        <v>0</v>
      </c>
      <c r="U290" s="451">
        <v>535000</v>
      </c>
      <c r="V290" s="451">
        <v>1605000</v>
      </c>
      <c r="W290" s="451">
        <v>0</v>
      </c>
      <c r="X290" s="451">
        <v>0</v>
      </c>
      <c r="Y290" s="451">
        <v>1605000</v>
      </c>
      <c r="Z290" s="451">
        <v>49705702</v>
      </c>
      <c r="AA290" s="451">
        <v>0</v>
      </c>
      <c r="AB290" s="451">
        <v>0</v>
      </c>
      <c r="AC290" s="451">
        <v>49705702</v>
      </c>
      <c r="AD290" s="451">
        <v>0</v>
      </c>
      <c r="AE290" s="451">
        <v>0</v>
      </c>
      <c r="AF290" s="451">
        <v>0</v>
      </c>
      <c r="AG290" s="451">
        <v>0</v>
      </c>
      <c r="AH290" s="451">
        <v>0</v>
      </c>
      <c r="AI290" s="451">
        <v>0</v>
      </c>
      <c r="AJ290" s="451">
        <v>0</v>
      </c>
      <c r="AK290" s="451">
        <v>0</v>
      </c>
      <c r="AL290" s="451">
        <v>0</v>
      </c>
      <c r="AM290" s="451">
        <v>0</v>
      </c>
      <c r="AN290" s="451">
        <v>0</v>
      </c>
      <c r="AO290" s="451">
        <v>1722236</v>
      </c>
      <c r="AP290" s="451">
        <v>1959057</v>
      </c>
      <c r="AQ290" s="324"/>
      <c r="AR290" s="310"/>
      <c r="AS290" s="310"/>
      <c r="AT290" s="310"/>
      <c r="AU290" s="310"/>
      <c r="AV290" s="310"/>
      <c r="AW290" s="310"/>
      <c r="AX290" s="310"/>
      <c r="AY290" s="310"/>
      <c r="AZ290" s="310"/>
      <c r="BA290" s="310"/>
      <c r="BB290" s="310"/>
      <c r="BC290" s="310"/>
      <c r="BD290" s="310"/>
      <c r="BE290" s="310"/>
      <c r="BF290" s="310"/>
      <c r="BG290" s="310"/>
      <c r="BH290" s="310"/>
      <c r="BI290" s="310"/>
      <c r="BJ290" s="310"/>
      <c r="BK290" s="310"/>
      <c r="BL290" s="310"/>
      <c r="BM290" s="310"/>
      <c r="BN290" s="310"/>
      <c r="BO290" s="310"/>
      <c r="BP290" s="310"/>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c r="EA290" s="310"/>
      <c r="EB290" s="310"/>
      <c r="EC290" s="310"/>
      <c r="ED290" s="310"/>
      <c r="EE290" s="310"/>
      <c r="EF290" s="310"/>
      <c r="EG290" s="310"/>
      <c r="EH290" s="310"/>
      <c r="EI290" s="310"/>
      <c r="EJ290" s="310"/>
      <c r="EK290" s="310"/>
      <c r="EL290" s="310"/>
      <c r="EM290" s="310"/>
      <c r="EN290" s="310"/>
      <c r="EO290" s="310"/>
      <c r="EP290" s="310"/>
      <c r="EQ290" s="310"/>
      <c r="ER290" s="310"/>
      <c r="ES290" s="310"/>
      <c r="ET290" s="310"/>
      <c r="EU290" s="310"/>
      <c r="EV290" s="310"/>
      <c r="EW290" s="310"/>
      <c r="EX290" s="310"/>
      <c r="EY290" s="310"/>
      <c r="EZ290" s="310"/>
      <c r="FA290" s="310"/>
      <c r="FB290" s="310"/>
      <c r="FC290" s="310"/>
      <c r="FD290" s="310"/>
      <c r="FE290" s="311"/>
      <c r="FF290" s="312"/>
    </row>
    <row r="291" spans="1:162" ht="12.75" x14ac:dyDescent="0.2">
      <c r="A291" s="446">
        <v>284</v>
      </c>
      <c r="B291" s="447" t="s">
        <v>451</v>
      </c>
      <c r="C291" s="448" t="s">
        <v>794</v>
      </c>
      <c r="D291" s="449" t="s">
        <v>1102</v>
      </c>
      <c r="E291" s="450" t="s">
        <v>753</v>
      </c>
      <c r="F291" s="451">
        <v>35963299</v>
      </c>
      <c r="G291" s="451">
        <v>0</v>
      </c>
      <c r="H291" s="451">
        <v>0</v>
      </c>
      <c r="I291" s="451">
        <v>35963299</v>
      </c>
      <c r="J291" s="451">
        <v>340563</v>
      </c>
      <c r="K291" s="451">
        <v>0</v>
      </c>
      <c r="L291" s="451">
        <v>0</v>
      </c>
      <c r="M291" s="451">
        <v>340563</v>
      </c>
      <c r="N291" s="451">
        <v>246085</v>
      </c>
      <c r="O291" s="451">
        <v>0</v>
      </c>
      <c r="P291" s="451">
        <v>0</v>
      </c>
      <c r="Q291" s="451">
        <v>246085</v>
      </c>
      <c r="R291" s="451">
        <v>720755</v>
      </c>
      <c r="S291" s="451">
        <v>0</v>
      </c>
      <c r="T291" s="451">
        <v>0</v>
      </c>
      <c r="U291" s="451">
        <v>720755</v>
      </c>
      <c r="V291" s="451">
        <v>1806403</v>
      </c>
      <c r="W291" s="451">
        <v>0</v>
      </c>
      <c r="X291" s="451">
        <v>0</v>
      </c>
      <c r="Y291" s="451">
        <v>1806403</v>
      </c>
      <c r="Z291" s="451">
        <v>32849493</v>
      </c>
      <c r="AA291" s="451">
        <v>0</v>
      </c>
      <c r="AB291" s="451">
        <v>0</v>
      </c>
      <c r="AC291" s="451">
        <v>32849493</v>
      </c>
      <c r="AD291" s="451">
        <v>0</v>
      </c>
      <c r="AE291" s="451">
        <v>0</v>
      </c>
      <c r="AF291" s="451">
        <v>0</v>
      </c>
      <c r="AG291" s="451">
        <v>0</v>
      </c>
      <c r="AH291" s="451">
        <v>0</v>
      </c>
      <c r="AI291" s="451">
        <v>0</v>
      </c>
      <c r="AJ291" s="451">
        <v>0</v>
      </c>
      <c r="AK291" s="451">
        <v>0</v>
      </c>
      <c r="AL291" s="451">
        <v>0</v>
      </c>
      <c r="AM291" s="451">
        <v>0</v>
      </c>
      <c r="AN291" s="451">
        <v>0</v>
      </c>
      <c r="AO291" s="451">
        <v>1549305</v>
      </c>
      <c r="AP291" s="451">
        <v>-417096.65</v>
      </c>
      <c r="AQ291" s="324"/>
      <c r="AR291" s="310"/>
      <c r="AS291" s="310"/>
      <c r="AT291" s="310"/>
      <c r="AU291" s="310"/>
      <c r="AV291" s="310"/>
      <c r="AW291" s="310"/>
      <c r="AX291" s="310"/>
      <c r="AY291" s="310"/>
      <c r="AZ291" s="310"/>
      <c r="BA291" s="310"/>
      <c r="BB291" s="310"/>
      <c r="BC291" s="310"/>
      <c r="BD291" s="310"/>
      <c r="BE291" s="310"/>
      <c r="BF291" s="310"/>
      <c r="BG291" s="310"/>
      <c r="BH291" s="310"/>
      <c r="BI291" s="310"/>
      <c r="BJ291" s="310"/>
      <c r="BK291" s="310"/>
      <c r="BL291" s="310"/>
      <c r="BM291" s="310"/>
      <c r="BN291" s="310"/>
      <c r="BO291" s="310"/>
      <c r="BP291" s="310"/>
      <c r="BQ291" s="310"/>
      <c r="BR291" s="310"/>
      <c r="BS291" s="310"/>
      <c r="BT291" s="310"/>
      <c r="BU291" s="310"/>
      <c r="BV291" s="310"/>
      <c r="BW291" s="310"/>
      <c r="BX291" s="310"/>
      <c r="BY291" s="310"/>
      <c r="BZ291" s="310"/>
      <c r="CA291" s="310"/>
      <c r="CB291" s="310"/>
      <c r="CC291" s="310"/>
      <c r="CD291" s="310"/>
      <c r="CE291" s="310"/>
      <c r="CF291" s="310"/>
      <c r="CG291" s="310"/>
      <c r="CH291" s="310"/>
      <c r="CI291" s="310"/>
      <c r="CJ291" s="310"/>
      <c r="CK291" s="310"/>
      <c r="CL291" s="310"/>
      <c r="CM291" s="310"/>
      <c r="CN291" s="310"/>
      <c r="CO291" s="310"/>
      <c r="CP291" s="310"/>
      <c r="CQ291" s="310"/>
      <c r="CR291" s="310"/>
      <c r="CS291" s="310"/>
      <c r="CT291" s="310"/>
      <c r="CU291" s="310"/>
      <c r="CV291" s="310"/>
      <c r="CW291" s="310"/>
      <c r="CX291" s="310"/>
      <c r="CY291" s="310"/>
      <c r="CZ291" s="310"/>
      <c r="DA291" s="310"/>
      <c r="DB291" s="310"/>
      <c r="DC291" s="310"/>
      <c r="DD291" s="310"/>
      <c r="DE291" s="310"/>
      <c r="DF291" s="310"/>
      <c r="DG291" s="310"/>
      <c r="DH291" s="310"/>
      <c r="DI291" s="310"/>
      <c r="DJ291" s="310"/>
      <c r="DK291" s="310"/>
      <c r="DL291" s="310"/>
      <c r="DM291" s="310"/>
      <c r="DN291" s="310"/>
      <c r="DO291" s="310"/>
      <c r="DP291" s="310"/>
      <c r="DQ291" s="310"/>
      <c r="DR291" s="310"/>
      <c r="DS291" s="310"/>
      <c r="DT291" s="310"/>
      <c r="DU291" s="310"/>
      <c r="DV291" s="310"/>
      <c r="DW291" s="310"/>
      <c r="DX291" s="310"/>
      <c r="DY291" s="310"/>
      <c r="DZ291" s="310"/>
      <c r="EA291" s="310"/>
      <c r="EB291" s="310"/>
      <c r="EC291" s="310"/>
      <c r="ED291" s="310"/>
      <c r="EE291" s="310"/>
      <c r="EF291" s="310"/>
      <c r="EG291" s="310"/>
      <c r="EH291" s="310"/>
      <c r="EI291" s="310"/>
      <c r="EJ291" s="310"/>
      <c r="EK291" s="310"/>
      <c r="EL291" s="310"/>
      <c r="EM291" s="310"/>
      <c r="EN291" s="310"/>
      <c r="EO291" s="310"/>
      <c r="EP291" s="310"/>
      <c r="EQ291" s="310"/>
      <c r="ER291" s="310"/>
      <c r="ES291" s="310"/>
      <c r="ET291" s="310"/>
      <c r="EU291" s="310"/>
      <c r="EV291" s="310"/>
      <c r="EW291" s="310"/>
      <c r="EX291" s="310"/>
      <c r="EY291" s="310"/>
      <c r="EZ291" s="310"/>
      <c r="FA291" s="310"/>
      <c r="FB291" s="310"/>
      <c r="FC291" s="310"/>
      <c r="FD291" s="310"/>
      <c r="FE291" s="311"/>
      <c r="FF291" s="312"/>
    </row>
    <row r="292" spans="1:162" ht="12.75" x14ac:dyDescent="0.2">
      <c r="A292" s="446">
        <v>285</v>
      </c>
      <c r="B292" s="447" t="s">
        <v>453</v>
      </c>
      <c r="C292" s="448" t="s">
        <v>1093</v>
      </c>
      <c r="D292" s="449" t="s">
        <v>1102</v>
      </c>
      <c r="E292" s="450" t="s">
        <v>452</v>
      </c>
      <c r="F292" s="451">
        <v>10419387</v>
      </c>
      <c r="G292" s="451">
        <v>0</v>
      </c>
      <c r="H292" s="451">
        <v>0</v>
      </c>
      <c r="I292" s="451">
        <v>10419387</v>
      </c>
      <c r="J292" s="451">
        <v>24290</v>
      </c>
      <c r="K292" s="451">
        <v>0</v>
      </c>
      <c r="L292" s="451">
        <v>0</v>
      </c>
      <c r="M292" s="451">
        <v>24290</v>
      </c>
      <c r="N292" s="451">
        <v>34680</v>
      </c>
      <c r="O292" s="451">
        <v>0</v>
      </c>
      <c r="P292" s="451">
        <v>0</v>
      </c>
      <c r="Q292" s="451">
        <v>34680</v>
      </c>
      <c r="R292" s="451">
        <v>168156</v>
      </c>
      <c r="S292" s="451">
        <v>0</v>
      </c>
      <c r="T292" s="451">
        <v>0</v>
      </c>
      <c r="U292" s="451">
        <v>168156</v>
      </c>
      <c r="V292" s="451">
        <v>465998</v>
      </c>
      <c r="W292" s="451">
        <v>0</v>
      </c>
      <c r="X292" s="451">
        <v>0</v>
      </c>
      <c r="Y292" s="451">
        <v>465998</v>
      </c>
      <c r="Z292" s="451">
        <v>9726263</v>
      </c>
      <c r="AA292" s="451">
        <v>0</v>
      </c>
      <c r="AB292" s="451">
        <v>0</v>
      </c>
      <c r="AC292" s="451">
        <v>9726263</v>
      </c>
      <c r="AD292" s="451">
        <v>51309</v>
      </c>
      <c r="AE292" s="451">
        <v>0</v>
      </c>
      <c r="AF292" s="451">
        <v>0</v>
      </c>
      <c r="AG292" s="451">
        <v>51309</v>
      </c>
      <c r="AH292" s="451">
        <v>0</v>
      </c>
      <c r="AI292" s="451">
        <v>0</v>
      </c>
      <c r="AJ292" s="451">
        <v>0</v>
      </c>
      <c r="AK292" s="451">
        <v>0</v>
      </c>
      <c r="AL292" s="451">
        <v>0</v>
      </c>
      <c r="AM292" s="451">
        <v>0</v>
      </c>
      <c r="AN292" s="451">
        <v>51309</v>
      </c>
      <c r="AO292" s="451">
        <v>332068</v>
      </c>
      <c r="AP292" s="451">
        <v>136162</v>
      </c>
      <c r="AQ292" s="324"/>
      <c r="AR292" s="310"/>
      <c r="AS292" s="310"/>
      <c r="AT292" s="310"/>
      <c r="AU292" s="310"/>
      <c r="AV292" s="310"/>
      <c r="AW292" s="310"/>
      <c r="AX292" s="310"/>
      <c r="AY292" s="310"/>
      <c r="AZ292" s="310"/>
      <c r="BA292" s="310"/>
      <c r="BB292" s="310"/>
      <c r="BC292" s="310"/>
      <c r="BD292" s="310"/>
      <c r="BE292" s="310"/>
      <c r="BF292" s="310"/>
      <c r="BG292" s="310"/>
      <c r="BH292" s="310"/>
      <c r="BI292" s="310"/>
      <c r="BJ292" s="310"/>
      <c r="BK292" s="310"/>
      <c r="BL292" s="310"/>
      <c r="BM292" s="310"/>
      <c r="BN292" s="310"/>
      <c r="BO292" s="310"/>
      <c r="BP292" s="310"/>
      <c r="BQ292" s="310"/>
      <c r="BR292" s="310"/>
      <c r="BS292" s="310"/>
      <c r="BT292" s="310"/>
      <c r="BU292" s="310"/>
      <c r="BV292" s="310"/>
      <c r="BW292" s="310"/>
      <c r="BX292" s="310"/>
      <c r="BY292" s="310"/>
      <c r="BZ292" s="310"/>
      <c r="CA292" s="310"/>
      <c r="CB292" s="310"/>
      <c r="CC292" s="310"/>
      <c r="CD292" s="310"/>
      <c r="CE292" s="310"/>
      <c r="CF292" s="310"/>
      <c r="CG292" s="310"/>
      <c r="CH292" s="310"/>
      <c r="CI292" s="310"/>
      <c r="CJ292" s="310"/>
      <c r="CK292" s="310"/>
      <c r="CL292" s="310"/>
      <c r="CM292" s="310"/>
      <c r="CN292" s="310"/>
      <c r="CO292" s="310"/>
      <c r="CP292" s="310"/>
      <c r="CQ292" s="310"/>
      <c r="CR292" s="310"/>
      <c r="CS292" s="310"/>
      <c r="CT292" s="310"/>
      <c r="CU292" s="310"/>
      <c r="CV292" s="310"/>
      <c r="CW292" s="310"/>
      <c r="CX292" s="310"/>
      <c r="CY292" s="310"/>
      <c r="CZ292" s="310"/>
      <c r="DA292" s="310"/>
      <c r="DB292" s="310"/>
      <c r="DC292" s="310"/>
      <c r="DD292" s="310"/>
      <c r="DE292" s="310"/>
      <c r="DF292" s="310"/>
      <c r="DG292" s="310"/>
      <c r="DH292" s="310"/>
      <c r="DI292" s="310"/>
      <c r="DJ292" s="310"/>
      <c r="DK292" s="310"/>
      <c r="DL292" s="310"/>
      <c r="DM292" s="310"/>
      <c r="DN292" s="310"/>
      <c r="DO292" s="310"/>
      <c r="DP292" s="310"/>
      <c r="DQ292" s="310"/>
      <c r="DR292" s="310"/>
      <c r="DS292" s="310"/>
      <c r="DT292" s="310"/>
      <c r="DU292" s="310"/>
      <c r="DV292" s="310"/>
      <c r="DW292" s="310"/>
      <c r="DX292" s="310"/>
      <c r="DY292" s="310"/>
      <c r="DZ292" s="310"/>
      <c r="EA292" s="310"/>
      <c r="EB292" s="310"/>
      <c r="EC292" s="310"/>
      <c r="ED292" s="310"/>
      <c r="EE292" s="310"/>
      <c r="EF292" s="310"/>
      <c r="EG292" s="310"/>
      <c r="EH292" s="310"/>
      <c r="EI292" s="310"/>
      <c r="EJ292" s="310"/>
      <c r="EK292" s="310"/>
      <c r="EL292" s="310"/>
      <c r="EM292" s="310"/>
      <c r="EN292" s="310"/>
      <c r="EO292" s="310"/>
      <c r="EP292" s="310"/>
      <c r="EQ292" s="310"/>
      <c r="ER292" s="310"/>
      <c r="ES292" s="310"/>
      <c r="ET292" s="310"/>
      <c r="EU292" s="310"/>
      <c r="EV292" s="310"/>
      <c r="EW292" s="310"/>
      <c r="EX292" s="310"/>
      <c r="EY292" s="310"/>
      <c r="EZ292" s="310"/>
      <c r="FA292" s="310"/>
      <c r="FB292" s="310"/>
      <c r="FC292" s="310"/>
      <c r="FD292" s="310"/>
      <c r="FE292" s="311"/>
      <c r="FF292" s="312"/>
    </row>
    <row r="293" spans="1:162" ht="12.75" x14ac:dyDescent="0.2">
      <c r="A293" s="446">
        <v>286</v>
      </c>
      <c r="B293" s="447" t="s">
        <v>455</v>
      </c>
      <c r="C293" s="448" t="s">
        <v>1104</v>
      </c>
      <c r="D293" s="449" t="s">
        <v>1099</v>
      </c>
      <c r="E293" s="450" t="s">
        <v>454</v>
      </c>
      <c r="F293" s="451">
        <v>352905248</v>
      </c>
      <c r="G293" s="451">
        <v>0</v>
      </c>
      <c r="H293" s="451">
        <v>0</v>
      </c>
      <c r="I293" s="451">
        <v>352905248</v>
      </c>
      <c r="J293" s="451">
        <v>1264107</v>
      </c>
      <c r="K293" s="451">
        <v>0</v>
      </c>
      <c r="L293" s="451">
        <v>0</v>
      </c>
      <c r="M293" s="451">
        <v>1264107</v>
      </c>
      <c r="N293" s="451">
        <v>2783878</v>
      </c>
      <c r="O293" s="451">
        <v>0</v>
      </c>
      <c r="P293" s="451">
        <v>0</v>
      </c>
      <c r="Q293" s="451">
        <v>2783878</v>
      </c>
      <c r="R293" s="451">
        <v>7500000</v>
      </c>
      <c r="S293" s="451">
        <v>0</v>
      </c>
      <c r="T293" s="451">
        <v>0</v>
      </c>
      <c r="U293" s="451">
        <v>7500000</v>
      </c>
      <c r="V293" s="451">
        <v>20000000</v>
      </c>
      <c r="W293" s="451">
        <v>0</v>
      </c>
      <c r="X293" s="451">
        <v>0</v>
      </c>
      <c r="Y293" s="451">
        <v>20000000</v>
      </c>
      <c r="Z293" s="451">
        <v>321357263</v>
      </c>
      <c r="AA293" s="451">
        <v>0</v>
      </c>
      <c r="AB293" s="451">
        <v>0</v>
      </c>
      <c r="AC293" s="451">
        <v>321357263</v>
      </c>
      <c r="AD293" s="451">
        <v>0</v>
      </c>
      <c r="AE293" s="451">
        <v>0</v>
      </c>
      <c r="AF293" s="451">
        <v>0</v>
      </c>
      <c r="AG293" s="451">
        <v>0</v>
      </c>
      <c r="AH293" s="451">
        <v>0</v>
      </c>
      <c r="AI293" s="451">
        <v>0</v>
      </c>
      <c r="AJ293" s="451">
        <v>0</v>
      </c>
      <c r="AK293" s="451">
        <v>0</v>
      </c>
      <c r="AL293" s="451">
        <v>0</v>
      </c>
      <c r="AM293" s="451">
        <v>0</v>
      </c>
      <c r="AN293" s="451">
        <v>0</v>
      </c>
      <c r="AO293" s="451">
        <v>12436764</v>
      </c>
      <c r="AP293" s="451">
        <v>22949202</v>
      </c>
      <c r="AQ293" s="324"/>
      <c r="AR293" s="310"/>
      <c r="AS293" s="310"/>
      <c r="AT293" s="310"/>
      <c r="AU293" s="310"/>
      <c r="AV293" s="310"/>
      <c r="AW293" s="310"/>
      <c r="AX293" s="310"/>
      <c r="AY293" s="310"/>
      <c r="AZ293" s="310"/>
      <c r="BA293" s="310"/>
      <c r="BB293" s="310"/>
      <c r="BC293" s="310"/>
      <c r="BD293" s="310"/>
      <c r="BE293" s="310"/>
      <c r="BF293" s="310"/>
      <c r="BG293" s="310"/>
      <c r="BH293" s="310"/>
      <c r="BI293" s="310"/>
      <c r="BJ293" s="310"/>
      <c r="BK293" s="310"/>
      <c r="BL293" s="310"/>
      <c r="BM293" s="310"/>
      <c r="BN293" s="310"/>
      <c r="BO293" s="310"/>
      <c r="BP293" s="310"/>
      <c r="BQ293" s="310"/>
      <c r="BR293" s="310"/>
      <c r="BS293" s="310"/>
      <c r="BT293" s="310"/>
      <c r="BU293" s="310"/>
      <c r="BV293" s="310"/>
      <c r="BW293" s="310"/>
      <c r="BX293" s="310"/>
      <c r="BY293" s="310"/>
      <c r="BZ293" s="310"/>
      <c r="CA293" s="310"/>
      <c r="CB293" s="310"/>
      <c r="CC293" s="310"/>
      <c r="CD293" s="310"/>
      <c r="CE293" s="310"/>
      <c r="CF293" s="310"/>
      <c r="CG293" s="310"/>
      <c r="CH293" s="310"/>
      <c r="CI293" s="310"/>
      <c r="CJ293" s="310"/>
      <c r="CK293" s="310"/>
      <c r="CL293" s="310"/>
      <c r="CM293" s="310"/>
      <c r="CN293" s="310"/>
      <c r="CO293" s="310"/>
      <c r="CP293" s="310"/>
      <c r="CQ293" s="310"/>
      <c r="CR293" s="310"/>
      <c r="CS293" s="310"/>
      <c r="CT293" s="310"/>
      <c r="CU293" s="310"/>
      <c r="CV293" s="310"/>
      <c r="CW293" s="310"/>
      <c r="CX293" s="310"/>
      <c r="CY293" s="310"/>
      <c r="CZ293" s="310"/>
      <c r="DA293" s="310"/>
      <c r="DB293" s="310"/>
      <c r="DC293" s="310"/>
      <c r="DD293" s="310"/>
      <c r="DE293" s="310"/>
      <c r="DF293" s="310"/>
      <c r="DG293" s="310"/>
      <c r="DH293" s="310"/>
      <c r="DI293" s="310"/>
      <c r="DJ293" s="310"/>
      <c r="DK293" s="310"/>
      <c r="DL293" s="310"/>
      <c r="DM293" s="310"/>
      <c r="DN293" s="310"/>
      <c r="DO293" s="310"/>
      <c r="DP293" s="310"/>
      <c r="DQ293" s="310"/>
      <c r="DR293" s="310"/>
      <c r="DS293" s="310"/>
      <c r="DT293" s="310"/>
      <c r="DU293" s="310"/>
      <c r="DV293" s="310"/>
      <c r="DW293" s="310"/>
      <c r="DX293" s="310"/>
      <c r="DY293" s="310"/>
      <c r="DZ293" s="310"/>
      <c r="EA293" s="310"/>
      <c r="EB293" s="310"/>
      <c r="EC293" s="310"/>
      <c r="ED293" s="310"/>
      <c r="EE293" s="310"/>
      <c r="EF293" s="310"/>
      <c r="EG293" s="310"/>
      <c r="EH293" s="310"/>
      <c r="EI293" s="310"/>
      <c r="EJ293" s="310"/>
      <c r="EK293" s="310"/>
      <c r="EL293" s="310"/>
      <c r="EM293" s="310"/>
      <c r="EN293" s="310"/>
      <c r="EO293" s="310"/>
      <c r="EP293" s="310"/>
      <c r="EQ293" s="310"/>
      <c r="ER293" s="310"/>
      <c r="ES293" s="310"/>
      <c r="ET293" s="310"/>
      <c r="EU293" s="310"/>
      <c r="EV293" s="310"/>
      <c r="EW293" s="310"/>
      <c r="EX293" s="310"/>
      <c r="EY293" s="310"/>
      <c r="EZ293" s="310"/>
      <c r="FA293" s="310"/>
      <c r="FB293" s="310"/>
      <c r="FC293" s="310"/>
      <c r="FD293" s="310"/>
      <c r="FE293" s="311"/>
      <c r="FF293" s="312"/>
    </row>
    <row r="294" spans="1:162" ht="12.75" x14ac:dyDescent="0.2">
      <c r="A294" s="446">
        <v>287</v>
      </c>
      <c r="B294" s="447" t="s">
        <v>457</v>
      </c>
      <c r="C294" s="448" t="s">
        <v>1100</v>
      </c>
      <c r="D294" s="449" t="s">
        <v>1095</v>
      </c>
      <c r="E294" s="450" t="s">
        <v>456</v>
      </c>
      <c r="F294" s="451">
        <v>159886433</v>
      </c>
      <c r="G294" s="451">
        <v>0</v>
      </c>
      <c r="H294" s="451">
        <v>0</v>
      </c>
      <c r="I294" s="451">
        <v>159886433</v>
      </c>
      <c r="J294" s="451">
        <v>1824111.79</v>
      </c>
      <c r="K294" s="451">
        <v>0</v>
      </c>
      <c r="L294" s="451">
        <v>0</v>
      </c>
      <c r="M294" s="451">
        <v>1824111.79</v>
      </c>
      <c r="N294" s="451">
        <v>148381.78</v>
      </c>
      <c r="O294" s="451">
        <v>0</v>
      </c>
      <c r="P294" s="451">
        <v>0</v>
      </c>
      <c r="Q294" s="451">
        <v>148381.78</v>
      </c>
      <c r="R294" s="451">
        <v>9410780</v>
      </c>
      <c r="S294" s="451">
        <v>0</v>
      </c>
      <c r="T294" s="451">
        <v>0</v>
      </c>
      <c r="U294" s="451">
        <v>9410780</v>
      </c>
      <c r="V294" s="451">
        <v>27412100</v>
      </c>
      <c r="W294" s="451">
        <v>0</v>
      </c>
      <c r="X294" s="451">
        <v>0</v>
      </c>
      <c r="Y294" s="451">
        <v>27412100</v>
      </c>
      <c r="Z294" s="451">
        <v>121091059</v>
      </c>
      <c r="AA294" s="451">
        <v>0</v>
      </c>
      <c r="AB294" s="451">
        <v>0</v>
      </c>
      <c r="AC294" s="451">
        <v>121091059</v>
      </c>
      <c r="AD294" s="451">
        <v>73476</v>
      </c>
      <c r="AE294" s="451">
        <v>0</v>
      </c>
      <c r="AF294" s="451">
        <v>0</v>
      </c>
      <c r="AG294" s="451">
        <v>73476</v>
      </c>
      <c r="AH294" s="451">
        <v>0</v>
      </c>
      <c r="AI294" s="451">
        <v>0</v>
      </c>
      <c r="AJ294" s="451">
        <v>0</v>
      </c>
      <c r="AK294" s="451">
        <v>0</v>
      </c>
      <c r="AL294" s="451">
        <v>0</v>
      </c>
      <c r="AM294" s="451">
        <v>0</v>
      </c>
      <c r="AN294" s="451">
        <v>73476</v>
      </c>
      <c r="AO294" s="451">
        <v>6277241.6900000004</v>
      </c>
      <c r="AP294" s="451">
        <v>4928445.7699999996</v>
      </c>
      <c r="AQ294" s="324"/>
      <c r="AR294" s="310"/>
      <c r="AS294" s="310"/>
      <c r="AT294" s="310"/>
      <c r="AU294" s="310"/>
      <c r="AV294" s="310"/>
      <c r="AW294" s="310"/>
      <c r="AX294" s="310"/>
      <c r="AY294" s="310"/>
      <c r="AZ294" s="310"/>
      <c r="BA294" s="310"/>
      <c r="BB294" s="310"/>
      <c r="BC294" s="310"/>
      <c r="BD294" s="310"/>
      <c r="BE294" s="310"/>
      <c r="BF294" s="310"/>
      <c r="BG294" s="310"/>
      <c r="BH294" s="310"/>
      <c r="BI294" s="310"/>
      <c r="BJ294" s="310"/>
      <c r="BK294" s="310"/>
      <c r="BL294" s="310"/>
      <c r="BM294" s="310"/>
      <c r="BN294" s="310"/>
      <c r="BO294" s="310"/>
      <c r="BP294" s="310"/>
      <c r="BQ294" s="310"/>
      <c r="BR294" s="310"/>
      <c r="BS294" s="310"/>
      <c r="BT294" s="310"/>
      <c r="BU294" s="310"/>
      <c r="BV294" s="310"/>
      <c r="BW294" s="310"/>
      <c r="BX294" s="310"/>
      <c r="BY294" s="310"/>
      <c r="BZ294" s="310"/>
      <c r="CA294" s="310"/>
      <c r="CB294" s="310"/>
      <c r="CC294" s="310"/>
      <c r="CD294" s="310"/>
      <c r="CE294" s="310"/>
      <c r="CF294" s="310"/>
      <c r="CG294" s="310"/>
      <c r="CH294" s="310"/>
      <c r="CI294" s="310"/>
      <c r="CJ294" s="310"/>
      <c r="CK294" s="310"/>
      <c r="CL294" s="310"/>
      <c r="CM294" s="310"/>
      <c r="CN294" s="310"/>
      <c r="CO294" s="310"/>
      <c r="CP294" s="310"/>
      <c r="CQ294" s="310"/>
      <c r="CR294" s="310"/>
      <c r="CS294" s="310"/>
      <c r="CT294" s="310"/>
      <c r="CU294" s="310"/>
      <c r="CV294" s="310"/>
      <c r="CW294" s="310"/>
      <c r="CX294" s="310"/>
      <c r="CY294" s="310"/>
      <c r="CZ294" s="310"/>
      <c r="DA294" s="310"/>
      <c r="DB294" s="310"/>
      <c r="DC294" s="310"/>
      <c r="DD294" s="310"/>
      <c r="DE294" s="310"/>
      <c r="DF294" s="310"/>
      <c r="DG294" s="310"/>
      <c r="DH294" s="310"/>
      <c r="DI294" s="310"/>
      <c r="DJ294" s="310"/>
      <c r="DK294" s="310"/>
      <c r="DL294" s="310"/>
      <c r="DM294" s="310"/>
      <c r="DN294" s="310"/>
      <c r="DO294" s="310"/>
      <c r="DP294" s="310"/>
      <c r="DQ294" s="310"/>
      <c r="DR294" s="310"/>
      <c r="DS294" s="310"/>
      <c r="DT294" s="310"/>
      <c r="DU294" s="310"/>
      <c r="DV294" s="310"/>
      <c r="DW294" s="310"/>
      <c r="DX294" s="310"/>
      <c r="DY294" s="310"/>
      <c r="DZ294" s="310"/>
      <c r="EA294" s="310"/>
      <c r="EB294" s="310"/>
      <c r="EC294" s="310"/>
      <c r="ED294" s="310"/>
      <c r="EE294" s="310"/>
      <c r="EF294" s="310"/>
      <c r="EG294" s="310"/>
      <c r="EH294" s="310"/>
      <c r="EI294" s="310"/>
      <c r="EJ294" s="310"/>
      <c r="EK294" s="310"/>
      <c r="EL294" s="310"/>
      <c r="EM294" s="310"/>
      <c r="EN294" s="310"/>
      <c r="EO294" s="310"/>
      <c r="EP294" s="310"/>
      <c r="EQ294" s="310"/>
      <c r="ER294" s="310"/>
      <c r="ES294" s="310"/>
      <c r="ET294" s="310"/>
      <c r="EU294" s="310"/>
      <c r="EV294" s="310"/>
      <c r="EW294" s="310"/>
      <c r="EX294" s="310"/>
      <c r="EY294" s="310"/>
      <c r="EZ294" s="310"/>
      <c r="FA294" s="310"/>
      <c r="FB294" s="310"/>
      <c r="FC294" s="310"/>
      <c r="FD294" s="310"/>
      <c r="FE294" s="311"/>
      <c r="FF294" s="312"/>
    </row>
    <row r="295" spans="1:162" ht="12.75" x14ac:dyDescent="0.2">
      <c r="A295" s="446">
        <v>288</v>
      </c>
      <c r="B295" s="447" t="s">
        <v>459</v>
      </c>
      <c r="C295" s="448" t="s">
        <v>1093</v>
      </c>
      <c r="D295" s="449" t="s">
        <v>1094</v>
      </c>
      <c r="E295" s="450" t="s">
        <v>458</v>
      </c>
      <c r="F295" s="451">
        <v>50558518</v>
      </c>
      <c r="G295" s="451">
        <v>0</v>
      </c>
      <c r="H295" s="451">
        <v>0</v>
      </c>
      <c r="I295" s="451">
        <v>50558518</v>
      </c>
      <c r="J295" s="451">
        <v>190988</v>
      </c>
      <c r="K295" s="451">
        <v>0</v>
      </c>
      <c r="L295" s="451">
        <v>0</v>
      </c>
      <c r="M295" s="451">
        <v>190988</v>
      </c>
      <c r="N295" s="451">
        <v>434119</v>
      </c>
      <c r="O295" s="451">
        <v>0</v>
      </c>
      <c r="P295" s="451">
        <v>0</v>
      </c>
      <c r="Q295" s="451">
        <v>434119</v>
      </c>
      <c r="R295" s="451">
        <v>558932</v>
      </c>
      <c r="S295" s="451">
        <v>0</v>
      </c>
      <c r="T295" s="451">
        <v>0</v>
      </c>
      <c r="U295" s="451">
        <v>558932</v>
      </c>
      <c r="V295" s="451">
        <v>1195746</v>
      </c>
      <c r="W295" s="451">
        <v>0</v>
      </c>
      <c r="X295" s="451">
        <v>0</v>
      </c>
      <c r="Y295" s="451">
        <v>1195746</v>
      </c>
      <c r="Z295" s="451">
        <v>48178733</v>
      </c>
      <c r="AA295" s="451">
        <v>0</v>
      </c>
      <c r="AB295" s="451">
        <v>0</v>
      </c>
      <c r="AC295" s="451">
        <v>48178733</v>
      </c>
      <c r="AD295" s="451">
        <v>0</v>
      </c>
      <c r="AE295" s="451">
        <v>0</v>
      </c>
      <c r="AF295" s="451">
        <v>0</v>
      </c>
      <c r="AG295" s="451">
        <v>0</v>
      </c>
      <c r="AH295" s="451">
        <v>0</v>
      </c>
      <c r="AI295" s="451">
        <v>0</v>
      </c>
      <c r="AJ295" s="451">
        <v>0</v>
      </c>
      <c r="AK295" s="451">
        <v>0</v>
      </c>
      <c r="AL295" s="451">
        <v>0</v>
      </c>
      <c r="AM295" s="451">
        <v>0</v>
      </c>
      <c r="AN295" s="451">
        <v>0</v>
      </c>
      <c r="AO295" s="451">
        <v>2046149</v>
      </c>
      <c r="AP295" s="451">
        <v>975310</v>
      </c>
      <c r="AQ295" s="324"/>
      <c r="AR295" s="310"/>
      <c r="AS295" s="310"/>
      <c r="AT295" s="310"/>
      <c r="AU295" s="310"/>
      <c r="AV295" s="310"/>
      <c r="AW295" s="310"/>
      <c r="AX295" s="310"/>
      <c r="AY295" s="310"/>
      <c r="AZ295" s="310"/>
      <c r="BA295" s="310"/>
      <c r="BB295" s="310"/>
      <c r="BC295" s="310"/>
      <c r="BD295" s="310"/>
      <c r="BE295" s="310"/>
      <c r="BF295" s="310"/>
      <c r="BG295" s="310"/>
      <c r="BH295" s="310"/>
      <c r="BI295" s="310"/>
      <c r="BJ295" s="310"/>
      <c r="BK295" s="310"/>
      <c r="BL295" s="310"/>
      <c r="BM295" s="310"/>
      <c r="BN295" s="310"/>
      <c r="BO295" s="310"/>
      <c r="BP295" s="310"/>
      <c r="BQ295" s="310"/>
      <c r="BR295" s="310"/>
      <c r="BS295" s="310"/>
      <c r="BT295" s="310"/>
      <c r="BU295" s="310"/>
      <c r="BV295" s="310"/>
      <c r="BW295" s="310"/>
      <c r="BX295" s="310"/>
      <c r="BY295" s="310"/>
      <c r="BZ295" s="310"/>
      <c r="CA295" s="310"/>
      <c r="CB295" s="310"/>
      <c r="CC295" s="310"/>
      <c r="CD295" s="310"/>
      <c r="CE295" s="310"/>
      <c r="CF295" s="310"/>
      <c r="CG295" s="310"/>
      <c r="CH295" s="310"/>
      <c r="CI295" s="310"/>
      <c r="CJ295" s="310"/>
      <c r="CK295" s="310"/>
      <c r="CL295" s="310"/>
      <c r="CM295" s="310"/>
      <c r="CN295" s="310"/>
      <c r="CO295" s="310"/>
      <c r="CP295" s="310"/>
      <c r="CQ295" s="310"/>
      <c r="CR295" s="310"/>
      <c r="CS295" s="310"/>
      <c r="CT295" s="310"/>
      <c r="CU295" s="310"/>
      <c r="CV295" s="310"/>
      <c r="CW295" s="310"/>
      <c r="CX295" s="310"/>
      <c r="CY295" s="310"/>
      <c r="CZ295" s="310"/>
      <c r="DA295" s="310"/>
      <c r="DB295" s="310"/>
      <c r="DC295" s="310"/>
      <c r="DD295" s="310"/>
      <c r="DE295" s="310"/>
      <c r="DF295" s="310"/>
      <c r="DG295" s="310"/>
      <c r="DH295" s="310"/>
      <c r="DI295" s="310"/>
      <c r="DJ295" s="310"/>
      <c r="DK295" s="310"/>
      <c r="DL295" s="310"/>
      <c r="DM295" s="310"/>
      <c r="DN295" s="310"/>
      <c r="DO295" s="310"/>
      <c r="DP295" s="310"/>
      <c r="DQ295" s="310"/>
      <c r="DR295" s="310"/>
      <c r="DS295" s="310"/>
      <c r="DT295" s="310"/>
      <c r="DU295" s="310"/>
      <c r="DV295" s="310"/>
      <c r="DW295" s="310"/>
      <c r="DX295" s="310"/>
      <c r="DY295" s="310"/>
      <c r="DZ295" s="310"/>
      <c r="EA295" s="310"/>
      <c r="EB295" s="310"/>
      <c r="EC295" s="310"/>
      <c r="ED295" s="310"/>
      <c r="EE295" s="310"/>
      <c r="EF295" s="310"/>
      <c r="EG295" s="310"/>
      <c r="EH295" s="310"/>
      <c r="EI295" s="310"/>
      <c r="EJ295" s="310"/>
      <c r="EK295" s="310"/>
      <c r="EL295" s="310"/>
      <c r="EM295" s="310"/>
      <c r="EN295" s="310"/>
      <c r="EO295" s="310"/>
      <c r="EP295" s="310"/>
      <c r="EQ295" s="310"/>
      <c r="ER295" s="310"/>
      <c r="ES295" s="310"/>
      <c r="ET295" s="310"/>
      <c r="EU295" s="310"/>
      <c r="EV295" s="310"/>
      <c r="EW295" s="310"/>
      <c r="EX295" s="310"/>
      <c r="EY295" s="310"/>
      <c r="EZ295" s="310"/>
      <c r="FA295" s="310"/>
      <c r="FB295" s="310"/>
      <c r="FC295" s="310"/>
      <c r="FD295" s="310"/>
      <c r="FE295" s="311"/>
      <c r="FF295" s="312"/>
    </row>
    <row r="296" spans="1:162" ht="12.75" x14ac:dyDescent="0.2">
      <c r="A296" s="446">
        <v>289</v>
      </c>
      <c r="B296" s="447" t="s">
        <v>461</v>
      </c>
      <c r="C296" s="448" t="s">
        <v>1093</v>
      </c>
      <c r="D296" s="449" t="s">
        <v>1097</v>
      </c>
      <c r="E296" s="450" t="s">
        <v>460</v>
      </c>
      <c r="F296" s="451">
        <v>41214130</v>
      </c>
      <c r="G296" s="451">
        <v>0</v>
      </c>
      <c r="H296" s="451">
        <v>0</v>
      </c>
      <c r="I296" s="451">
        <v>41214130</v>
      </c>
      <c r="J296" s="451">
        <v>328242</v>
      </c>
      <c r="K296" s="451">
        <v>0</v>
      </c>
      <c r="L296" s="451">
        <v>0</v>
      </c>
      <c r="M296" s="451">
        <v>328242</v>
      </c>
      <c r="N296" s="451">
        <v>-4230</v>
      </c>
      <c r="O296" s="451">
        <v>0</v>
      </c>
      <c r="P296" s="451">
        <v>0</v>
      </c>
      <c r="Q296" s="451">
        <v>-4230</v>
      </c>
      <c r="R296" s="451">
        <v>3197896</v>
      </c>
      <c r="S296" s="451">
        <v>0</v>
      </c>
      <c r="T296" s="451">
        <v>0</v>
      </c>
      <c r="U296" s="451">
        <v>3197896</v>
      </c>
      <c r="V296" s="451">
        <v>8326687</v>
      </c>
      <c r="W296" s="451">
        <v>0</v>
      </c>
      <c r="X296" s="451">
        <v>0</v>
      </c>
      <c r="Y296" s="451">
        <v>8326687</v>
      </c>
      <c r="Z296" s="451">
        <v>29365535</v>
      </c>
      <c r="AA296" s="451">
        <v>0</v>
      </c>
      <c r="AB296" s="451">
        <v>0</v>
      </c>
      <c r="AC296" s="451">
        <v>29365535</v>
      </c>
      <c r="AD296" s="451">
        <v>0</v>
      </c>
      <c r="AE296" s="451">
        <v>0</v>
      </c>
      <c r="AF296" s="451">
        <v>0</v>
      </c>
      <c r="AG296" s="451">
        <v>0</v>
      </c>
      <c r="AH296" s="451">
        <v>0</v>
      </c>
      <c r="AI296" s="451">
        <v>0</v>
      </c>
      <c r="AJ296" s="451">
        <v>0</v>
      </c>
      <c r="AK296" s="451">
        <v>0</v>
      </c>
      <c r="AL296" s="451">
        <v>0</v>
      </c>
      <c r="AM296" s="451">
        <v>0</v>
      </c>
      <c r="AN296" s="451">
        <v>0</v>
      </c>
      <c r="AO296" s="451">
        <v>868614</v>
      </c>
      <c r="AP296" s="451">
        <v>371382</v>
      </c>
      <c r="AQ296" s="324"/>
      <c r="AR296" s="310"/>
      <c r="AS296" s="310"/>
      <c r="AT296" s="310"/>
      <c r="AU296" s="310"/>
      <c r="AV296" s="310"/>
      <c r="AW296" s="310"/>
      <c r="AX296" s="310"/>
      <c r="AY296" s="310"/>
      <c r="AZ296" s="310"/>
      <c r="BA296" s="310"/>
      <c r="BB296" s="310"/>
      <c r="BC296" s="310"/>
      <c r="BD296" s="310"/>
      <c r="BE296" s="310"/>
      <c r="BF296" s="310"/>
      <c r="BG296" s="310"/>
      <c r="BH296" s="310"/>
      <c r="BI296" s="310"/>
      <c r="BJ296" s="310"/>
      <c r="BK296" s="310"/>
      <c r="BL296" s="310"/>
      <c r="BM296" s="310"/>
      <c r="BN296" s="310"/>
      <c r="BO296" s="310"/>
      <c r="BP296" s="310"/>
      <c r="BQ296" s="310"/>
      <c r="BR296" s="310"/>
      <c r="BS296" s="310"/>
      <c r="BT296" s="310"/>
      <c r="BU296" s="310"/>
      <c r="BV296" s="310"/>
      <c r="BW296" s="310"/>
      <c r="BX296" s="310"/>
      <c r="BY296" s="310"/>
      <c r="BZ296" s="310"/>
      <c r="CA296" s="310"/>
      <c r="CB296" s="310"/>
      <c r="CC296" s="310"/>
      <c r="CD296" s="310"/>
      <c r="CE296" s="310"/>
      <c r="CF296" s="310"/>
      <c r="CG296" s="310"/>
      <c r="CH296" s="310"/>
      <c r="CI296" s="310"/>
      <c r="CJ296" s="310"/>
      <c r="CK296" s="310"/>
      <c r="CL296" s="310"/>
      <c r="CM296" s="310"/>
      <c r="CN296" s="310"/>
      <c r="CO296" s="310"/>
      <c r="CP296" s="310"/>
      <c r="CQ296" s="310"/>
      <c r="CR296" s="310"/>
      <c r="CS296" s="310"/>
      <c r="CT296" s="310"/>
      <c r="CU296" s="310"/>
      <c r="CV296" s="310"/>
      <c r="CW296" s="310"/>
      <c r="CX296" s="310"/>
      <c r="CY296" s="310"/>
      <c r="CZ296" s="310"/>
      <c r="DA296" s="310"/>
      <c r="DB296" s="310"/>
      <c r="DC296" s="310"/>
      <c r="DD296" s="310"/>
      <c r="DE296" s="310"/>
      <c r="DF296" s="310"/>
      <c r="DG296" s="310"/>
      <c r="DH296" s="310"/>
      <c r="DI296" s="310"/>
      <c r="DJ296" s="310"/>
      <c r="DK296" s="310"/>
      <c r="DL296" s="310"/>
      <c r="DM296" s="310"/>
      <c r="DN296" s="310"/>
      <c r="DO296" s="310"/>
      <c r="DP296" s="310"/>
      <c r="DQ296" s="310"/>
      <c r="DR296" s="310"/>
      <c r="DS296" s="310"/>
      <c r="DT296" s="310"/>
      <c r="DU296" s="310"/>
      <c r="DV296" s="310"/>
      <c r="DW296" s="310"/>
      <c r="DX296" s="310"/>
      <c r="DY296" s="310"/>
      <c r="DZ296" s="310"/>
      <c r="EA296" s="310"/>
      <c r="EB296" s="310"/>
      <c r="EC296" s="310"/>
      <c r="ED296" s="310"/>
      <c r="EE296" s="310"/>
      <c r="EF296" s="310"/>
      <c r="EG296" s="310"/>
      <c r="EH296" s="310"/>
      <c r="EI296" s="310"/>
      <c r="EJ296" s="310"/>
      <c r="EK296" s="310"/>
      <c r="EL296" s="310"/>
      <c r="EM296" s="310"/>
      <c r="EN296" s="310"/>
      <c r="EO296" s="310"/>
      <c r="EP296" s="310"/>
      <c r="EQ296" s="310"/>
      <c r="ER296" s="310"/>
      <c r="ES296" s="310"/>
      <c r="ET296" s="310"/>
      <c r="EU296" s="310"/>
      <c r="EV296" s="310"/>
      <c r="EW296" s="310"/>
      <c r="EX296" s="310"/>
      <c r="EY296" s="310"/>
      <c r="EZ296" s="310"/>
      <c r="FA296" s="310"/>
      <c r="FB296" s="310"/>
      <c r="FC296" s="310"/>
      <c r="FD296" s="310"/>
      <c r="FE296" s="311"/>
      <c r="FF296" s="312"/>
    </row>
    <row r="297" spans="1:162" ht="12.75" x14ac:dyDescent="0.2">
      <c r="A297" s="446">
        <v>290</v>
      </c>
      <c r="B297" s="447" t="s">
        <v>463</v>
      </c>
      <c r="C297" s="448" t="s">
        <v>1093</v>
      </c>
      <c r="D297" s="449" t="s">
        <v>1094</v>
      </c>
      <c r="E297" s="450" t="s">
        <v>462</v>
      </c>
      <c r="F297" s="451">
        <v>50110822</v>
      </c>
      <c r="G297" s="451">
        <v>0</v>
      </c>
      <c r="H297" s="451">
        <v>1026065</v>
      </c>
      <c r="I297" s="451">
        <v>51136887</v>
      </c>
      <c r="J297" s="451">
        <v>180439</v>
      </c>
      <c r="K297" s="451">
        <v>0</v>
      </c>
      <c r="L297" s="451">
        <v>0</v>
      </c>
      <c r="M297" s="451">
        <v>180439</v>
      </c>
      <c r="N297" s="451">
        <v>-125700</v>
      </c>
      <c r="O297" s="451">
        <v>0</v>
      </c>
      <c r="P297" s="451">
        <v>0</v>
      </c>
      <c r="Q297" s="451">
        <v>-125700</v>
      </c>
      <c r="R297" s="451">
        <v>1079957</v>
      </c>
      <c r="S297" s="451">
        <v>0</v>
      </c>
      <c r="T297" s="451">
        <v>0</v>
      </c>
      <c r="U297" s="451">
        <v>1079957</v>
      </c>
      <c r="V297" s="451">
        <v>4780830</v>
      </c>
      <c r="W297" s="451">
        <v>0</v>
      </c>
      <c r="X297" s="451">
        <v>0</v>
      </c>
      <c r="Y297" s="451">
        <v>4780830</v>
      </c>
      <c r="Z297" s="451">
        <v>44195296</v>
      </c>
      <c r="AA297" s="451">
        <v>0</v>
      </c>
      <c r="AB297" s="451">
        <v>1026065</v>
      </c>
      <c r="AC297" s="451">
        <v>45221361</v>
      </c>
      <c r="AD297" s="451">
        <v>0</v>
      </c>
      <c r="AE297" s="451">
        <v>0</v>
      </c>
      <c r="AF297" s="451">
        <v>0</v>
      </c>
      <c r="AG297" s="451">
        <v>0</v>
      </c>
      <c r="AH297" s="451">
        <v>0</v>
      </c>
      <c r="AI297" s="451">
        <v>-3316</v>
      </c>
      <c r="AJ297" s="451">
        <v>0</v>
      </c>
      <c r="AK297" s="451">
        <v>1163270</v>
      </c>
      <c r="AL297" s="451">
        <v>0</v>
      </c>
      <c r="AM297" s="451">
        <v>0</v>
      </c>
      <c r="AN297" s="451">
        <v>0</v>
      </c>
      <c r="AO297" s="451">
        <v>1245286</v>
      </c>
      <c r="AP297" s="451">
        <v>331677</v>
      </c>
      <c r="AQ297" s="324"/>
      <c r="AR297" s="310"/>
      <c r="AS297" s="310"/>
      <c r="AT297" s="310"/>
      <c r="AU297" s="310"/>
      <c r="AV297" s="310"/>
      <c r="AW297" s="310"/>
      <c r="AX297" s="310"/>
      <c r="AY297" s="310"/>
      <c r="AZ297" s="310"/>
      <c r="BA297" s="310"/>
      <c r="BB297" s="310"/>
      <c r="BC297" s="310"/>
      <c r="BD297" s="310"/>
      <c r="BE297" s="310"/>
      <c r="BF297" s="310"/>
      <c r="BG297" s="310"/>
      <c r="BH297" s="310"/>
      <c r="BI297" s="310"/>
      <c r="BJ297" s="310"/>
      <c r="BK297" s="310"/>
      <c r="BL297" s="310"/>
      <c r="BM297" s="310"/>
      <c r="BN297" s="310"/>
      <c r="BO297" s="310"/>
      <c r="BP297" s="310"/>
      <c r="BQ297" s="310"/>
      <c r="BR297" s="310"/>
      <c r="BS297" s="310"/>
      <c r="BT297" s="310"/>
      <c r="BU297" s="310"/>
      <c r="BV297" s="310"/>
      <c r="BW297" s="310"/>
      <c r="BX297" s="310"/>
      <c r="BY297" s="310"/>
      <c r="BZ297" s="310"/>
      <c r="CA297" s="310"/>
      <c r="CB297" s="310"/>
      <c r="CC297" s="310"/>
      <c r="CD297" s="310"/>
      <c r="CE297" s="310"/>
      <c r="CF297" s="310"/>
      <c r="CG297" s="310"/>
      <c r="CH297" s="310"/>
      <c r="CI297" s="310"/>
      <c r="CJ297" s="310"/>
      <c r="CK297" s="310"/>
      <c r="CL297" s="310"/>
      <c r="CM297" s="310"/>
      <c r="CN297" s="310"/>
      <c r="CO297" s="310"/>
      <c r="CP297" s="310"/>
      <c r="CQ297" s="310"/>
      <c r="CR297" s="310"/>
      <c r="CS297" s="310"/>
      <c r="CT297" s="310"/>
      <c r="CU297" s="310"/>
      <c r="CV297" s="310"/>
      <c r="CW297" s="310"/>
      <c r="CX297" s="310"/>
      <c r="CY297" s="310"/>
      <c r="CZ297" s="310"/>
      <c r="DA297" s="310"/>
      <c r="DB297" s="310"/>
      <c r="DC297" s="310"/>
      <c r="DD297" s="310"/>
      <c r="DE297" s="310"/>
      <c r="DF297" s="310"/>
      <c r="DG297" s="310"/>
      <c r="DH297" s="310"/>
      <c r="DI297" s="310"/>
      <c r="DJ297" s="310"/>
      <c r="DK297" s="310"/>
      <c r="DL297" s="310"/>
      <c r="DM297" s="310"/>
      <c r="DN297" s="310"/>
      <c r="DO297" s="310"/>
      <c r="DP297" s="310"/>
      <c r="DQ297" s="310"/>
      <c r="DR297" s="310"/>
      <c r="DS297" s="310"/>
      <c r="DT297" s="310"/>
      <c r="DU297" s="310"/>
      <c r="DV297" s="310"/>
      <c r="DW297" s="310"/>
      <c r="DX297" s="310"/>
      <c r="DY297" s="310"/>
      <c r="DZ297" s="310"/>
      <c r="EA297" s="310"/>
      <c r="EB297" s="310"/>
      <c r="EC297" s="310"/>
      <c r="ED297" s="310"/>
      <c r="EE297" s="310"/>
      <c r="EF297" s="310"/>
      <c r="EG297" s="310"/>
      <c r="EH297" s="310"/>
      <c r="EI297" s="310"/>
      <c r="EJ297" s="310"/>
      <c r="EK297" s="310"/>
      <c r="EL297" s="310"/>
      <c r="EM297" s="310"/>
      <c r="EN297" s="310"/>
      <c r="EO297" s="310"/>
      <c r="EP297" s="310"/>
      <c r="EQ297" s="310"/>
      <c r="ER297" s="310"/>
      <c r="ES297" s="310"/>
      <c r="ET297" s="310"/>
      <c r="EU297" s="310"/>
      <c r="EV297" s="310"/>
      <c r="EW297" s="310"/>
      <c r="EX297" s="310"/>
      <c r="EY297" s="310"/>
      <c r="EZ297" s="310"/>
      <c r="FA297" s="310"/>
      <c r="FB297" s="310"/>
      <c r="FC297" s="310"/>
      <c r="FD297" s="310"/>
      <c r="FE297" s="311"/>
      <c r="FF297" s="312"/>
    </row>
    <row r="298" spans="1:162" ht="12.75" x14ac:dyDescent="0.2">
      <c r="A298" s="446">
        <v>291</v>
      </c>
      <c r="B298" s="447" t="s">
        <v>465</v>
      </c>
      <c r="C298" s="448" t="s">
        <v>1100</v>
      </c>
      <c r="D298" s="449" t="s">
        <v>1101</v>
      </c>
      <c r="E298" s="450" t="s">
        <v>464</v>
      </c>
      <c r="F298" s="451">
        <v>118963083</v>
      </c>
      <c r="G298" s="451">
        <v>0</v>
      </c>
      <c r="H298" s="451">
        <v>0</v>
      </c>
      <c r="I298" s="451">
        <v>118963083</v>
      </c>
      <c r="J298" s="451">
        <v>1206812.51</v>
      </c>
      <c r="K298" s="451">
        <v>0</v>
      </c>
      <c r="L298" s="451">
        <v>0</v>
      </c>
      <c r="M298" s="451">
        <v>1206812.51</v>
      </c>
      <c r="N298" s="451">
        <v>-384536.02</v>
      </c>
      <c r="O298" s="451">
        <v>0</v>
      </c>
      <c r="P298" s="451">
        <v>0</v>
      </c>
      <c r="Q298" s="451">
        <v>-384536.02</v>
      </c>
      <c r="R298" s="451">
        <v>1118165</v>
      </c>
      <c r="S298" s="451">
        <v>0</v>
      </c>
      <c r="T298" s="451">
        <v>0</v>
      </c>
      <c r="U298" s="451">
        <v>1118165</v>
      </c>
      <c r="V298" s="451">
        <v>3204871</v>
      </c>
      <c r="W298" s="451">
        <v>0</v>
      </c>
      <c r="X298" s="451">
        <v>0</v>
      </c>
      <c r="Y298" s="451">
        <v>3204871</v>
      </c>
      <c r="Z298" s="451">
        <v>113817771</v>
      </c>
      <c r="AA298" s="451">
        <v>0</v>
      </c>
      <c r="AB298" s="451">
        <v>0</v>
      </c>
      <c r="AC298" s="451">
        <v>113817771</v>
      </c>
      <c r="AD298" s="451">
        <v>0</v>
      </c>
      <c r="AE298" s="451">
        <v>0</v>
      </c>
      <c r="AF298" s="451">
        <v>0</v>
      </c>
      <c r="AG298" s="451">
        <v>0</v>
      </c>
      <c r="AH298" s="451">
        <v>0</v>
      </c>
      <c r="AI298" s="451">
        <v>0</v>
      </c>
      <c r="AJ298" s="451">
        <v>0</v>
      </c>
      <c r="AK298" s="451">
        <v>0</v>
      </c>
      <c r="AL298" s="451">
        <v>0</v>
      </c>
      <c r="AM298" s="451">
        <v>0</v>
      </c>
      <c r="AN298" s="451">
        <v>0</v>
      </c>
      <c r="AO298" s="451">
        <v>1644829.43</v>
      </c>
      <c r="AP298" s="451">
        <v>1068862.53</v>
      </c>
      <c r="AQ298" s="324"/>
      <c r="AR298" s="310"/>
      <c r="AS298" s="310"/>
      <c r="AT298" s="310"/>
      <c r="AU298" s="310"/>
      <c r="AV298" s="310"/>
      <c r="AW298" s="310"/>
      <c r="AX298" s="310"/>
      <c r="AY298" s="310"/>
      <c r="AZ298" s="310"/>
      <c r="BA298" s="310"/>
      <c r="BB298" s="310"/>
      <c r="BC298" s="310"/>
      <c r="BD298" s="310"/>
      <c r="BE298" s="310"/>
      <c r="BF298" s="310"/>
      <c r="BG298" s="310"/>
      <c r="BH298" s="310"/>
      <c r="BI298" s="310"/>
      <c r="BJ298" s="310"/>
      <c r="BK298" s="310"/>
      <c r="BL298" s="310"/>
      <c r="BM298" s="310"/>
      <c r="BN298" s="310"/>
      <c r="BO298" s="310"/>
      <c r="BP298" s="310"/>
      <c r="BQ298" s="310"/>
      <c r="BR298" s="310"/>
      <c r="BS298" s="310"/>
      <c r="BT298" s="310"/>
      <c r="BU298" s="310"/>
      <c r="BV298" s="310"/>
      <c r="BW298" s="310"/>
      <c r="BX298" s="310"/>
      <c r="BY298" s="310"/>
      <c r="BZ298" s="310"/>
      <c r="CA298" s="310"/>
      <c r="CB298" s="310"/>
      <c r="CC298" s="310"/>
      <c r="CD298" s="310"/>
      <c r="CE298" s="310"/>
      <c r="CF298" s="310"/>
      <c r="CG298" s="310"/>
      <c r="CH298" s="310"/>
      <c r="CI298" s="310"/>
      <c r="CJ298" s="310"/>
      <c r="CK298" s="310"/>
      <c r="CL298" s="310"/>
      <c r="CM298" s="310"/>
      <c r="CN298" s="310"/>
      <c r="CO298" s="310"/>
      <c r="CP298" s="310"/>
      <c r="CQ298" s="310"/>
      <c r="CR298" s="310"/>
      <c r="CS298" s="310"/>
      <c r="CT298" s="310"/>
      <c r="CU298" s="310"/>
      <c r="CV298" s="310"/>
      <c r="CW298" s="310"/>
      <c r="CX298" s="310"/>
      <c r="CY298" s="310"/>
      <c r="CZ298" s="310"/>
      <c r="DA298" s="310"/>
      <c r="DB298" s="310"/>
      <c r="DC298" s="310"/>
      <c r="DD298" s="310"/>
      <c r="DE298" s="310"/>
      <c r="DF298" s="310"/>
      <c r="DG298" s="310"/>
      <c r="DH298" s="310"/>
      <c r="DI298" s="310"/>
      <c r="DJ298" s="310"/>
      <c r="DK298" s="310"/>
      <c r="DL298" s="310"/>
      <c r="DM298" s="310"/>
      <c r="DN298" s="310"/>
      <c r="DO298" s="310"/>
      <c r="DP298" s="310"/>
      <c r="DQ298" s="310"/>
      <c r="DR298" s="310"/>
      <c r="DS298" s="310"/>
      <c r="DT298" s="310"/>
      <c r="DU298" s="310"/>
      <c r="DV298" s="310"/>
      <c r="DW298" s="310"/>
      <c r="DX298" s="310"/>
      <c r="DY298" s="310"/>
      <c r="DZ298" s="310"/>
      <c r="EA298" s="310"/>
      <c r="EB298" s="310"/>
      <c r="EC298" s="310"/>
      <c r="ED298" s="310"/>
      <c r="EE298" s="310"/>
      <c r="EF298" s="310"/>
      <c r="EG298" s="310"/>
      <c r="EH298" s="310"/>
      <c r="EI298" s="310"/>
      <c r="EJ298" s="310"/>
      <c r="EK298" s="310"/>
      <c r="EL298" s="310"/>
      <c r="EM298" s="310"/>
      <c r="EN298" s="310"/>
      <c r="EO298" s="310"/>
      <c r="EP298" s="310"/>
      <c r="EQ298" s="310"/>
      <c r="ER298" s="310"/>
      <c r="ES298" s="310"/>
      <c r="ET298" s="310"/>
      <c r="EU298" s="310"/>
      <c r="EV298" s="310"/>
      <c r="EW298" s="310"/>
      <c r="EX298" s="310"/>
      <c r="EY298" s="310"/>
      <c r="EZ298" s="310"/>
      <c r="FA298" s="310"/>
      <c r="FB298" s="310"/>
      <c r="FC298" s="310"/>
      <c r="FD298" s="310"/>
      <c r="FE298" s="311"/>
      <c r="FF298" s="312"/>
    </row>
    <row r="299" spans="1:162" ht="12.75" x14ac:dyDescent="0.2">
      <c r="A299" s="446">
        <v>292</v>
      </c>
      <c r="B299" s="447" t="s">
        <v>467</v>
      </c>
      <c r="C299" s="448" t="s">
        <v>1100</v>
      </c>
      <c r="D299" s="449" t="s">
        <v>1103</v>
      </c>
      <c r="E299" s="450" t="s">
        <v>466</v>
      </c>
      <c r="F299" s="451">
        <v>69352594</v>
      </c>
      <c r="G299" s="451">
        <v>0</v>
      </c>
      <c r="H299" s="451">
        <v>199910</v>
      </c>
      <c r="I299" s="451">
        <v>69552504</v>
      </c>
      <c r="J299" s="451">
        <v>923599</v>
      </c>
      <c r="K299" s="451">
        <v>0</v>
      </c>
      <c r="L299" s="451">
        <v>0</v>
      </c>
      <c r="M299" s="451">
        <v>923599</v>
      </c>
      <c r="N299" s="451">
        <v>190295</v>
      </c>
      <c r="O299" s="451">
        <v>0</v>
      </c>
      <c r="P299" s="451">
        <v>0</v>
      </c>
      <c r="Q299" s="451">
        <v>190295</v>
      </c>
      <c r="R299" s="451">
        <v>1015075</v>
      </c>
      <c r="S299" s="451">
        <v>0</v>
      </c>
      <c r="T299" s="451">
        <v>0</v>
      </c>
      <c r="U299" s="451">
        <v>1015075</v>
      </c>
      <c r="V299" s="451">
        <v>2812469</v>
      </c>
      <c r="W299" s="451">
        <v>0</v>
      </c>
      <c r="X299" s="451">
        <v>0</v>
      </c>
      <c r="Y299" s="451">
        <v>2812469</v>
      </c>
      <c r="Z299" s="451">
        <v>64411156</v>
      </c>
      <c r="AA299" s="451">
        <v>0</v>
      </c>
      <c r="AB299" s="451">
        <v>199910</v>
      </c>
      <c r="AC299" s="451">
        <v>64611066</v>
      </c>
      <c r="AD299" s="451">
        <v>0</v>
      </c>
      <c r="AE299" s="451">
        <v>0</v>
      </c>
      <c r="AF299" s="451">
        <v>0</v>
      </c>
      <c r="AG299" s="451">
        <v>0</v>
      </c>
      <c r="AH299" s="451">
        <v>0</v>
      </c>
      <c r="AI299" s="451">
        <v>0</v>
      </c>
      <c r="AJ299" s="451">
        <v>0</v>
      </c>
      <c r="AK299" s="451">
        <v>169244</v>
      </c>
      <c r="AL299" s="451">
        <v>0</v>
      </c>
      <c r="AM299" s="451">
        <v>30666</v>
      </c>
      <c r="AN299" s="451">
        <v>0</v>
      </c>
      <c r="AO299" s="451">
        <v>6173254</v>
      </c>
      <c r="AP299" s="451">
        <v>1509215</v>
      </c>
      <c r="AQ299" s="324"/>
      <c r="AR299" s="310"/>
      <c r="AS299" s="310"/>
      <c r="AT299" s="310"/>
      <c r="AU299" s="310"/>
      <c r="AV299" s="310"/>
      <c r="AW299" s="310"/>
      <c r="AX299" s="310"/>
      <c r="AY299" s="310"/>
      <c r="AZ299" s="310"/>
      <c r="BA299" s="310"/>
      <c r="BB299" s="310"/>
      <c r="BC299" s="310"/>
      <c r="BD299" s="310"/>
      <c r="BE299" s="310"/>
      <c r="BF299" s="310"/>
      <c r="BG299" s="310"/>
      <c r="BH299" s="310"/>
      <c r="BI299" s="310"/>
      <c r="BJ299" s="310"/>
      <c r="BK299" s="310"/>
      <c r="BL299" s="310"/>
      <c r="BM299" s="310"/>
      <c r="BN299" s="310"/>
      <c r="BO299" s="310"/>
      <c r="BP299" s="310"/>
      <c r="BQ299" s="310"/>
      <c r="BR299" s="310"/>
      <c r="BS299" s="310"/>
      <c r="BT299" s="310"/>
      <c r="BU299" s="310"/>
      <c r="BV299" s="310"/>
      <c r="BW299" s="310"/>
      <c r="BX299" s="310"/>
      <c r="BY299" s="310"/>
      <c r="BZ299" s="310"/>
      <c r="CA299" s="310"/>
      <c r="CB299" s="310"/>
      <c r="CC299" s="310"/>
      <c r="CD299" s="310"/>
      <c r="CE299" s="310"/>
      <c r="CF299" s="310"/>
      <c r="CG299" s="310"/>
      <c r="CH299" s="310"/>
      <c r="CI299" s="310"/>
      <c r="CJ299" s="310"/>
      <c r="CK299" s="310"/>
      <c r="CL299" s="310"/>
      <c r="CM299" s="310"/>
      <c r="CN299" s="310"/>
      <c r="CO299" s="310"/>
      <c r="CP299" s="310"/>
      <c r="CQ299" s="310"/>
      <c r="CR299" s="310"/>
      <c r="CS299" s="310"/>
      <c r="CT299" s="310"/>
      <c r="CU299" s="310"/>
      <c r="CV299" s="310"/>
      <c r="CW299" s="310"/>
      <c r="CX299" s="310"/>
      <c r="CY299" s="310"/>
      <c r="CZ299" s="310"/>
      <c r="DA299" s="310"/>
      <c r="DB299" s="310"/>
      <c r="DC299" s="310"/>
      <c r="DD299" s="310"/>
      <c r="DE299" s="310"/>
      <c r="DF299" s="310"/>
      <c r="DG299" s="310"/>
      <c r="DH299" s="310"/>
      <c r="DI299" s="310"/>
      <c r="DJ299" s="310"/>
      <c r="DK299" s="310"/>
      <c r="DL299" s="310"/>
      <c r="DM299" s="310"/>
      <c r="DN299" s="310"/>
      <c r="DO299" s="310"/>
      <c r="DP299" s="310"/>
      <c r="DQ299" s="310"/>
      <c r="DR299" s="310"/>
      <c r="DS299" s="310"/>
      <c r="DT299" s="310"/>
      <c r="DU299" s="310"/>
      <c r="DV299" s="310"/>
      <c r="DW299" s="310"/>
      <c r="DX299" s="310"/>
      <c r="DY299" s="310"/>
      <c r="DZ299" s="310"/>
      <c r="EA299" s="310"/>
      <c r="EB299" s="310"/>
      <c r="EC299" s="310"/>
      <c r="ED299" s="310"/>
      <c r="EE299" s="310"/>
      <c r="EF299" s="310"/>
      <c r="EG299" s="310"/>
      <c r="EH299" s="310"/>
      <c r="EI299" s="310"/>
      <c r="EJ299" s="310"/>
      <c r="EK299" s="310"/>
      <c r="EL299" s="310"/>
      <c r="EM299" s="310"/>
      <c r="EN299" s="310"/>
      <c r="EO299" s="310"/>
      <c r="EP299" s="310"/>
      <c r="EQ299" s="310"/>
      <c r="ER299" s="310"/>
      <c r="ES299" s="310"/>
      <c r="ET299" s="310"/>
      <c r="EU299" s="310"/>
      <c r="EV299" s="310"/>
      <c r="EW299" s="310"/>
      <c r="EX299" s="310"/>
      <c r="EY299" s="310"/>
      <c r="EZ299" s="310"/>
      <c r="FA299" s="310"/>
      <c r="FB299" s="310"/>
      <c r="FC299" s="310"/>
      <c r="FD299" s="310"/>
      <c r="FE299" s="311"/>
      <c r="FF299" s="312"/>
    </row>
    <row r="300" spans="1:162" ht="12.75" x14ac:dyDescent="0.2">
      <c r="A300" s="446">
        <v>293</v>
      </c>
      <c r="B300" s="447" t="s">
        <v>469</v>
      </c>
      <c r="C300" s="448" t="s">
        <v>1098</v>
      </c>
      <c r="D300" s="449" t="s">
        <v>1099</v>
      </c>
      <c r="E300" s="450" t="s">
        <v>468</v>
      </c>
      <c r="F300" s="451">
        <v>57786871</v>
      </c>
      <c r="G300" s="451">
        <v>0</v>
      </c>
      <c r="H300" s="451">
        <v>0</v>
      </c>
      <c r="I300" s="451">
        <v>57786871</v>
      </c>
      <c r="J300" s="451">
        <v>1080835</v>
      </c>
      <c r="K300" s="451">
        <v>0</v>
      </c>
      <c r="L300" s="451">
        <v>0</v>
      </c>
      <c r="M300" s="451">
        <v>1080835</v>
      </c>
      <c r="N300" s="451">
        <v>1065587</v>
      </c>
      <c r="O300" s="451">
        <v>0</v>
      </c>
      <c r="P300" s="451">
        <v>0</v>
      </c>
      <c r="Q300" s="451">
        <v>1065587</v>
      </c>
      <c r="R300" s="451">
        <v>489314</v>
      </c>
      <c r="S300" s="451">
        <v>0</v>
      </c>
      <c r="T300" s="451">
        <v>0</v>
      </c>
      <c r="U300" s="451">
        <v>489314</v>
      </c>
      <c r="V300" s="451">
        <v>472814</v>
      </c>
      <c r="W300" s="451">
        <v>0</v>
      </c>
      <c r="X300" s="451">
        <v>0</v>
      </c>
      <c r="Y300" s="451">
        <v>472814</v>
      </c>
      <c r="Z300" s="451">
        <v>54678321</v>
      </c>
      <c r="AA300" s="451">
        <v>0</v>
      </c>
      <c r="AB300" s="451">
        <v>0</v>
      </c>
      <c r="AC300" s="451">
        <v>54678321</v>
      </c>
      <c r="AD300" s="451">
        <v>0</v>
      </c>
      <c r="AE300" s="451">
        <v>0</v>
      </c>
      <c r="AF300" s="451">
        <v>0</v>
      </c>
      <c r="AG300" s="451">
        <v>0</v>
      </c>
      <c r="AH300" s="451">
        <v>0</v>
      </c>
      <c r="AI300" s="451">
        <v>0</v>
      </c>
      <c r="AJ300" s="451">
        <v>0</v>
      </c>
      <c r="AK300" s="451">
        <v>0</v>
      </c>
      <c r="AL300" s="451">
        <v>0</v>
      </c>
      <c r="AM300" s="451">
        <v>0</v>
      </c>
      <c r="AN300" s="451">
        <v>0</v>
      </c>
      <c r="AO300" s="451">
        <v>6494083</v>
      </c>
      <c r="AP300" s="451">
        <v>1756694</v>
      </c>
      <c r="AQ300" s="324"/>
      <c r="AR300" s="310"/>
      <c r="AS300" s="310"/>
      <c r="AT300" s="310"/>
      <c r="AU300" s="310"/>
      <c r="AV300" s="310"/>
      <c r="AW300" s="310"/>
      <c r="AX300" s="310"/>
      <c r="AY300" s="310"/>
      <c r="AZ300" s="310"/>
      <c r="BA300" s="310"/>
      <c r="BB300" s="310"/>
      <c r="BC300" s="310"/>
      <c r="BD300" s="310"/>
      <c r="BE300" s="310"/>
      <c r="BF300" s="310"/>
      <c r="BG300" s="310"/>
      <c r="BH300" s="310"/>
      <c r="BI300" s="310"/>
      <c r="BJ300" s="310"/>
      <c r="BK300" s="310"/>
      <c r="BL300" s="310"/>
      <c r="BM300" s="310"/>
      <c r="BN300" s="310"/>
      <c r="BO300" s="310"/>
      <c r="BP300" s="310"/>
      <c r="BQ300" s="310"/>
      <c r="BR300" s="310"/>
      <c r="BS300" s="310"/>
      <c r="BT300" s="310"/>
      <c r="BU300" s="310"/>
      <c r="BV300" s="310"/>
      <c r="BW300" s="310"/>
      <c r="BX300" s="310"/>
      <c r="BY300" s="310"/>
      <c r="BZ300" s="310"/>
      <c r="CA300" s="310"/>
      <c r="CB300" s="310"/>
      <c r="CC300" s="310"/>
      <c r="CD300" s="310"/>
      <c r="CE300" s="310"/>
      <c r="CF300" s="310"/>
      <c r="CG300" s="310"/>
      <c r="CH300" s="310"/>
      <c r="CI300" s="310"/>
      <c r="CJ300" s="310"/>
      <c r="CK300" s="310"/>
      <c r="CL300" s="310"/>
      <c r="CM300" s="310"/>
      <c r="CN300" s="310"/>
      <c r="CO300" s="310"/>
      <c r="CP300" s="310"/>
      <c r="CQ300" s="310"/>
      <c r="CR300" s="310"/>
      <c r="CS300" s="310"/>
      <c r="CT300" s="310"/>
      <c r="CU300" s="310"/>
      <c r="CV300" s="310"/>
      <c r="CW300" s="310"/>
      <c r="CX300" s="310"/>
      <c r="CY300" s="310"/>
      <c r="CZ300" s="310"/>
      <c r="DA300" s="310"/>
      <c r="DB300" s="310"/>
      <c r="DC300" s="310"/>
      <c r="DD300" s="310"/>
      <c r="DE300" s="310"/>
      <c r="DF300" s="310"/>
      <c r="DG300" s="310"/>
      <c r="DH300" s="310"/>
      <c r="DI300" s="310"/>
      <c r="DJ300" s="310"/>
      <c r="DK300" s="310"/>
      <c r="DL300" s="310"/>
      <c r="DM300" s="310"/>
      <c r="DN300" s="310"/>
      <c r="DO300" s="310"/>
      <c r="DP300" s="310"/>
      <c r="DQ300" s="310"/>
      <c r="DR300" s="310"/>
      <c r="DS300" s="310"/>
      <c r="DT300" s="310"/>
      <c r="DU300" s="310"/>
      <c r="DV300" s="310"/>
      <c r="DW300" s="310"/>
      <c r="DX300" s="310"/>
      <c r="DY300" s="310"/>
      <c r="DZ300" s="310"/>
      <c r="EA300" s="310"/>
      <c r="EB300" s="310"/>
      <c r="EC300" s="310"/>
      <c r="ED300" s="310"/>
      <c r="EE300" s="310"/>
      <c r="EF300" s="310"/>
      <c r="EG300" s="310"/>
      <c r="EH300" s="310"/>
      <c r="EI300" s="310"/>
      <c r="EJ300" s="310"/>
      <c r="EK300" s="310"/>
      <c r="EL300" s="310"/>
      <c r="EM300" s="310"/>
      <c r="EN300" s="310"/>
      <c r="EO300" s="310"/>
      <c r="EP300" s="310"/>
      <c r="EQ300" s="310"/>
      <c r="ER300" s="310"/>
      <c r="ES300" s="310"/>
      <c r="ET300" s="310"/>
      <c r="EU300" s="310"/>
      <c r="EV300" s="310"/>
      <c r="EW300" s="310"/>
      <c r="EX300" s="310"/>
      <c r="EY300" s="310"/>
      <c r="EZ300" s="310"/>
      <c r="FA300" s="310"/>
      <c r="FB300" s="310"/>
      <c r="FC300" s="310"/>
      <c r="FD300" s="310"/>
      <c r="FE300" s="311"/>
      <c r="FF300" s="312"/>
    </row>
    <row r="301" spans="1:162" ht="12.75" x14ac:dyDescent="0.2">
      <c r="A301" s="446">
        <v>294</v>
      </c>
      <c r="B301" s="447" t="s">
        <v>471</v>
      </c>
      <c r="C301" s="448" t="s">
        <v>1104</v>
      </c>
      <c r="D301" s="449" t="s">
        <v>1099</v>
      </c>
      <c r="E301" s="450" t="s">
        <v>470</v>
      </c>
      <c r="F301" s="451">
        <v>103055665</v>
      </c>
      <c r="G301" s="451">
        <v>0</v>
      </c>
      <c r="H301" s="451">
        <v>0</v>
      </c>
      <c r="I301" s="451">
        <v>103055665</v>
      </c>
      <c r="J301" s="451">
        <v>917486</v>
      </c>
      <c r="K301" s="451">
        <v>0</v>
      </c>
      <c r="L301" s="451">
        <v>0</v>
      </c>
      <c r="M301" s="451">
        <v>917486</v>
      </c>
      <c r="N301" s="451">
        <v>493000</v>
      </c>
      <c r="O301" s="451">
        <v>0</v>
      </c>
      <c r="P301" s="451">
        <v>0</v>
      </c>
      <c r="Q301" s="451">
        <v>493000</v>
      </c>
      <c r="R301" s="451">
        <v>1471867</v>
      </c>
      <c r="S301" s="451">
        <v>0</v>
      </c>
      <c r="T301" s="451">
        <v>0</v>
      </c>
      <c r="U301" s="451">
        <v>1471867</v>
      </c>
      <c r="V301" s="451">
        <v>4442612</v>
      </c>
      <c r="W301" s="451">
        <v>0</v>
      </c>
      <c r="X301" s="451">
        <v>0</v>
      </c>
      <c r="Y301" s="451">
        <v>4442612</v>
      </c>
      <c r="Z301" s="451">
        <v>95730700</v>
      </c>
      <c r="AA301" s="451">
        <v>0</v>
      </c>
      <c r="AB301" s="451">
        <v>0</v>
      </c>
      <c r="AC301" s="451">
        <v>95730700</v>
      </c>
      <c r="AD301" s="451">
        <v>0</v>
      </c>
      <c r="AE301" s="451">
        <v>0</v>
      </c>
      <c r="AF301" s="451">
        <v>0</v>
      </c>
      <c r="AG301" s="451">
        <v>0</v>
      </c>
      <c r="AH301" s="451">
        <v>0</v>
      </c>
      <c r="AI301" s="451">
        <v>0</v>
      </c>
      <c r="AJ301" s="451">
        <v>0</v>
      </c>
      <c r="AK301" s="451">
        <v>0</v>
      </c>
      <c r="AL301" s="451">
        <v>0</v>
      </c>
      <c r="AM301" s="451">
        <v>0</v>
      </c>
      <c r="AN301" s="451">
        <v>0</v>
      </c>
      <c r="AO301" s="451">
        <v>3845349</v>
      </c>
      <c r="AP301" s="451">
        <v>1338189</v>
      </c>
      <c r="AQ301" s="324"/>
      <c r="AR301" s="310"/>
      <c r="AS301" s="310"/>
      <c r="AT301" s="310"/>
      <c r="AU301" s="310"/>
      <c r="AV301" s="310"/>
      <c r="AW301" s="310"/>
      <c r="AX301" s="310"/>
      <c r="AY301" s="310"/>
      <c r="AZ301" s="310"/>
      <c r="BA301" s="310"/>
      <c r="BB301" s="310"/>
      <c r="BC301" s="310"/>
      <c r="BD301" s="310"/>
      <c r="BE301" s="310"/>
      <c r="BF301" s="310"/>
      <c r="BG301" s="310"/>
      <c r="BH301" s="310"/>
      <c r="BI301" s="310"/>
      <c r="BJ301" s="310"/>
      <c r="BK301" s="310"/>
      <c r="BL301" s="310"/>
      <c r="BM301" s="310"/>
      <c r="BN301" s="310"/>
      <c r="BO301" s="310"/>
      <c r="BP301" s="310"/>
      <c r="BQ301" s="310"/>
      <c r="BR301" s="310"/>
      <c r="BS301" s="310"/>
      <c r="BT301" s="310"/>
      <c r="BU301" s="310"/>
      <c r="BV301" s="310"/>
      <c r="BW301" s="310"/>
      <c r="BX301" s="310"/>
      <c r="BY301" s="310"/>
      <c r="BZ301" s="310"/>
      <c r="CA301" s="310"/>
      <c r="CB301" s="310"/>
      <c r="CC301" s="310"/>
      <c r="CD301" s="310"/>
      <c r="CE301" s="310"/>
      <c r="CF301" s="310"/>
      <c r="CG301" s="310"/>
      <c r="CH301" s="310"/>
      <c r="CI301" s="310"/>
      <c r="CJ301" s="310"/>
      <c r="CK301" s="310"/>
      <c r="CL301" s="310"/>
      <c r="CM301" s="310"/>
      <c r="CN301" s="310"/>
      <c r="CO301" s="310"/>
      <c r="CP301" s="310"/>
      <c r="CQ301" s="310"/>
      <c r="CR301" s="310"/>
      <c r="CS301" s="310"/>
      <c r="CT301" s="310"/>
      <c r="CU301" s="310"/>
      <c r="CV301" s="310"/>
      <c r="CW301" s="310"/>
      <c r="CX301" s="310"/>
      <c r="CY301" s="310"/>
      <c r="CZ301" s="310"/>
      <c r="DA301" s="310"/>
      <c r="DB301" s="310"/>
      <c r="DC301" s="310"/>
      <c r="DD301" s="310"/>
      <c r="DE301" s="310"/>
      <c r="DF301" s="310"/>
      <c r="DG301" s="310"/>
      <c r="DH301" s="310"/>
      <c r="DI301" s="310"/>
      <c r="DJ301" s="310"/>
      <c r="DK301" s="310"/>
      <c r="DL301" s="310"/>
      <c r="DM301" s="310"/>
      <c r="DN301" s="310"/>
      <c r="DO301" s="310"/>
      <c r="DP301" s="310"/>
      <c r="DQ301" s="310"/>
      <c r="DR301" s="310"/>
      <c r="DS301" s="310"/>
      <c r="DT301" s="310"/>
      <c r="DU301" s="310"/>
      <c r="DV301" s="310"/>
      <c r="DW301" s="310"/>
      <c r="DX301" s="310"/>
      <c r="DY301" s="310"/>
      <c r="DZ301" s="310"/>
      <c r="EA301" s="310"/>
      <c r="EB301" s="310"/>
      <c r="EC301" s="310"/>
      <c r="ED301" s="310"/>
      <c r="EE301" s="310"/>
      <c r="EF301" s="310"/>
      <c r="EG301" s="310"/>
      <c r="EH301" s="310"/>
      <c r="EI301" s="310"/>
      <c r="EJ301" s="310"/>
      <c r="EK301" s="310"/>
      <c r="EL301" s="310"/>
      <c r="EM301" s="310"/>
      <c r="EN301" s="310"/>
      <c r="EO301" s="310"/>
      <c r="EP301" s="310"/>
      <c r="EQ301" s="310"/>
      <c r="ER301" s="310"/>
      <c r="ES301" s="310"/>
      <c r="ET301" s="310"/>
      <c r="EU301" s="310"/>
      <c r="EV301" s="310"/>
      <c r="EW301" s="310"/>
      <c r="EX301" s="310"/>
      <c r="EY301" s="310"/>
      <c r="EZ301" s="310"/>
      <c r="FA301" s="310"/>
      <c r="FB301" s="310"/>
      <c r="FC301" s="310"/>
      <c r="FD301" s="310"/>
      <c r="FE301" s="311"/>
      <c r="FF301" s="312"/>
    </row>
    <row r="302" spans="1:162" ht="12.75" x14ac:dyDescent="0.2">
      <c r="A302" s="446">
        <v>295</v>
      </c>
      <c r="B302" s="447" t="s">
        <v>473</v>
      </c>
      <c r="C302" s="448" t="s">
        <v>794</v>
      </c>
      <c r="D302" s="449" t="s">
        <v>1095</v>
      </c>
      <c r="E302" s="450" t="s">
        <v>754</v>
      </c>
      <c r="F302" s="451">
        <v>104789605</v>
      </c>
      <c r="G302" s="451">
        <v>0</v>
      </c>
      <c r="H302" s="451">
        <v>0</v>
      </c>
      <c r="I302" s="451">
        <v>104789605</v>
      </c>
      <c r="J302" s="451">
        <v>7263.18</v>
      </c>
      <c r="K302" s="451">
        <v>0</v>
      </c>
      <c r="L302" s="451">
        <v>0</v>
      </c>
      <c r="M302" s="451">
        <v>7263.18</v>
      </c>
      <c r="N302" s="451">
        <v>2671780.09</v>
      </c>
      <c r="O302" s="451">
        <v>0</v>
      </c>
      <c r="P302" s="451">
        <v>0</v>
      </c>
      <c r="Q302" s="451">
        <v>2671780.09</v>
      </c>
      <c r="R302" s="451">
        <v>0</v>
      </c>
      <c r="S302" s="451">
        <v>0</v>
      </c>
      <c r="T302" s="451">
        <v>0</v>
      </c>
      <c r="U302" s="451">
        <v>0</v>
      </c>
      <c r="V302" s="451">
        <v>4130185</v>
      </c>
      <c r="W302" s="451">
        <v>0</v>
      </c>
      <c r="X302" s="451">
        <v>0</v>
      </c>
      <c r="Y302" s="451">
        <v>4130185</v>
      </c>
      <c r="Z302" s="451">
        <v>97980377</v>
      </c>
      <c r="AA302" s="451">
        <v>0</v>
      </c>
      <c r="AB302" s="451">
        <v>0</v>
      </c>
      <c r="AC302" s="451">
        <v>97980377</v>
      </c>
      <c r="AD302" s="451">
        <v>0</v>
      </c>
      <c r="AE302" s="451">
        <v>0</v>
      </c>
      <c r="AF302" s="451">
        <v>0</v>
      </c>
      <c r="AG302" s="451">
        <v>0</v>
      </c>
      <c r="AH302" s="451">
        <v>0</v>
      </c>
      <c r="AI302" s="451">
        <v>0</v>
      </c>
      <c r="AJ302" s="451">
        <v>0</v>
      </c>
      <c r="AK302" s="451">
        <v>0</v>
      </c>
      <c r="AL302" s="451">
        <v>0</v>
      </c>
      <c r="AM302" s="451">
        <v>0</v>
      </c>
      <c r="AN302" s="451">
        <v>0</v>
      </c>
      <c r="AO302" s="451">
        <v>10939253.699999999</v>
      </c>
      <c r="AP302" s="451">
        <v>-1547612.4</v>
      </c>
      <c r="AQ302" s="324"/>
      <c r="AR302" s="310"/>
      <c r="AS302" s="310"/>
      <c r="AT302" s="310"/>
      <c r="AU302" s="310"/>
      <c r="AV302" s="310"/>
      <c r="AW302" s="310"/>
      <c r="AX302" s="310"/>
      <c r="AY302" s="310"/>
      <c r="AZ302" s="310"/>
      <c r="BA302" s="310"/>
      <c r="BB302" s="310"/>
      <c r="BC302" s="310"/>
      <c r="BD302" s="310"/>
      <c r="BE302" s="310"/>
      <c r="BF302" s="310"/>
      <c r="BG302" s="310"/>
      <c r="BH302" s="310"/>
      <c r="BI302" s="310"/>
      <c r="BJ302" s="310"/>
      <c r="BK302" s="310"/>
      <c r="BL302" s="310"/>
      <c r="BM302" s="310"/>
      <c r="BN302" s="310"/>
      <c r="BO302" s="310"/>
      <c r="BP302" s="310"/>
      <c r="BQ302" s="310"/>
      <c r="BR302" s="310"/>
      <c r="BS302" s="310"/>
      <c r="BT302" s="310"/>
      <c r="BU302" s="310"/>
      <c r="BV302" s="310"/>
      <c r="BW302" s="310"/>
      <c r="BX302" s="310"/>
      <c r="BY302" s="310"/>
      <c r="BZ302" s="310"/>
      <c r="CA302" s="310"/>
      <c r="CB302" s="310"/>
      <c r="CC302" s="310"/>
      <c r="CD302" s="310"/>
      <c r="CE302" s="310"/>
      <c r="CF302" s="310"/>
      <c r="CG302" s="310"/>
      <c r="CH302" s="310"/>
      <c r="CI302" s="310"/>
      <c r="CJ302" s="310"/>
      <c r="CK302" s="310"/>
      <c r="CL302" s="310"/>
      <c r="CM302" s="310"/>
      <c r="CN302" s="310"/>
      <c r="CO302" s="310"/>
      <c r="CP302" s="310"/>
      <c r="CQ302" s="310"/>
      <c r="CR302" s="310"/>
      <c r="CS302" s="310"/>
      <c r="CT302" s="310"/>
      <c r="CU302" s="310"/>
      <c r="CV302" s="310"/>
      <c r="CW302" s="310"/>
      <c r="CX302" s="310"/>
      <c r="CY302" s="310"/>
      <c r="CZ302" s="310"/>
      <c r="DA302" s="310"/>
      <c r="DB302" s="310"/>
      <c r="DC302" s="310"/>
      <c r="DD302" s="310"/>
      <c r="DE302" s="310"/>
      <c r="DF302" s="310"/>
      <c r="DG302" s="310"/>
      <c r="DH302" s="310"/>
      <c r="DI302" s="310"/>
      <c r="DJ302" s="310"/>
      <c r="DK302" s="310"/>
      <c r="DL302" s="310"/>
      <c r="DM302" s="310"/>
      <c r="DN302" s="310"/>
      <c r="DO302" s="310"/>
      <c r="DP302" s="310"/>
      <c r="DQ302" s="310"/>
      <c r="DR302" s="310"/>
      <c r="DS302" s="310"/>
      <c r="DT302" s="310"/>
      <c r="DU302" s="310"/>
      <c r="DV302" s="310"/>
      <c r="DW302" s="310"/>
      <c r="DX302" s="310"/>
      <c r="DY302" s="310"/>
      <c r="DZ302" s="310"/>
      <c r="EA302" s="310"/>
      <c r="EB302" s="310"/>
      <c r="EC302" s="310"/>
      <c r="ED302" s="310"/>
      <c r="EE302" s="310"/>
      <c r="EF302" s="310"/>
      <c r="EG302" s="310"/>
      <c r="EH302" s="310"/>
      <c r="EI302" s="310"/>
      <c r="EJ302" s="310"/>
      <c r="EK302" s="310"/>
      <c r="EL302" s="310"/>
      <c r="EM302" s="310"/>
      <c r="EN302" s="310"/>
      <c r="EO302" s="310"/>
      <c r="EP302" s="310"/>
      <c r="EQ302" s="310"/>
      <c r="ER302" s="310"/>
      <c r="ES302" s="310"/>
      <c r="ET302" s="310"/>
      <c r="EU302" s="310"/>
      <c r="EV302" s="310"/>
      <c r="EW302" s="310"/>
      <c r="EX302" s="310"/>
      <c r="EY302" s="310"/>
      <c r="EZ302" s="310"/>
      <c r="FA302" s="310"/>
      <c r="FB302" s="310"/>
      <c r="FC302" s="310"/>
      <c r="FD302" s="310"/>
      <c r="FE302" s="311"/>
      <c r="FF302" s="312"/>
    </row>
    <row r="303" spans="1:162" ht="12.75" x14ac:dyDescent="0.2">
      <c r="A303" s="446">
        <v>296</v>
      </c>
      <c r="B303" s="447" t="s">
        <v>475</v>
      </c>
      <c r="C303" s="448" t="s">
        <v>1093</v>
      </c>
      <c r="D303" s="449" t="s">
        <v>1103</v>
      </c>
      <c r="E303" s="450" t="s">
        <v>474</v>
      </c>
      <c r="F303" s="451">
        <v>67389680</v>
      </c>
      <c r="G303" s="451">
        <v>0</v>
      </c>
      <c r="H303" s="451">
        <v>0</v>
      </c>
      <c r="I303" s="451">
        <v>67389680</v>
      </c>
      <c r="J303" s="451">
        <v>367367</v>
      </c>
      <c r="K303" s="451">
        <v>0</v>
      </c>
      <c r="L303" s="451">
        <v>0</v>
      </c>
      <c r="M303" s="451">
        <v>367367</v>
      </c>
      <c r="N303" s="451">
        <v>0</v>
      </c>
      <c r="O303" s="451">
        <v>0</v>
      </c>
      <c r="P303" s="451">
        <v>0</v>
      </c>
      <c r="Q303" s="451">
        <v>0</v>
      </c>
      <c r="R303" s="451">
        <v>1928873</v>
      </c>
      <c r="S303" s="451">
        <v>0</v>
      </c>
      <c r="T303" s="451">
        <v>0</v>
      </c>
      <c r="U303" s="451">
        <v>1928873</v>
      </c>
      <c r="V303" s="451">
        <v>4624283</v>
      </c>
      <c r="W303" s="451">
        <v>0</v>
      </c>
      <c r="X303" s="451">
        <v>0</v>
      </c>
      <c r="Y303" s="451">
        <v>4624283</v>
      </c>
      <c r="Z303" s="451">
        <v>60469157</v>
      </c>
      <c r="AA303" s="451">
        <v>0</v>
      </c>
      <c r="AB303" s="451">
        <v>0</v>
      </c>
      <c r="AC303" s="451">
        <v>60469157</v>
      </c>
      <c r="AD303" s="451">
        <v>0</v>
      </c>
      <c r="AE303" s="451">
        <v>0</v>
      </c>
      <c r="AF303" s="451">
        <v>0</v>
      </c>
      <c r="AG303" s="451">
        <v>0</v>
      </c>
      <c r="AH303" s="451">
        <v>0</v>
      </c>
      <c r="AI303" s="451">
        <v>0</v>
      </c>
      <c r="AJ303" s="451">
        <v>0</v>
      </c>
      <c r="AK303" s="451">
        <v>0</v>
      </c>
      <c r="AL303" s="451">
        <v>0</v>
      </c>
      <c r="AM303" s="451">
        <v>0</v>
      </c>
      <c r="AN303" s="451">
        <v>0</v>
      </c>
      <c r="AO303" s="451">
        <v>1147235</v>
      </c>
      <c r="AP303" s="451">
        <v>735255.54</v>
      </c>
      <c r="AQ303" s="324"/>
      <c r="AR303" s="310"/>
      <c r="AS303" s="310"/>
      <c r="AT303" s="310"/>
      <c r="AU303" s="310"/>
      <c r="AV303" s="310"/>
      <c r="AW303" s="310"/>
      <c r="AX303" s="310"/>
      <c r="AY303" s="310"/>
      <c r="AZ303" s="310"/>
      <c r="BA303" s="310"/>
      <c r="BB303" s="310"/>
      <c r="BC303" s="310"/>
      <c r="BD303" s="310"/>
      <c r="BE303" s="310"/>
      <c r="BF303" s="310"/>
      <c r="BG303" s="310"/>
      <c r="BH303" s="310"/>
      <c r="BI303" s="310"/>
      <c r="BJ303" s="310"/>
      <c r="BK303" s="310"/>
      <c r="BL303" s="310"/>
      <c r="BM303" s="310"/>
      <c r="BN303" s="310"/>
      <c r="BO303" s="310"/>
      <c r="BP303" s="310"/>
      <c r="BQ303" s="310"/>
      <c r="BR303" s="310"/>
      <c r="BS303" s="310"/>
      <c r="BT303" s="310"/>
      <c r="BU303" s="310"/>
      <c r="BV303" s="310"/>
      <c r="BW303" s="310"/>
      <c r="BX303" s="310"/>
      <c r="BY303" s="310"/>
      <c r="BZ303" s="310"/>
      <c r="CA303" s="310"/>
      <c r="CB303" s="310"/>
      <c r="CC303" s="310"/>
      <c r="CD303" s="310"/>
      <c r="CE303" s="310"/>
      <c r="CF303" s="310"/>
      <c r="CG303" s="310"/>
      <c r="CH303" s="310"/>
      <c r="CI303" s="310"/>
      <c r="CJ303" s="310"/>
      <c r="CK303" s="310"/>
      <c r="CL303" s="310"/>
      <c r="CM303" s="310"/>
      <c r="CN303" s="310"/>
      <c r="CO303" s="310"/>
      <c r="CP303" s="310"/>
      <c r="CQ303" s="310"/>
      <c r="CR303" s="310"/>
      <c r="CS303" s="310"/>
      <c r="CT303" s="310"/>
      <c r="CU303" s="310"/>
      <c r="CV303" s="310"/>
      <c r="CW303" s="310"/>
      <c r="CX303" s="310"/>
      <c r="CY303" s="310"/>
      <c r="CZ303" s="310"/>
      <c r="DA303" s="310"/>
      <c r="DB303" s="310"/>
      <c r="DC303" s="310"/>
      <c r="DD303" s="310"/>
      <c r="DE303" s="310"/>
      <c r="DF303" s="310"/>
      <c r="DG303" s="310"/>
      <c r="DH303" s="310"/>
      <c r="DI303" s="310"/>
      <c r="DJ303" s="310"/>
      <c r="DK303" s="310"/>
      <c r="DL303" s="310"/>
      <c r="DM303" s="310"/>
      <c r="DN303" s="310"/>
      <c r="DO303" s="310"/>
      <c r="DP303" s="310"/>
      <c r="DQ303" s="310"/>
      <c r="DR303" s="310"/>
      <c r="DS303" s="310"/>
      <c r="DT303" s="310"/>
      <c r="DU303" s="310"/>
      <c r="DV303" s="310"/>
      <c r="DW303" s="310"/>
      <c r="DX303" s="310"/>
      <c r="DY303" s="310"/>
      <c r="DZ303" s="310"/>
      <c r="EA303" s="310"/>
      <c r="EB303" s="310"/>
      <c r="EC303" s="310"/>
      <c r="ED303" s="310"/>
      <c r="EE303" s="310"/>
      <c r="EF303" s="310"/>
      <c r="EG303" s="310"/>
      <c r="EH303" s="310"/>
      <c r="EI303" s="310"/>
      <c r="EJ303" s="310"/>
      <c r="EK303" s="310"/>
      <c r="EL303" s="310"/>
      <c r="EM303" s="310"/>
      <c r="EN303" s="310"/>
      <c r="EO303" s="310"/>
      <c r="EP303" s="310"/>
      <c r="EQ303" s="310"/>
      <c r="ER303" s="310"/>
      <c r="ES303" s="310"/>
      <c r="ET303" s="310"/>
      <c r="EU303" s="310"/>
      <c r="EV303" s="310"/>
      <c r="EW303" s="310"/>
      <c r="EX303" s="310"/>
      <c r="EY303" s="310"/>
      <c r="EZ303" s="310"/>
      <c r="FA303" s="310"/>
      <c r="FB303" s="310"/>
      <c r="FC303" s="310"/>
      <c r="FD303" s="310"/>
      <c r="FE303" s="311"/>
      <c r="FF303" s="312"/>
    </row>
    <row r="304" spans="1:162" ht="12.75" x14ac:dyDescent="0.2">
      <c r="A304" s="446">
        <v>297</v>
      </c>
      <c r="B304" s="447" t="s">
        <v>477</v>
      </c>
      <c r="C304" s="448" t="s">
        <v>1093</v>
      </c>
      <c r="D304" s="449" t="s">
        <v>1097</v>
      </c>
      <c r="E304" s="450" t="s">
        <v>476</v>
      </c>
      <c r="F304" s="451">
        <v>66092944</v>
      </c>
      <c r="G304" s="451">
        <v>0</v>
      </c>
      <c r="H304" s="451">
        <v>0</v>
      </c>
      <c r="I304" s="451">
        <v>66092944</v>
      </c>
      <c r="J304" s="451">
        <v>1139140</v>
      </c>
      <c r="K304" s="451">
        <v>0</v>
      </c>
      <c r="L304" s="451">
        <v>0</v>
      </c>
      <c r="M304" s="451">
        <v>1139140</v>
      </c>
      <c r="N304" s="451">
        <v>134000</v>
      </c>
      <c r="O304" s="451">
        <v>0</v>
      </c>
      <c r="P304" s="451">
        <v>0</v>
      </c>
      <c r="Q304" s="451">
        <v>134000</v>
      </c>
      <c r="R304" s="451">
        <v>1605263</v>
      </c>
      <c r="S304" s="451">
        <v>0</v>
      </c>
      <c r="T304" s="451">
        <v>0</v>
      </c>
      <c r="U304" s="451">
        <v>1605263</v>
      </c>
      <c r="V304" s="451">
        <v>4433898</v>
      </c>
      <c r="W304" s="451">
        <v>0</v>
      </c>
      <c r="X304" s="451">
        <v>0</v>
      </c>
      <c r="Y304" s="451">
        <v>4433898</v>
      </c>
      <c r="Z304" s="451">
        <v>58780643</v>
      </c>
      <c r="AA304" s="451">
        <v>0</v>
      </c>
      <c r="AB304" s="451">
        <v>0</v>
      </c>
      <c r="AC304" s="451">
        <v>58780643</v>
      </c>
      <c r="AD304" s="451">
        <v>0</v>
      </c>
      <c r="AE304" s="451">
        <v>0</v>
      </c>
      <c r="AF304" s="451">
        <v>0</v>
      </c>
      <c r="AG304" s="451">
        <v>0</v>
      </c>
      <c r="AH304" s="451">
        <v>0</v>
      </c>
      <c r="AI304" s="451">
        <v>0</v>
      </c>
      <c r="AJ304" s="451">
        <v>0</v>
      </c>
      <c r="AK304" s="451">
        <v>0</v>
      </c>
      <c r="AL304" s="451">
        <v>0</v>
      </c>
      <c r="AM304" s="451">
        <v>0</v>
      </c>
      <c r="AN304" s="451">
        <v>0</v>
      </c>
      <c r="AO304" s="451">
        <v>4903978</v>
      </c>
      <c r="AP304" s="451">
        <v>-2264760</v>
      </c>
      <c r="AQ304" s="324"/>
      <c r="AR304" s="310"/>
      <c r="AS304" s="310"/>
      <c r="AT304" s="310"/>
      <c r="AU304" s="310"/>
      <c r="AV304" s="310"/>
      <c r="AW304" s="310"/>
      <c r="AX304" s="310"/>
      <c r="AY304" s="310"/>
      <c r="AZ304" s="310"/>
      <c r="BA304" s="310"/>
      <c r="BB304" s="310"/>
      <c r="BC304" s="310"/>
      <c r="BD304" s="310"/>
      <c r="BE304" s="310"/>
      <c r="BF304" s="310"/>
      <c r="BG304" s="310"/>
      <c r="BH304" s="310"/>
      <c r="BI304" s="310"/>
      <c r="BJ304" s="310"/>
      <c r="BK304" s="310"/>
      <c r="BL304" s="310"/>
      <c r="BM304" s="310"/>
      <c r="BN304" s="310"/>
      <c r="BO304" s="310"/>
      <c r="BP304" s="310"/>
      <c r="BQ304" s="310"/>
      <c r="BR304" s="310"/>
      <c r="BS304" s="310"/>
      <c r="BT304" s="310"/>
      <c r="BU304" s="310"/>
      <c r="BV304" s="310"/>
      <c r="BW304" s="310"/>
      <c r="BX304" s="310"/>
      <c r="BY304" s="310"/>
      <c r="BZ304" s="310"/>
      <c r="CA304" s="310"/>
      <c r="CB304" s="310"/>
      <c r="CC304" s="310"/>
      <c r="CD304" s="310"/>
      <c r="CE304" s="310"/>
      <c r="CF304" s="310"/>
      <c r="CG304" s="310"/>
      <c r="CH304" s="310"/>
      <c r="CI304" s="310"/>
      <c r="CJ304" s="310"/>
      <c r="CK304" s="310"/>
      <c r="CL304" s="310"/>
      <c r="CM304" s="310"/>
      <c r="CN304" s="310"/>
      <c r="CO304" s="310"/>
      <c r="CP304" s="310"/>
      <c r="CQ304" s="310"/>
      <c r="CR304" s="310"/>
      <c r="CS304" s="310"/>
      <c r="CT304" s="310"/>
      <c r="CU304" s="310"/>
      <c r="CV304" s="310"/>
      <c r="CW304" s="310"/>
      <c r="CX304" s="310"/>
      <c r="CY304" s="310"/>
      <c r="CZ304" s="310"/>
      <c r="DA304" s="310"/>
      <c r="DB304" s="310"/>
      <c r="DC304" s="310"/>
      <c r="DD304" s="310"/>
      <c r="DE304" s="310"/>
      <c r="DF304" s="310"/>
      <c r="DG304" s="310"/>
      <c r="DH304" s="310"/>
      <c r="DI304" s="310"/>
      <c r="DJ304" s="310"/>
      <c r="DK304" s="310"/>
      <c r="DL304" s="310"/>
      <c r="DM304" s="310"/>
      <c r="DN304" s="310"/>
      <c r="DO304" s="310"/>
      <c r="DP304" s="310"/>
      <c r="DQ304" s="310"/>
      <c r="DR304" s="310"/>
      <c r="DS304" s="310"/>
      <c r="DT304" s="310"/>
      <c r="DU304" s="310"/>
      <c r="DV304" s="310"/>
      <c r="DW304" s="310"/>
      <c r="DX304" s="310"/>
      <c r="DY304" s="310"/>
      <c r="DZ304" s="310"/>
      <c r="EA304" s="310"/>
      <c r="EB304" s="310"/>
      <c r="EC304" s="310"/>
      <c r="ED304" s="310"/>
      <c r="EE304" s="310"/>
      <c r="EF304" s="310"/>
      <c r="EG304" s="310"/>
      <c r="EH304" s="310"/>
      <c r="EI304" s="310"/>
      <c r="EJ304" s="310"/>
      <c r="EK304" s="310"/>
      <c r="EL304" s="310"/>
      <c r="EM304" s="310"/>
      <c r="EN304" s="310"/>
      <c r="EO304" s="310"/>
      <c r="EP304" s="310"/>
      <c r="EQ304" s="310"/>
      <c r="ER304" s="310"/>
      <c r="ES304" s="310"/>
      <c r="ET304" s="310"/>
      <c r="EU304" s="310"/>
      <c r="EV304" s="310"/>
      <c r="EW304" s="310"/>
      <c r="EX304" s="310"/>
      <c r="EY304" s="310"/>
      <c r="EZ304" s="310"/>
      <c r="FA304" s="310"/>
      <c r="FB304" s="310"/>
      <c r="FC304" s="310"/>
      <c r="FD304" s="310"/>
      <c r="FE304" s="311"/>
      <c r="FF304" s="312"/>
    </row>
    <row r="305" spans="1:162" ht="12.75" x14ac:dyDescent="0.2">
      <c r="A305" s="446">
        <v>298</v>
      </c>
      <c r="B305" s="447" t="s">
        <v>479</v>
      </c>
      <c r="C305" s="448" t="s">
        <v>1093</v>
      </c>
      <c r="D305" s="449" t="s">
        <v>1097</v>
      </c>
      <c r="E305" s="450" t="s">
        <v>478</v>
      </c>
      <c r="F305" s="451">
        <v>27569224.899999999</v>
      </c>
      <c r="G305" s="451">
        <v>0</v>
      </c>
      <c r="H305" s="451">
        <v>0</v>
      </c>
      <c r="I305" s="451">
        <v>27569224.899999999</v>
      </c>
      <c r="J305" s="451">
        <v>243390.28</v>
      </c>
      <c r="K305" s="451">
        <v>0</v>
      </c>
      <c r="L305" s="451">
        <v>0</v>
      </c>
      <c r="M305" s="451">
        <v>243390.28</v>
      </c>
      <c r="N305" s="451">
        <v>305000</v>
      </c>
      <c r="O305" s="451">
        <v>0</v>
      </c>
      <c r="P305" s="451">
        <v>0</v>
      </c>
      <c r="Q305" s="451">
        <v>305000</v>
      </c>
      <c r="R305" s="451">
        <v>4008</v>
      </c>
      <c r="S305" s="451">
        <v>0</v>
      </c>
      <c r="T305" s="451">
        <v>0</v>
      </c>
      <c r="U305" s="451">
        <v>4008</v>
      </c>
      <c r="V305" s="451">
        <v>1121296</v>
      </c>
      <c r="W305" s="451">
        <v>0</v>
      </c>
      <c r="X305" s="451">
        <v>0</v>
      </c>
      <c r="Y305" s="451">
        <v>1121296</v>
      </c>
      <c r="Z305" s="451">
        <v>25895531</v>
      </c>
      <c r="AA305" s="451">
        <v>0</v>
      </c>
      <c r="AB305" s="451">
        <v>0</v>
      </c>
      <c r="AC305" s="451">
        <v>25895531</v>
      </c>
      <c r="AD305" s="451">
        <v>0</v>
      </c>
      <c r="AE305" s="451">
        <v>0</v>
      </c>
      <c r="AF305" s="451">
        <v>0</v>
      </c>
      <c r="AG305" s="451">
        <v>0</v>
      </c>
      <c r="AH305" s="451">
        <v>0</v>
      </c>
      <c r="AI305" s="451">
        <v>0</v>
      </c>
      <c r="AJ305" s="451">
        <v>0</v>
      </c>
      <c r="AK305" s="451">
        <v>0</v>
      </c>
      <c r="AL305" s="451">
        <v>0</v>
      </c>
      <c r="AM305" s="451">
        <v>0</v>
      </c>
      <c r="AN305" s="451">
        <v>0</v>
      </c>
      <c r="AO305" s="451">
        <v>1183454.6599999999</v>
      </c>
      <c r="AP305" s="451">
        <v>-642904</v>
      </c>
      <c r="AQ305" s="324"/>
      <c r="AR305" s="310"/>
      <c r="AS305" s="310"/>
      <c r="AT305" s="310"/>
      <c r="AU305" s="310"/>
      <c r="AV305" s="310"/>
      <c r="AW305" s="310"/>
      <c r="AX305" s="310"/>
      <c r="AY305" s="310"/>
      <c r="AZ305" s="310"/>
      <c r="BA305" s="310"/>
      <c r="BB305" s="310"/>
      <c r="BC305" s="310"/>
      <c r="BD305" s="310"/>
      <c r="BE305" s="310"/>
      <c r="BF305" s="310"/>
      <c r="BG305" s="310"/>
      <c r="BH305" s="310"/>
      <c r="BI305" s="310"/>
      <c r="BJ305" s="310"/>
      <c r="BK305" s="310"/>
      <c r="BL305" s="310"/>
      <c r="BM305" s="310"/>
      <c r="BN305" s="310"/>
      <c r="BO305" s="310"/>
      <c r="BP305" s="310"/>
      <c r="BQ305" s="310"/>
      <c r="BR305" s="310"/>
      <c r="BS305" s="310"/>
      <c r="BT305" s="310"/>
      <c r="BU305" s="310"/>
      <c r="BV305" s="310"/>
      <c r="BW305" s="310"/>
      <c r="BX305" s="310"/>
      <c r="BY305" s="310"/>
      <c r="BZ305" s="310"/>
      <c r="CA305" s="310"/>
      <c r="CB305" s="310"/>
      <c r="CC305" s="310"/>
      <c r="CD305" s="310"/>
      <c r="CE305" s="310"/>
      <c r="CF305" s="310"/>
      <c r="CG305" s="310"/>
      <c r="CH305" s="310"/>
      <c r="CI305" s="310"/>
      <c r="CJ305" s="310"/>
      <c r="CK305" s="310"/>
      <c r="CL305" s="310"/>
      <c r="CM305" s="310"/>
      <c r="CN305" s="310"/>
      <c r="CO305" s="310"/>
      <c r="CP305" s="310"/>
      <c r="CQ305" s="310"/>
      <c r="CR305" s="310"/>
      <c r="CS305" s="310"/>
      <c r="CT305" s="310"/>
      <c r="CU305" s="310"/>
      <c r="CV305" s="310"/>
      <c r="CW305" s="310"/>
      <c r="CX305" s="310"/>
      <c r="CY305" s="310"/>
      <c r="CZ305" s="310"/>
      <c r="DA305" s="310"/>
      <c r="DB305" s="310"/>
      <c r="DC305" s="310"/>
      <c r="DD305" s="310"/>
      <c r="DE305" s="310"/>
      <c r="DF305" s="310"/>
      <c r="DG305" s="310"/>
      <c r="DH305" s="310"/>
      <c r="DI305" s="310"/>
      <c r="DJ305" s="310"/>
      <c r="DK305" s="310"/>
      <c r="DL305" s="310"/>
      <c r="DM305" s="310"/>
      <c r="DN305" s="310"/>
      <c r="DO305" s="310"/>
      <c r="DP305" s="310"/>
      <c r="DQ305" s="310"/>
      <c r="DR305" s="310"/>
      <c r="DS305" s="310"/>
      <c r="DT305" s="310"/>
      <c r="DU305" s="310"/>
      <c r="DV305" s="310"/>
      <c r="DW305" s="310"/>
      <c r="DX305" s="310"/>
      <c r="DY305" s="310"/>
      <c r="DZ305" s="310"/>
      <c r="EA305" s="310"/>
      <c r="EB305" s="310"/>
      <c r="EC305" s="310"/>
      <c r="ED305" s="310"/>
      <c r="EE305" s="310"/>
      <c r="EF305" s="310"/>
      <c r="EG305" s="310"/>
      <c r="EH305" s="310"/>
      <c r="EI305" s="310"/>
      <c r="EJ305" s="310"/>
      <c r="EK305" s="310"/>
      <c r="EL305" s="310"/>
      <c r="EM305" s="310"/>
      <c r="EN305" s="310"/>
      <c r="EO305" s="310"/>
      <c r="EP305" s="310"/>
      <c r="EQ305" s="310"/>
      <c r="ER305" s="310"/>
      <c r="ES305" s="310"/>
      <c r="ET305" s="310"/>
      <c r="EU305" s="310"/>
      <c r="EV305" s="310"/>
      <c r="EW305" s="310"/>
      <c r="EX305" s="310"/>
      <c r="EY305" s="310"/>
      <c r="EZ305" s="310"/>
      <c r="FA305" s="310"/>
      <c r="FB305" s="310"/>
      <c r="FC305" s="310"/>
      <c r="FD305" s="310"/>
      <c r="FE305" s="311"/>
      <c r="FF305" s="312"/>
    </row>
    <row r="306" spans="1:162" ht="12.75" x14ac:dyDescent="0.2">
      <c r="A306" s="446">
        <v>299</v>
      </c>
      <c r="B306" s="447" t="s">
        <v>481</v>
      </c>
      <c r="C306" s="448" t="s">
        <v>1093</v>
      </c>
      <c r="D306" s="449" t="s">
        <v>1094</v>
      </c>
      <c r="E306" s="450" t="s">
        <v>480</v>
      </c>
      <c r="F306" s="451">
        <v>36130774</v>
      </c>
      <c r="G306" s="451">
        <v>0</v>
      </c>
      <c r="H306" s="451">
        <v>0</v>
      </c>
      <c r="I306" s="451">
        <v>36130774</v>
      </c>
      <c r="J306" s="451">
        <v>123627</v>
      </c>
      <c r="K306" s="451">
        <v>0</v>
      </c>
      <c r="L306" s="451">
        <v>0</v>
      </c>
      <c r="M306" s="451">
        <v>123627</v>
      </c>
      <c r="N306" s="451">
        <v>139373</v>
      </c>
      <c r="O306" s="451">
        <v>0</v>
      </c>
      <c r="P306" s="451">
        <v>0</v>
      </c>
      <c r="Q306" s="451">
        <v>139373</v>
      </c>
      <c r="R306" s="451">
        <v>580</v>
      </c>
      <c r="S306" s="451">
        <v>0</v>
      </c>
      <c r="T306" s="451">
        <v>0</v>
      </c>
      <c r="U306" s="451">
        <v>580</v>
      </c>
      <c r="V306" s="451">
        <v>538380</v>
      </c>
      <c r="W306" s="451">
        <v>0</v>
      </c>
      <c r="X306" s="451">
        <v>0</v>
      </c>
      <c r="Y306" s="451">
        <v>538380</v>
      </c>
      <c r="Z306" s="451">
        <v>35328814</v>
      </c>
      <c r="AA306" s="451">
        <v>0</v>
      </c>
      <c r="AB306" s="451">
        <v>0</v>
      </c>
      <c r="AC306" s="451">
        <v>35328814</v>
      </c>
      <c r="AD306" s="451">
        <v>0</v>
      </c>
      <c r="AE306" s="451">
        <v>0</v>
      </c>
      <c r="AF306" s="451">
        <v>0</v>
      </c>
      <c r="AG306" s="451">
        <v>0</v>
      </c>
      <c r="AH306" s="451">
        <v>0</v>
      </c>
      <c r="AI306" s="451">
        <v>0</v>
      </c>
      <c r="AJ306" s="451">
        <v>0</v>
      </c>
      <c r="AK306" s="451">
        <v>0</v>
      </c>
      <c r="AL306" s="451">
        <v>0</v>
      </c>
      <c r="AM306" s="451">
        <v>0</v>
      </c>
      <c r="AN306" s="451">
        <v>0</v>
      </c>
      <c r="AO306" s="451">
        <v>2202374.9</v>
      </c>
      <c r="AP306" s="451">
        <v>777205.63</v>
      </c>
      <c r="AQ306" s="324"/>
      <c r="AR306" s="310"/>
      <c r="AS306" s="310"/>
      <c r="AT306" s="310"/>
      <c r="AU306" s="310"/>
      <c r="AV306" s="310"/>
      <c r="AW306" s="310"/>
      <c r="AX306" s="310"/>
      <c r="AY306" s="310"/>
      <c r="AZ306" s="310"/>
      <c r="BA306" s="310"/>
      <c r="BB306" s="310"/>
      <c r="BC306" s="310"/>
      <c r="BD306" s="310"/>
      <c r="BE306" s="310"/>
      <c r="BF306" s="310"/>
      <c r="BG306" s="310"/>
      <c r="BH306" s="310"/>
      <c r="BI306" s="310"/>
      <c r="BJ306" s="310"/>
      <c r="BK306" s="310"/>
      <c r="BL306" s="310"/>
      <c r="BM306" s="310"/>
      <c r="BN306" s="310"/>
      <c r="BO306" s="310"/>
      <c r="BP306" s="310"/>
      <c r="BQ306" s="310"/>
      <c r="BR306" s="310"/>
      <c r="BS306" s="310"/>
      <c r="BT306" s="310"/>
      <c r="BU306" s="310"/>
      <c r="BV306" s="310"/>
      <c r="BW306" s="310"/>
      <c r="BX306" s="310"/>
      <c r="BY306" s="310"/>
      <c r="BZ306" s="310"/>
      <c r="CA306" s="310"/>
      <c r="CB306" s="310"/>
      <c r="CC306" s="310"/>
      <c r="CD306" s="310"/>
      <c r="CE306" s="310"/>
      <c r="CF306" s="310"/>
      <c r="CG306" s="310"/>
      <c r="CH306" s="310"/>
      <c r="CI306" s="310"/>
      <c r="CJ306" s="310"/>
      <c r="CK306" s="310"/>
      <c r="CL306" s="310"/>
      <c r="CM306" s="310"/>
      <c r="CN306" s="310"/>
      <c r="CO306" s="310"/>
      <c r="CP306" s="310"/>
      <c r="CQ306" s="310"/>
      <c r="CR306" s="310"/>
      <c r="CS306" s="310"/>
      <c r="CT306" s="310"/>
      <c r="CU306" s="310"/>
      <c r="CV306" s="310"/>
      <c r="CW306" s="310"/>
      <c r="CX306" s="310"/>
      <c r="CY306" s="310"/>
      <c r="CZ306" s="310"/>
      <c r="DA306" s="310"/>
      <c r="DB306" s="310"/>
      <c r="DC306" s="310"/>
      <c r="DD306" s="310"/>
      <c r="DE306" s="310"/>
      <c r="DF306" s="310"/>
      <c r="DG306" s="310"/>
      <c r="DH306" s="310"/>
      <c r="DI306" s="310"/>
      <c r="DJ306" s="310"/>
      <c r="DK306" s="310"/>
      <c r="DL306" s="310"/>
      <c r="DM306" s="310"/>
      <c r="DN306" s="310"/>
      <c r="DO306" s="310"/>
      <c r="DP306" s="310"/>
      <c r="DQ306" s="310"/>
      <c r="DR306" s="310"/>
      <c r="DS306" s="310"/>
      <c r="DT306" s="310"/>
      <c r="DU306" s="310"/>
      <c r="DV306" s="310"/>
      <c r="DW306" s="310"/>
      <c r="DX306" s="310"/>
      <c r="DY306" s="310"/>
      <c r="DZ306" s="310"/>
      <c r="EA306" s="310"/>
      <c r="EB306" s="310"/>
      <c r="EC306" s="310"/>
      <c r="ED306" s="310"/>
      <c r="EE306" s="310"/>
      <c r="EF306" s="310"/>
      <c r="EG306" s="310"/>
      <c r="EH306" s="310"/>
      <c r="EI306" s="310"/>
      <c r="EJ306" s="310"/>
      <c r="EK306" s="310"/>
      <c r="EL306" s="310"/>
      <c r="EM306" s="310"/>
      <c r="EN306" s="310"/>
      <c r="EO306" s="310"/>
      <c r="EP306" s="310"/>
      <c r="EQ306" s="310"/>
      <c r="ER306" s="310"/>
      <c r="ES306" s="310"/>
      <c r="ET306" s="310"/>
      <c r="EU306" s="310"/>
      <c r="EV306" s="310"/>
      <c r="EW306" s="310"/>
      <c r="EX306" s="310"/>
      <c r="EY306" s="310"/>
      <c r="EZ306" s="310"/>
      <c r="FA306" s="310"/>
      <c r="FB306" s="310"/>
      <c r="FC306" s="310"/>
      <c r="FD306" s="310"/>
      <c r="FE306" s="311"/>
      <c r="FF306" s="312"/>
    </row>
    <row r="307" spans="1:162" ht="12.75" x14ac:dyDescent="0.2">
      <c r="A307" s="446">
        <v>300</v>
      </c>
      <c r="B307" s="447" t="s">
        <v>483</v>
      </c>
      <c r="C307" s="448" t="s">
        <v>1093</v>
      </c>
      <c r="D307" s="449" t="s">
        <v>1094</v>
      </c>
      <c r="E307" s="450" t="s">
        <v>482</v>
      </c>
      <c r="F307" s="451">
        <v>28758679</v>
      </c>
      <c r="G307" s="451">
        <v>0</v>
      </c>
      <c r="H307" s="451">
        <v>0</v>
      </c>
      <c r="I307" s="451">
        <v>28758679</v>
      </c>
      <c r="J307" s="451">
        <v>286855</v>
      </c>
      <c r="K307" s="451">
        <v>0</v>
      </c>
      <c r="L307" s="451">
        <v>0</v>
      </c>
      <c r="M307" s="451">
        <v>286855</v>
      </c>
      <c r="N307" s="451">
        <v>-600939</v>
      </c>
      <c r="O307" s="451">
        <v>0</v>
      </c>
      <c r="P307" s="451">
        <v>0</v>
      </c>
      <c r="Q307" s="451">
        <v>-600939</v>
      </c>
      <c r="R307" s="451">
        <v>239627</v>
      </c>
      <c r="S307" s="451">
        <v>0</v>
      </c>
      <c r="T307" s="451">
        <v>0</v>
      </c>
      <c r="U307" s="451">
        <v>239627</v>
      </c>
      <c r="V307" s="451">
        <v>622928</v>
      </c>
      <c r="W307" s="451">
        <v>0</v>
      </c>
      <c r="X307" s="451">
        <v>0</v>
      </c>
      <c r="Y307" s="451">
        <v>622928</v>
      </c>
      <c r="Z307" s="451">
        <v>28210208</v>
      </c>
      <c r="AA307" s="451">
        <v>0</v>
      </c>
      <c r="AB307" s="451">
        <v>0</v>
      </c>
      <c r="AC307" s="451">
        <v>28210208</v>
      </c>
      <c r="AD307" s="451">
        <v>0</v>
      </c>
      <c r="AE307" s="451">
        <v>0</v>
      </c>
      <c r="AF307" s="451">
        <v>0</v>
      </c>
      <c r="AG307" s="451">
        <v>0</v>
      </c>
      <c r="AH307" s="451">
        <v>0</v>
      </c>
      <c r="AI307" s="451">
        <v>0</v>
      </c>
      <c r="AJ307" s="451">
        <v>0</v>
      </c>
      <c r="AK307" s="451">
        <v>0</v>
      </c>
      <c r="AL307" s="451">
        <v>0</v>
      </c>
      <c r="AM307" s="451">
        <v>0</v>
      </c>
      <c r="AN307" s="451">
        <v>0</v>
      </c>
      <c r="AO307" s="451">
        <v>1452156</v>
      </c>
      <c r="AP307" s="451">
        <v>453762</v>
      </c>
      <c r="AQ307" s="324"/>
      <c r="AR307" s="310"/>
      <c r="AS307" s="310"/>
      <c r="AT307" s="310"/>
      <c r="AU307" s="310"/>
      <c r="AV307" s="310"/>
      <c r="AW307" s="310"/>
      <c r="AX307" s="310"/>
      <c r="AY307" s="310"/>
      <c r="AZ307" s="310"/>
      <c r="BA307" s="310"/>
      <c r="BB307" s="310"/>
      <c r="BC307" s="310"/>
      <c r="BD307" s="310"/>
      <c r="BE307" s="310"/>
      <c r="BF307" s="310"/>
      <c r="BG307" s="310"/>
      <c r="BH307" s="310"/>
      <c r="BI307" s="310"/>
      <c r="BJ307" s="310"/>
      <c r="BK307" s="310"/>
      <c r="BL307" s="310"/>
      <c r="BM307" s="310"/>
      <c r="BN307" s="310"/>
      <c r="BO307" s="310"/>
      <c r="BP307" s="310"/>
      <c r="BQ307" s="310"/>
      <c r="BR307" s="310"/>
      <c r="BS307" s="310"/>
      <c r="BT307" s="310"/>
      <c r="BU307" s="310"/>
      <c r="BV307" s="310"/>
      <c r="BW307" s="310"/>
      <c r="BX307" s="310"/>
      <c r="BY307" s="310"/>
      <c r="BZ307" s="310"/>
      <c r="CA307" s="310"/>
      <c r="CB307" s="310"/>
      <c r="CC307" s="310"/>
      <c r="CD307" s="310"/>
      <c r="CE307" s="310"/>
      <c r="CF307" s="310"/>
      <c r="CG307" s="310"/>
      <c r="CH307" s="310"/>
      <c r="CI307" s="310"/>
      <c r="CJ307" s="310"/>
      <c r="CK307" s="310"/>
      <c r="CL307" s="310"/>
      <c r="CM307" s="310"/>
      <c r="CN307" s="310"/>
      <c r="CO307" s="310"/>
      <c r="CP307" s="310"/>
      <c r="CQ307" s="310"/>
      <c r="CR307" s="310"/>
      <c r="CS307" s="310"/>
      <c r="CT307" s="310"/>
      <c r="CU307" s="310"/>
      <c r="CV307" s="310"/>
      <c r="CW307" s="310"/>
      <c r="CX307" s="310"/>
      <c r="CY307" s="310"/>
      <c r="CZ307" s="310"/>
      <c r="DA307" s="310"/>
      <c r="DB307" s="310"/>
      <c r="DC307" s="310"/>
      <c r="DD307" s="310"/>
      <c r="DE307" s="310"/>
      <c r="DF307" s="310"/>
      <c r="DG307" s="310"/>
      <c r="DH307" s="310"/>
      <c r="DI307" s="310"/>
      <c r="DJ307" s="310"/>
      <c r="DK307" s="310"/>
      <c r="DL307" s="310"/>
      <c r="DM307" s="310"/>
      <c r="DN307" s="310"/>
      <c r="DO307" s="310"/>
      <c r="DP307" s="310"/>
      <c r="DQ307" s="310"/>
      <c r="DR307" s="310"/>
      <c r="DS307" s="310"/>
      <c r="DT307" s="310"/>
      <c r="DU307" s="310"/>
      <c r="DV307" s="310"/>
      <c r="DW307" s="310"/>
      <c r="DX307" s="310"/>
      <c r="DY307" s="310"/>
      <c r="DZ307" s="310"/>
      <c r="EA307" s="310"/>
      <c r="EB307" s="310"/>
      <c r="EC307" s="310"/>
      <c r="ED307" s="310"/>
      <c r="EE307" s="310"/>
      <c r="EF307" s="310"/>
      <c r="EG307" s="310"/>
      <c r="EH307" s="310"/>
      <c r="EI307" s="310"/>
      <c r="EJ307" s="310"/>
      <c r="EK307" s="310"/>
      <c r="EL307" s="310"/>
      <c r="EM307" s="310"/>
      <c r="EN307" s="310"/>
      <c r="EO307" s="310"/>
      <c r="EP307" s="310"/>
      <c r="EQ307" s="310"/>
      <c r="ER307" s="310"/>
      <c r="ES307" s="310"/>
      <c r="ET307" s="310"/>
      <c r="EU307" s="310"/>
      <c r="EV307" s="310"/>
      <c r="EW307" s="310"/>
      <c r="EX307" s="310"/>
      <c r="EY307" s="310"/>
      <c r="EZ307" s="310"/>
      <c r="FA307" s="310"/>
      <c r="FB307" s="310"/>
      <c r="FC307" s="310"/>
      <c r="FD307" s="310"/>
      <c r="FE307" s="311"/>
      <c r="FF307" s="312"/>
    </row>
    <row r="308" spans="1:162" ht="12.75" x14ac:dyDescent="0.2">
      <c r="A308" s="446">
        <v>301</v>
      </c>
      <c r="B308" s="447" t="s">
        <v>485</v>
      </c>
      <c r="C308" s="448" t="s">
        <v>1093</v>
      </c>
      <c r="D308" s="449" t="s">
        <v>1096</v>
      </c>
      <c r="E308" s="450" t="s">
        <v>484</v>
      </c>
      <c r="F308" s="451">
        <v>28175666.800000001</v>
      </c>
      <c r="G308" s="451">
        <v>0</v>
      </c>
      <c r="H308" s="451">
        <v>0</v>
      </c>
      <c r="I308" s="451">
        <v>28175666.800000001</v>
      </c>
      <c r="J308" s="451">
        <v>64973.19</v>
      </c>
      <c r="K308" s="451">
        <v>0</v>
      </c>
      <c r="L308" s="451">
        <v>0</v>
      </c>
      <c r="M308" s="451">
        <v>64973.19</v>
      </c>
      <c r="N308" s="451">
        <v>-12700</v>
      </c>
      <c r="O308" s="451">
        <v>0</v>
      </c>
      <c r="P308" s="451">
        <v>0</v>
      </c>
      <c r="Q308" s="451">
        <v>-12700</v>
      </c>
      <c r="R308" s="451">
        <v>5386.62</v>
      </c>
      <c r="S308" s="451">
        <v>0</v>
      </c>
      <c r="T308" s="451">
        <v>0</v>
      </c>
      <c r="U308" s="451">
        <v>5386.62</v>
      </c>
      <c r="V308" s="451">
        <v>199258.18</v>
      </c>
      <c r="W308" s="451">
        <v>0</v>
      </c>
      <c r="X308" s="451">
        <v>0</v>
      </c>
      <c r="Y308" s="451">
        <v>199258.18</v>
      </c>
      <c r="Z308" s="451">
        <v>27918749</v>
      </c>
      <c r="AA308" s="451">
        <v>0</v>
      </c>
      <c r="AB308" s="451">
        <v>0</v>
      </c>
      <c r="AC308" s="451">
        <v>27918749</v>
      </c>
      <c r="AD308" s="451">
        <v>0</v>
      </c>
      <c r="AE308" s="451">
        <v>0</v>
      </c>
      <c r="AF308" s="451">
        <v>0</v>
      </c>
      <c r="AG308" s="451">
        <v>0</v>
      </c>
      <c r="AH308" s="451">
        <v>0</v>
      </c>
      <c r="AI308" s="451">
        <v>0</v>
      </c>
      <c r="AJ308" s="451">
        <v>0</v>
      </c>
      <c r="AK308" s="451">
        <v>0</v>
      </c>
      <c r="AL308" s="451">
        <v>0</v>
      </c>
      <c r="AM308" s="451">
        <v>0</v>
      </c>
      <c r="AN308" s="451">
        <v>0</v>
      </c>
      <c r="AO308" s="451">
        <v>599693.57999999996</v>
      </c>
      <c r="AP308" s="451">
        <v>289284</v>
      </c>
      <c r="AQ308" s="324"/>
      <c r="AR308" s="310"/>
      <c r="AS308" s="310"/>
      <c r="AT308" s="310"/>
      <c r="AU308" s="310"/>
      <c r="AV308" s="310"/>
      <c r="AW308" s="310"/>
      <c r="AX308" s="310"/>
      <c r="AY308" s="310"/>
      <c r="AZ308" s="310"/>
      <c r="BA308" s="310"/>
      <c r="BB308" s="310"/>
      <c r="BC308" s="310"/>
      <c r="BD308" s="310"/>
      <c r="BE308" s="310"/>
      <c r="BF308" s="310"/>
      <c r="BG308" s="310"/>
      <c r="BH308" s="310"/>
      <c r="BI308" s="310"/>
      <c r="BJ308" s="310"/>
      <c r="BK308" s="310"/>
      <c r="BL308" s="310"/>
      <c r="BM308" s="310"/>
      <c r="BN308" s="310"/>
      <c r="BO308" s="310"/>
      <c r="BP308" s="310"/>
      <c r="BQ308" s="310"/>
      <c r="BR308" s="310"/>
      <c r="BS308" s="310"/>
      <c r="BT308" s="310"/>
      <c r="BU308" s="310"/>
      <c r="BV308" s="310"/>
      <c r="BW308" s="310"/>
      <c r="BX308" s="310"/>
      <c r="BY308" s="310"/>
      <c r="BZ308" s="310"/>
      <c r="CA308" s="310"/>
      <c r="CB308" s="310"/>
      <c r="CC308" s="310"/>
      <c r="CD308" s="310"/>
      <c r="CE308" s="310"/>
      <c r="CF308" s="310"/>
      <c r="CG308" s="310"/>
      <c r="CH308" s="310"/>
      <c r="CI308" s="310"/>
      <c r="CJ308" s="310"/>
      <c r="CK308" s="310"/>
      <c r="CL308" s="310"/>
      <c r="CM308" s="310"/>
      <c r="CN308" s="310"/>
      <c r="CO308" s="310"/>
      <c r="CP308" s="310"/>
      <c r="CQ308" s="310"/>
      <c r="CR308" s="310"/>
      <c r="CS308" s="310"/>
      <c r="CT308" s="310"/>
      <c r="CU308" s="310"/>
      <c r="CV308" s="310"/>
      <c r="CW308" s="310"/>
      <c r="CX308" s="310"/>
      <c r="CY308" s="310"/>
      <c r="CZ308" s="310"/>
      <c r="DA308" s="310"/>
      <c r="DB308" s="310"/>
      <c r="DC308" s="310"/>
      <c r="DD308" s="310"/>
      <c r="DE308" s="310"/>
      <c r="DF308" s="310"/>
      <c r="DG308" s="310"/>
      <c r="DH308" s="310"/>
      <c r="DI308" s="310"/>
      <c r="DJ308" s="310"/>
      <c r="DK308" s="310"/>
      <c r="DL308" s="310"/>
      <c r="DM308" s="310"/>
      <c r="DN308" s="310"/>
      <c r="DO308" s="310"/>
      <c r="DP308" s="310"/>
      <c r="DQ308" s="310"/>
      <c r="DR308" s="310"/>
      <c r="DS308" s="310"/>
      <c r="DT308" s="310"/>
      <c r="DU308" s="310"/>
      <c r="DV308" s="310"/>
      <c r="DW308" s="310"/>
      <c r="DX308" s="310"/>
      <c r="DY308" s="310"/>
      <c r="DZ308" s="310"/>
      <c r="EA308" s="310"/>
      <c r="EB308" s="310"/>
      <c r="EC308" s="310"/>
      <c r="ED308" s="310"/>
      <c r="EE308" s="310"/>
      <c r="EF308" s="310"/>
      <c r="EG308" s="310"/>
      <c r="EH308" s="310"/>
      <c r="EI308" s="310"/>
      <c r="EJ308" s="310"/>
      <c r="EK308" s="310"/>
      <c r="EL308" s="310"/>
      <c r="EM308" s="310"/>
      <c r="EN308" s="310"/>
      <c r="EO308" s="310"/>
      <c r="EP308" s="310"/>
      <c r="EQ308" s="310"/>
      <c r="ER308" s="310"/>
      <c r="ES308" s="310"/>
      <c r="ET308" s="310"/>
      <c r="EU308" s="310"/>
      <c r="EV308" s="310"/>
      <c r="EW308" s="310"/>
      <c r="EX308" s="310"/>
      <c r="EY308" s="310"/>
      <c r="EZ308" s="310"/>
      <c r="FA308" s="310"/>
      <c r="FB308" s="310"/>
      <c r="FC308" s="310"/>
      <c r="FD308" s="310"/>
      <c r="FE308" s="311"/>
      <c r="FF308" s="312"/>
    </row>
    <row r="309" spans="1:162" ht="12.75" x14ac:dyDescent="0.2">
      <c r="A309" s="446">
        <v>302</v>
      </c>
      <c r="B309" s="447" t="s">
        <v>487</v>
      </c>
      <c r="C309" s="448" t="s">
        <v>1093</v>
      </c>
      <c r="D309" s="449" t="s">
        <v>1097</v>
      </c>
      <c r="E309" s="450" t="s">
        <v>486</v>
      </c>
      <c r="F309" s="451">
        <v>57111300.600000001</v>
      </c>
      <c r="G309" s="451">
        <v>0</v>
      </c>
      <c r="H309" s="451">
        <v>0</v>
      </c>
      <c r="I309" s="451">
        <v>57111300.600000001</v>
      </c>
      <c r="J309" s="451">
        <v>306776.24</v>
      </c>
      <c r="K309" s="451">
        <v>0</v>
      </c>
      <c r="L309" s="451">
        <v>0</v>
      </c>
      <c r="M309" s="451">
        <v>306776.24</v>
      </c>
      <c r="N309" s="451">
        <v>-40524.639999999999</v>
      </c>
      <c r="O309" s="451">
        <v>0</v>
      </c>
      <c r="P309" s="451">
        <v>0</v>
      </c>
      <c r="Q309" s="451">
        <v>-40524.639999999999</v>
      </c>
      <c r="R309" s="451">
        <v>353993.52</v>
      </c>
      <c r="S309" s="451">
        <v>0</v>
      </c>
      <c r="T309" s="451">
        <v>0</v>
      </c>
      <c r="U309" s="451">
        <v>353993.52</v>
      </c>
      <c r="V309" s="451">
        <v>1039259.2</v>
      </c>
      <c r="W309" s="451">
        <v>0</v>
      </c>
      <c r="X309" s="451">
        <v>0</v>
      </c>
      <c r="Y309" s="451">
        <v>1039259.2</v>
      </c>
      <c r="Z309" s="451">
        <v>55451796</v>
      </c>
      <c r="AA309" s="451">
        <v>0</v>
      </c>
      <c r="AB309" s="451">
        <v>0</v>
      </c>
      <c r="AC309" s="451">
        <v>55451796</v>
      </c>
      <c r="AD309" s="451">
        <v>0</v>
      </c>
      <c r="AE309" s="451">
        <v>0</v>
      </c>
      <c r="AF309" s="451">
        <v>0</v>
      </c>
      <c r="AG309" s="451">
        <v>0</v>
      </c>
      <c r="AH309" s="451">
        <v>0</v>
      </c>
      <c r="AI309" s="451">
        <v>0</v>
      </c>
      <c r="AJ309" s="451">
        <v>0</v>
      </c>
      <c r="AK309" s="451">
        <v>0</v>
      </c>
      <c r="AL309" s="451">
        <v>0</v>
      </c>
      <c r="AM309" s="451">
        <v>0</v>
      </c>
      <c r="AN309" s="451">
        <v>0</v>
      </c>
      <c r="AO309" s="451">
        <v>898551.61</v>
      </c>
      <c r="AP309" s="451">
        <v>11752.33</v>
      </c>
      <c r="AQ309" s="324"/>
      <c r="AR309" s="310"/>
      <c r="AS309" s="310"/>
      <c r="AT309" s="310"/>
      <c r="AU309" s="310"/>
      <c r="AV309" s="310"/>
      <c r="AW309" s="310"/>
      <c r="AX309" s="310"/>
      <c r="AY309" s="310"/>
      <c r="AZ309" s="310"/>
      <c r="BA309" s="310"/>
      <c r="BB309" s="310"/>
      <c r="BC309" s="310"/>
      <c r="BD309" s="310"/>
      <c r="BE309" s="310"/>
      <c r="BF309" s="310"/>
      <c r="BG309" s="310"/>
      <c r="BH309" s="310"/>
      <c r="BI309" s="310"/>
      <c r="BJ309" s="310"/>
      <c r="BK309" s="310"/>
      <c r="BL309" s="310"/>
      <c r="BM309" s="310"/>
      <c r="BN309" s="310"/>
      <c r="BO309" s="310"/>
      <c r="BP309" s="310"/>
      <c r="BQ309" s="310"/>
      <c r="BR309" s="310"/>
      <c r="BS309" s="310"/>
      <c r="BT309" s="310"/>
      <c r="BU309" s="310"/>
      <c r="BV309" s="310"/>
      <c r="BW309" s="310"/>
      <c r="BX309" s="310"/>
      <c r="BY309" s="310"/>
      <c r="BZ309" s="310"/>
      <c r="CA309" s="310"/>
      <c r="CB309" s="310"/>
      <c r="CC309" s="310"/>
      <c r="CD309" s="310"/>
      <c r="CE309" s="310"/>
      <c r="CF309" s="310"/>
      <c r="CG309" s="310"/>
      <c r="CH309" s="310"/>
      <c r="CI309" s="310"/>
      <c r="CJ309" s="310"/>
      <c r="CK309" s="310"/>
      <c r="CL309" s="310"/>
      <c r="CM309" s="310"/>
      <c r="CN309" s="310"/>
      <c r="CO309" s="310"/>
      <c r="CP309" s="310"/>
      <c r="CQ309" s="310"/>
      <c r="CR309" s="310"/>
      <c r="CS309" s="310"/>
      <c r="CT309" s="310"/>
      <c r="CU309" s="310"/>
      <c r="CV309" s="310"/>
      <c r="CW309" s="310"/>
      <c r="CX309" s="310"/>
      <c r="CY309" s="310"/>
      <c r="CZ309" s="310"/>
      <c r="DA309" s="310"/>
      <c r="DB309" s="310"/>
      <c r="DC309" s="310"/>
      <c r="DD309" s="310"/>
      <c r="DE309" s="310"/>
      <c r="DF309" s="310"/>
      <c r="DG309" s="310"/>
      <c r="DH309" s="310"/>
      <c r="DI309" s="310"/>
      <c r="DJ309" s="310"/>
      <c r="DK309" s="310"/>
      <c r="DL309" s="310"/>
      <c r="DM309" s="310"/>
      <c r="DN309" s="310"/>
      <c r="DO309" s="310"/>
      <c r="DP309" s="310"/>
      <c r="DQ309" s="310"/>
      <c r="DR309" s="310"/>
      <c r="DS309" s="310"/>
      <c r="DT309" s="310"/>
      <c r="DU309" s="310"/>
      <c r="DV309" s="310"/>
      <c r="DW309" s="310"/>
      <c r="DX309" s="310"/>
      <c r="DY309" s="310"/>
      <c r="DZ309" s="310"/>
      <c r="EA309" s="310"/>
      <c r="EB309" s="310"/>
      <c r="EC309" s="310"/>
      <c r="ED309" s="310"/>
      <c r="EE309" s="310"/>
      <c r="EF309" s="310"/>
      <c r="EG309" s="310"/>
      <c r="EH309" s="310"/>
      <c r="EI309" s="310"/>
      <c r="EJ309" s="310"/>
      <c r="EK309" s="310"/>
      <c r="EL309" s="310"/>
      <c r="EM309" s="310"/>
      <c r="EN309" s="310"/>
      <c r="EO309" s="310"/>
      <c r="EP309" s="310"/>
      <c r="EQ309" s="310"/>
      <c r="ER309" s="310"/>
      <c r="ES309" s="310"/>
      <c r="ET309" s="310"/>
      <c r="EU309" s="310"/>
      <c r="EV309" s="310"/>
      <c r="EW309" s="310"/>
      <c r="EX309" s="310"/>
      <c r="EY309" s="310"/>
      <c r="EZ309" s="310"/>
      <c r="FA309" s="310"/>
      <c r="FB309" s="310"/>
      <c r="FC309" s="310"/>
      <c r="FD309" s="310"/>
      <c r="FE309" s="311"/>
      <c r="FF309" s="312"/>
    </row>
    <row r="310" spans="1:162" ht="12.75" x14ac:dyDescent="0.2">
      <c r="A310" s="446">
        <v>303</v>
      </c>
      <c r="B310" s="447" t="s">
        <v>489</v>
      </c>
      <c r="C310" s="448" t="s">
        <v>794</v>
      </c>
      <c r="D310" s="449" t="s">
        <v>1094</v>
      </c>
      <c r="E310" s="450" t="s">
        <v>755</v>
      </c>
      <c r="F310" s="451">
        <v>79825012</v>
      </c>
      <c r="G310" s="451">
        <v>0</v>
      </c>
      <c r="H310" s="451">
        <v>0</v>
      </c>
      <c r="I310" s="451">
        <v>79825012</v>
      </c>
      <c r="J310" s="451">
        <v>142497</v>
      </c>
      <c r="K310" s="451">
        <v>0</v>
      </c>
      <c r="L310" s="451">
        <v>0</v>
      </c>
      <c r="M310" s="451">
        <v>142497</v>
      </c>
      <c r="N310" s="451">
        <v>-500000</v>
      </c>
      <c r="O310" s="451">
        <v>0</v>
      </c>
      <c r="P310" s="451">
        <v>0</v>
      </c>
      <c r="Q310" s="451">
        <v>-500000</v>
      </c>
      <c r="R310" s="451">
        <v>300000</v>
      </c>
      <c r="S310" s="451">
        <v>0</v>
      </c>
      <c r="T310" s="451">
        <v>0</v>
      </c>
      <c r="U310" s="451">
        <v>300000</v>
      </c>
      <c r="V310" s="451">
        <v>390000</v>
      </c>
      <c r="W310" s="451">
        <v>0</v>
      </c>
      <c r="X310" s="451">
        <v>0</v>
      </c>
      <c r="Y310" s="451">
        <v>390000</v>
      </c>
      <c r="Z310" s="451">
        <v>79492515</v>
      </c>
      <c r="AA310" s="451">
        <v>0</v>
      </c>
      <c r="AB310" s="451">
        <v>0</v>
      </c>
      <c r="AC310" s="451">
        <v>79492515</v>
      </c>
      <c r="AD310" s="451">
        <v>0</v>
      </c>
      <c r="AE310" s="451">
        <v>0</v>
      </c>
      <c r="AF310" s="451">
        <v>0</v>
      </c>
      <c r="AG310" s="451">
        <v>0</v>
      </c>
      <c r="AH310" s="451">
        <v>0</v>
      </c>
      <c r="AI310" s="451">
        <v>0</v>
      </c>
      <c r="AJ310" s="451">
        <v>0</v>
      </c>
      <c r="AK310" s="451">
        <v>0</v>
      </c>
      <c r="AL310" s="451">
        <v>0</v>
      </c>
      <c r="AM310" s="451">
        <v>0</v>
      </c>
      <c r="AN310" s="451">
        <v>0</v>
      </c>
      <c r="AO310" s="451">
        <v>1972611</v>
      </c>
      <c r="AP310" s="451">
        <v>1849516</v>
      </c>
      <c r="AQ310" s="324"/>
      <c r="AR310" s="310"/>
      <c r="AS310" s="310"/>
      <c r="AT310" s="310"/>
      <c r="AU310" s="310"/>
      <c r="AV310" s="310"/>
      <c r="AW310" s="310"/>
      <c r="AX310" s="310"/>
      <c r="AY310" s="310"/>
      <c r="AZ310" s="310"/>
      <c r="BA310" s="310"/>
      <c r="BB310" s="310"/>
      <c r="BC310" s="310"/>
      <c r="BD310" s="310"/>
      <c r="BE310" s="310"/>
      <c r="BF310" s="310"/>
      <c r="BG310" s="310"/>
      <c r="BH310" s="310"/>
      <c r="BI310" s="310"/>
      <c r="BJ310" s="310"/>
      <c r="BK310" s="310"/>
      <c r="BL310" s="310"/>
      <c r="BM310" s="310"/>
      <c r="BN310" s="310"/>
      <c r="BO310" s="310"/>
      <c r="BP310" s="310"/>
      <c r="BQ310" s="310"/>
      <c r="BR310" s="310"/>
      <c r="BS310" s="310"/>
      <c r="BT310" s="310"/>
      <c r="BU310" s="310"/>
      <c r="BV310" s="310"/>
      <c r="BW310" s="310"/>
      <c r="BX310" s="310"/>
      <c r="BY310" s="310"/>
      <c r="BZ310" s="310"/>
      <c r="CA310" s="310"/>
      <c r="CB310" s="310"/>
      <c r="CC310" s="310"/>
      <c r="CD310" s="310"/>
      <c r="CE310" s="310"/>
      <c r="CF310" s="310"/>
      <c r="CG310" s="310"/>
      <c r="CH310" s="310"/>
      <c r="CI310" s="310"/>
      <c r="CJ310" s="310"/>
      <c r="CK310" s="310"/>
      <c r="CL310" s="310"/>
      <c r="CM310" s="310"/>
      <c r="CN310" s="310"/>
      <c r="CO310" s="310"/>
      <c r="CP310" s="310"/>
      <c r="CQ310" s="310"/>
      <c r="CR310" s="310"/>
      <c r="CS310" s="310"/>
      <c r="CT310" s="310"/>
      <c r="CU310" s="310"/>
      <c r="CV310" s="310"/>
      <c r="CW310" s="310"/>
      <c r="CX310" s="310"/>
      <c r="CY310" s="310"/>
      <c r="CZ310" s="310"/>
      <c r="DA310" s="310"/>
      <c r="DB310" s="310"/>
      <c r="DC310" s="310"/>
      <c r="DD310" s="310"/>
      <c r="DE310" s="310"/>
      <c r="DF310" s="310"/>
      <c r="DG310" s="310"/>
      <c r="DH310" s="310"/>
      <c r="DI310" s="310"/>
      <c r="DJ310" s="310"/>
      <c r="DK310" s="310"/>
      <c r="DL310" s="310"/>
      <c r="DM310" s="310"/>
      <c r="DN310" s="310"/>
      <c r="DO310" s="310"/>
      <c r="DP310" s="310"/>
      <c r="DQ310" s="310"/>
      <c r="DR310" s="310"/>
      <c r="DS310" s="310"/>
      <c r="DT310" s="310"/>
      <c r="DU310" s="310"/>
      <c r="DV310" s="310"/>
      <c r="DW310" s="310"/>
      <c r="DX310" s="310"/>
      <c r="DY310" s="310"/>
      <c r="DZ310" s="310"/>
      <c r="EA310" s="310"/>
      <c r="EB310" s="310"/>
      <c r="EC310" s="310"/>
      <c r="ED310" s="310"/>
      <c r="EE310" s="310"/>
      <c r="EF310" s="310"/>
      <c r="EG310" s="310"/>
      <c r="EH310" s="310"/>
      <c r="EI310" s="310"/>
      <c r="EJ310" s="310"/>
      <c r="EK310" s="310"/>
      <c r="EL310" s="310"/>
      <c r="EM310" s="310"/>
      <c r="EN310" s="310"/>
      <c r="EO310" s="310"/>
      <c r="EP310" s="310"/>
      <c r="EQ310" s="310"/>
      <c r="ER310" s="310"/>
      <c r="ES310" s="310"/>
      <c r="ET310" s="310"/>
      <c r="EU310" s="310"/>
      <c r="EV310" s="310"/>
      <c r="EW310" s="310"/>
      <c r="EX310" s="310"/>
      <c r="EY310" s="310"/>
      <c r="EZ310" s="310"/>
      <c r="FA310" s="310"/>
      <c r="FB310" s="310"/>
      <c r="FC310" s="310"/>
      <c r="FD310" s="310"/>
      <c r="FE310" s="311"/>
      <c r="FF310" s="312"/>
    </row>
    <row r="311" spans="1:162" ht="12.75" x14ac:dyDescent="0.2">
      <c r="A311" s="446">
        <v>304</v>
      </c>
      <c r="B311" s="447" t="s">
        <v>491</v>
      </c>
      <c r="C311" s="448" t="s">
        <v>1093</v>
      </c>
      <c r="D311" s="449" t="s">
        <v>1102</v>
      </c>
      <c r="E311" s="450" t="s">
        <v>490</v>
      </c>
      <c r="F311" s="451">
        <v>10421378</v>
      </c>
      <c r="G311" s="451">
        <v>0</v>
      </c>
      <c r="H311" s="451">
        <v>0</v>
      </c>
      <c r="I311" s="451">
        <v>10421378</v>
      </c>
      <c r="J311" s="451">
        <v>44081</v>
      </c>
      <c r="K311" s="451">
        <v>0</v>
      </c>
      <c r="L311" s="451">
        <v>0</v>
      </c>
      <c r="M311" s="451">
        <v>44081</v>
      </c>
      <c r="N311" s="451">
        <v>-178424</v>
      </c>
      <c r="O311" s="451">
        <v>0</v>
      </c>
      <c r="P311" s="451">
        <v>0</v>
      </c>
      <c r="Q311" s="451">
        <v>-178424</v>
      </c>
      <c r="R311" s="451">
        <v>88837</v>
      </c>
      <c r="S311" s="451">
        <v>0</v>
      </c>
      <c r="T311" s="451">
        <v>0</v>
      </c>
      <c r="U311" s="451">
        <v>88837</v>
      </c>
      <c r="V311" s="451">
        <v>278905</v>
      </c>
      <c r="W311" s="451">
        <v>0</v>
      </c>
      <c r="X311" s="451">
        <v>0</v>
      </c>
      <c r="Y311" s="451">
        <v>278905</v>
      </c>
      <c r="Z311" s="451">
        <v>10187979</v>
      </c>
      <c r="AA311" s="451">
        <v>0</v>
      </c>
      <c r="AB311" s="451">
        <v>0</v>
      </c>
      <c r="AC311" s="451">
        <v>10187979</v>
      </c>
      <c r="AD311" s="451">
        <v>0</v>
      </c>
      <c r="AE311" s="451">
        <v>0</v>
      </c>
      <c r="AF311" s="451">
        <v>0</v>
      </c>
      <c r="AG311" s="451">
        <v>0</v>
      </c>
      <c r="AH311" s="451">
        <v>0</v>
      </c>
      <c r="AI311" s="451">
        <v>0</v>
      </c>
      <c r="AJ311" s="451">
        <v>0</v>
      </c>
      <c r="AK311" s="451">
        <v>0</v>
      </c>
      <c r="AL311" s="451">
        <v>0</v>
      </c>
      <c r="AM311" s="451">
        <v>0</v>
      </c>
      <c r="AN311" s="451">
        <v>0</v>
      </c>
      <c r="AO311" s="451">
        <v>540667</v>
      </c>
      <c r="AP311" s="451">
        <v>22923</v>
      </c>
      <c r="AQ311" s="324"/>
      <c r="AR311" s="310"/>
      <c r="AS311" s="310"/>
      <c r="AT311" s="310"/>
      <c r="AU311" s="310"/>
      <c r="AV311" s="310"/>
      <c r="AW311" s="310"/>
      <c r="AX311" s="310"/>
      <c r="AY311" s="310"/>
      <c r="AZ311" s="310"/>
      <c r="BA311" s="310"/>
      <c r="BB311" s="310"/>
      <c r="BC311" s="310"/>
      <c r="BD311" s="310"/>
      <c r="BE311" s="310"/>
      <c r="BF311" s="310"/>
      <c r="BG311" s="310"/>
      <c r="BH311" s="310"/>
      <c r="BI311" s="310"/>
      <c r="BJ311" s="310"/>
      <c r="BK311" s="310"/>
      <c r="BL311" s="310"/>
      <c r="BM311" s="310"/>
      <c r="BN311" s="310"/>
      <c r="BO311" s="310"/>
      <c r="BP311" s="310"/>
      <c r="BQ311" s="310"/>
      <c r="BR311" s="310"/>
      <c r="BS311" s="310"/>
      <c r="BT311" s="310"/>
      <c r="BU311" s="310"/>
      <c r="BV311" s="310"/>
      <c r="BW311" s="310"/>
      <c r="BX311" s="310"/>
      <c r="BY311" s="310"/>
      <c r="BZ311" s="310"/>
      <c r="CA311" s="310"/>
      <c r="CB311" s="310"/>
      <c r="CC311" s="310"/>
      <c r="CD311" s="310"/>
      <c r="CE311" s="310"/>
      <c r="CF311" s="310"/>
      <c r="CG311" s="310"/>
      <c r="CH311" s="310"/>
      <c r="CI311" s="310"/>
      <c r="CJ311" s="310"/>
      <c r="CK311" s="310"/>
      <c r="CL311" s="310"/>
      <c r="CM311" s="310"/>
      <c r="CN311" s="310"/>
      <c r="CO311" s="310"/>
      <c r="CP311" s="310"/>
      <c r="CQ311" s="310"/>
      <c r="CR311" s="310"/>
      <c r="CS311" s="310"/>
      <c r="CT311" s="310"/>
      <c r="CU311" s="310"/>
      <c r="CV311" s="310"/>
      <c r="CW311" s="310"/>
      <c r="CX311" s="310"/>
      <c r="CY311" s="310"/>
      <c r="CZ311" s="310"/>
      <c r="DA311" s="310"/>
      <c r="DB311" s="310"/>
      <c r="DC311" s="310"/>
      <c r="DD311" s="310"/>
      <c r="DE311" s="310"/>
      <c r="DF311" s="310"/>
      <c r="DG311" s="310"/>
      <c r="DH311" s="310"/>
      <c r="DI311" s="310"/>
      <c r="DJ311" s="310"/>
      <c r="DK311" s="310"/>
      <c r="DL311" s="310"/>
      <c r="DM311" s="310"/>
      <c r="DN311" s="310"/>
      <c r="DO311" s="310"/>
      <c r="DP311" s="310"/>
      <c r="DQ311" s="310"/>
      <c r="DR311" s="310"/>
      <c r="DS311" s="310"/>
      <c r="DT311" s="310"/>
      <c r="DU311" s="310"/>
      <c r="DV311" s="310"/>
      <c r="DW311" s="310"/>
      <c r="DX311" s="310"/>
      <c r="DY311" s="310"/>
      <c r="DZ311" s="310"/>
      <c r="EA311" s="310"/>
      <c r="EB311" s="310"/>
      <c r="EC311" s="310"/>
      <c r="ED311" s="310"/>
      <c r="EE311" s="310"/>
      <c r="EF311" s="310"/>
      <c r="EG311" s="310"/>
      <c r="EH311" s="310"/>
      <c r="EI311" s="310"/>
      <c r="EJ311" s="310"/>
      <c r="EK311" s="310"/>
      <c r="EL311" s="310"/>
      <c r="EM311" s="310"/>
      <c r="EN311" s="310"/>
      <c r="EO311" s="310"/>
      <c r="EP311" s="310"/>
      <c r="EQ311" s="310"/>
      <c r="ER311" s="310"/>
      <c r="ES311" s="310"/>
      <c r="ET311" s="310"/>
      <c r="EU311" s="310"/>
      <c r="EV311" s="310"/>
      <c r="EW311" s="310"/>
      <c r="EX311" s="310"/>
      <c r="EY311" s="310"/>
      <c r="EZ311" s="310"/>
      <c r="FA311" s="310"/>
      <c r="FB311" s="310"/>
      <c r="FC311" s="310"/>
      <c r="FD311" s="310"/>
      <c r="FE311" s="311"/>
      <c r="FF311" s="312"/>
    </row>
    <row r="312" spans="1:162" ht="12.75" x14ac:dyDescent="0.2">
      <c r="A312" s="446">
        <v>305</v>
      </c>
      <c r="B312" s="447" t="s">
        <v>493</v>
      </c>
      <c r="C312" s="448" t="s">
        <v>1093</v>
      </c>
      <c r="D312" s="449" t="s">
        <v>1102</v>
      </c>
      <c r="E312" s="450" t="s">
        <v>492</v>
      </c>
      <c r="F312" s="451">
        <v>29413806.199999999</v>
      </c>
      <c r="G312" s="451">
        <v>0</v>
      </c>
      <c r="H312" s="451">
        <v>0</v>
      </c>
      <c r="I312" s="451">
        <v>29413806.199999999</v>
      </c>
      <c r="J312" s="451">
        <v>3841.65</v>
      </c>
      <c r="K312" s="451">
        <v>0</v>
      </c>
      <c r="L312" s="451">
        <v>0</v>
      </c>
      <c r="M312" s="451">
        <v>3841.65</v>
      </c>
      <c r="N312" s="451">
        <v>-76000</v>
      </c>
      <c r="O312" s="451">
        <v>0</v>
      </c>
      <c r="P312" s="451">
        <v>0</v>
      </c>
      <c r="Q312" s="451">
        <v>-76000</v>
      </c>
      <c r="R312" s="451">
        <v>406317</v>
      </c>
      <c r="S312" s="451">
        <v>0</v>
      </c>
      <c r="T312" s="451">
        <v>0</v>
      </c>
      <c r="U312" s="451">
        <v>406317</v>
      </c>
      <c r="V312" s="451">
        <v>1156440</v>
      </c>
      <c r="W312" s="451">
        <v>0</v>
      </c>
      <c r="X312" s="451">
        <v>0</v>
      </c>
      <c r="Y312" s="451">
        <v>1156440</v>
      </c>
      <c r="Z312" s="451">
        <v>27923208</v>
      </c>
      <c r="AA312" s="451">
        <v>0</v>
      </c>
      <c r="AB312" s="451">
        <v>0</v>
      </c>
      <c r="AC312" s="451">
        <v>27923208</v>
      </c>
      <c r="AD312" s="451">
        <v>0</v>
      </c>
      <c r="AE312" s="451">
        <v>0</v>
      </c>
      <c r="AF312" s="451">
        <v>0</v>
      </c>
      <c r="AG312" s="451">
        <v>0</v>
      </c>
      <c r="AH312" s="451">
        <v>0</v>
      </c>
      <c r="AI312" s="451">
        <v>0</v>
      </c>
      <c r="AJ312" s="451">
        <v>0</v>
      </c>
      <c r="AK312" s="451">
        <v>0</v>
      </c>
      <c r="AL312" s="451">
        <v>0</v>
      </c>
      <c r="AM312" s="451">
        <v>0</v>
      </c>
      <c r="AN312" s="451">
        <v>0</v>
      </c>
      <c r="AO312" s="451">
        <v>1785417.27</v>
      </c>
      <c r="AP312" s="451">
        <v>315952.93</v>
      </c>
      <c r="AQ312" s="324"/>
      <c r="AR312" s="310"/>
      <c r="AS312" s="310"/>
      <c r="AT312" s="310"/>
      <c r="AU312" s="310"/>
      <c r="AV312" s="310"/>
      <c r="AW312" s="310"/>
      <c r="AX312" s="310"/>
      <c r="AY312" s="310"/>
      <c r="AZ312" s="310"/>
      <c r="BA312" s="310"/>
      <c r="BB312" s="310"/>
      <c r="BC312" s="310"/>
      <c r="BD312" s="310"/>
      <c r="BE312" s="310"/>
      <c r="BF312" s="310"/>
      <c r="BG312" s="310"/>
      <c r="BH312" s="310"/>
      <c r="BI312" s="310"/>
      <c r="BJ312" s="310"/>
      <c r="BK312" s="310"/>
      <c r="BL312" s="310"/>
      <c r="BM312" s="310"/>
      <c r="BN312" s="310"/>
      <c r="BO312" s="310"/>
      <c r="BP312" s="310"/>
      <c r="BQ312" s="310"/>
      <c r="BR312" s="310"/>
      <c r="BS312" s="310"/>
      <c r="BT312" s="310"/>
      <c r="BU312" s="310"/>
      <c r="BV312" s="310"/>
      <c r="BW312" s="310"/>
      <c r="BX312" s="310"/>
      <c r="BY312" s="310"/>
      <c r="BZ312" s="310"/>
      <c r="CA312" s="310"/>
      <c r="CB312" s="310"/>
      <c r="CC312" s="310"/>
      <c r="CD312" s="310"/>
      <c r="CE312" s="310"/>
      <c r="CF312" s="310"/>
      <c r="CG312" s="310"/>
      <c r="CH312" s="310"/>
      <c r="CI312" s="310"/>
      <c r="CJ312" s="310"/>
      <c r="CK312" s="310"/>
      <c r="CL312" s="310"/>
      <c r="CM312" s="310"/>
      <c r="CN312" s="310"/>
      <c r="CO312" s="310"/>
      <c r="CP312" s="310"/>
      <c r="CQ312" s="310"/>
      <c r="CR312" s="310"/>
      <c r="CS312" s="310"/>
      <c r="CT312" s="310"/>
      <c r="CU312" s="310"/>
      <c r="CV312" s="310"/>
      <c r="CW312" s="310"/>
      <c r="CX312" s="310"/>
      <c r="CY312" s="310"/>
      <c r="CZ312" s="310"/>
      <c r="DA312" s="310"/>
      <c r="DB312" s="310"/>
      <c r="DC312" s="310"/>
      <c r="DD312" s="310"/>
      <c r="DE312" s="310"/>
      <c r="DF312" s="310"/>
      <c r="DG312" s="310"/>
      <c r="DH312" s="310"/>
      <c r="DI312" s="310"/>
      <c r="DJ312" s="310"/>
      <c r="DK312" s="310"/>
      <c r="DL312" s="310"/>
      <c r="DM312" s="310"/>
      <c r="DN312" s="310"/>
      <c r="DO312" s="310"/>
      <c r="DP312" s="310"/>
      <c r="DQ312" s="310"/>
      <c r="DR312" s="310"/>
      <c r="DS312" s="310"/>
      <c r="DT312" s="310"/>
      <c r="DU312" s="310"/>
      <c r="DV312" s="310"/>
      <c r="DW312" s="310"/>
      <c r="DX312" s="310"/>
      <c r="DY312" s="310"/>
      <c r="DZ312" s="310"/>
      <c r="EA312" s="310"/>
      <c r="EB312" s="310"/>
      <c r="EC312" s="310"/>
      <c r="ED312" s="310"/>
      <c r="EE312" s="310"/>
      <c r="EF312" s="310"/>
      <c r="EG312" s="310"/>
      <c r="EH312" s="310"/>
      <c r="EI312" s="310"/>
      <c r="EJ312" s="310"/>
      <c r="EK312" s="310"/>
      <c r="EL312" s="310"/>
      <c r="EM312" s="310"/>
      <c r="EN312" s="310"/>
      <c r="EO312" s="310"/>
      <c r="EP312" s="310"/>
      <c r="EQ312" s="310"/>
      <c r="ER312" s="310"/>
      <c r="ES312" s="310"/>
      <c r="ET312" s="310"/>
      <c r="EU312" s="310"/>
      <c r="EV312" s="310"/>
      <c r="EW312" s="310"/>
      <c r="EX312" s="310"/>
      <c r="EY312" s="310"/>
      <c r="EZ312" s="310"/>
      <c r="FA312" s="310"/>
      <c r="FB312" s="310"/>
      <c r="FC312" s="310"/>
      <c r="FD312" s="310"/>
      <c r="FE312" s="311"/>
      <c r="FF312" s="312"/>
    </row>
    <row r="313" spans="1:162" ht="12.75" x14ac:dyDescent="0.2">
      <c r="A313" s="446">
        <v>306</v>
      </c>
      <c r="B313" s="447" t="s">
        <v>495</v>
      </c>
      <c r="C313" s="448" t="s">
        <v>1093</v>
      </c>
      <c r="D313" s="449" t="s">
        <v>1095</v>
      </c>
      <c r="E313" s="450" t="s">
        <v>494</v>
      </c>
      <c r="F313" s="451">
        <v>30307677</v>
      </c>
      <c r="G313" s="451">
        <v>0</v>
      </c>
      <c r="H313" s="451">
        <v>0</v>
      </c>
      <c r="I313" s="451">
        <v>30307677</v>
      </c>
      <c r="J313" s="451">
        <v>68499</v>
      </c>
      <c r="K313" s="451">
        <v>0</v>
      </c>
      <c r="L313" s="451">
        <v>0</v>
      </c>
      <c r="M313" s="451">
        <v>68499</v>
      </c>
      <c r="N313" s="451">
        <v>414595</v>
      </c>
      <c r="O313" s="451">
        <v>0</v>
      </c>
      <c r="P313" s="451">
        <v>0</v>
      </c>
      <c r="Q313" s="451">
        <v>414595</v>
      </c>
      <c r="R313" s="451">
        <v>556034</v>
      </c>
      <c r="S313" s="451">
        <v>0</v>
      </c>
      <c r="T313" s="451">
        <v>0</v>
      </c>
      <c r="U313" s="451">
        <v>556034</v>
      </c>
      <c r="V313" s="451">
        <v>1589839</v>
      </c>
      <c r="W313" s="451">
        <v>0</v>
      </c>
      <c r="X313" s="451">
        <v>0</v>
      </c>
      <c r="Y313" s="451">
        <v>1589839</v>
      </c>
      <c r="Z313" s="451">
        <v>27678710</v>
      </c>
      <c r="AA313" s="451">
        <v>0</v>
      </c>
      <c r="AB313" s="451">
        <v>0</v>
      </c>
      <c r="AC313" s="451">
        <v>27678710</v>
      </c>
      <c r="AD313" s="451">
        <v>0</v>
      </c>
      <c r="AE313" s="451">
        <v>0</v>
      </c>
      <c r="AF313" s="451">
        <v>0</v>
      </c>
      <c r="AG313" s="451">
        <v>0</v>
      </c>
      <c r="AH313" s="451">
        <v>0</v>
      </c>
      <c r="AI313" s="451">
        <v>0</v>
      </c>
      <c r="AJ313" s="451">
        <v>0</v>
      </c>
      <c r="AK313" s="451">
        <v>0</v>
      </c>
      <c r="AL313" s="451">
        <v>0</v>
      </c>
      <c r="AM313" s="451">
        <v>0</v>
      </c>
      <c r="AN313" s="451">
        <v>0</v>
      </c>
      <c r="AO313" s="451">
        <v>4833417</v>
      </c>
      <c r="AP313" s="451">
        <v>908738</v>
      </c>
      <c r="AQ313" s="324"/>
      <c r="AR313" s="310"/>
      <c r="AS313" s="310"/>
      <c r="AT313" s="310"/>
      <c r="AU313" s="310"/>
      <c r="AV313" s="310"/>
      <c r="AW313" s="310"/>
      <c r="AX313" s="310"/>
      <c r="AY313" s="310"/>
      <c r="AZ313" s="310"/>
      <c r="BA313" s="310"/>
      <c r="BB313" s="310"/>
      <c r="BC313" s="310"/>
      <c r="BD313" s="310"/>
      <c r="BE313" s="310"/>
      <c r="BF313" s="310"/>
      <c r="BG313" s="310"/>
      <c r="BH313" s="310"/>
      <c r="BI313" s="310"/>
      <c r="BJ313" s="310"/>
      <c r="BK313" s="310"/>
      <c r="BL313" s="310"/>
      <c r="BM313" s="310"/>
      <c r="BN313" s="310"/>
      <c r="BO313" s="310"/>
      <c r="BP313" s="310"/>
      <c r="BQ313" s="310"/>
      <c r="BR313" s="310"/>
      <c r="BS313" s="310"/>
      <c r="BT313" s="310"/>
      <c r="BU313" s="310"/>
      <c r="BV313" s="310"/>
      <c r="BW313" s="310"/>
      <c r="BX313" s="310"/>
      <c r="BY313" s="310"/>
      <c r="BZ313" s="310"/>
      <c r="CA313" s="310"/>
      <c r="CB313" s="310"/>
      <c r="CC313" s="310"/>
      <c r="CD313" s="310"/>
      <c r="CE313" s="310"/>
      <c r="CF313" s="310"/>
      <c r="CG313" s="310"/>
      <c r="CH313" s="310"/>
      <c r="CI313" s="310"/>
      <c r="CJ313" s="310"/>
      <c r="CK313" s="310"/>
      <c r="CL313" s="310"/>
      <c r="CM313" s="310"/>
      <c r="CN313" s="310"/>
      <c r="CO313" s="310"/>
      <c r="CP313" s="310"/>
      <c r="CQ313" s="310"/>
      <c r="CR313" s="310"/>
      <c r="CS313" s="310"/>
      <c r="CT313" s="310"/>
      <c r="CU313" s="310"/>
      <c r="CV313" s="310"/>
      <c r="CW313" s="310"/>
      <c r="CX313" s="310"/>
      <c r="CY313" s="310"/>
      <c r="CZ313" s="310"/>
      <c r="DA313" s="310"/>
      <c r="DB313" s="310"/>
      <c r="DC313" s="310"/>
      <c r="DD313" s="310"/>
      <c r="DE313" s="310"/>
      <c r="DF313" s="310"/>
      <c r="DG313" s="310"/>
      <c r="DH313" s="310"/>
      <c r="DI313" s="310"/>
      <c r="DJ313" s="310"/>
      <c r="DK313" s="310"/>
      <c r="DL313" s="310"/>
      <c r="DM313" s="310"/>
      <c r="DN313" s="310"/>
      <c r="DO313" s="310"/>
      <c r="DP313" s="310"/>
      <c r="DQ313" s="310"/>
      <c r="DR313" s="310"/>
      <c r="DS313" s="310"/>
      <c r="DT313" s="310"/>
      <c r="DU313" s="310"/>
      <c r="DV313" s="310"/>
      <c r="DW313" s="310"/>
      <c r="DX313" s="310"/>
      <c r="DY313" s="310"/>
      <c r="DZ313" s="310"/>
      <c r="EA313" s="310"/>
      <c r="EB313" s="310"/>
      <c r="EC313" s="310"/>
      <c r="ED313" s="310"/>
      <c r="EE313" s="310"/>
      <c r="EF313" s="310"/>
      <c r="EG313" s="310"/>
      <c r="EH313" s="310"/>
      <c r="EI313" s="310"/>
      <c r="EJ313" s="310"/>
      <c r="EK313" s="310"/>
      <c r="EL313" s="310"/>
      <c r="EM313" s="310"/>
      <c r="EN313" s="310"/>
      <c r="EO313" s="310"/>
      <c r="EP313" s="310"/>
      <c r="EQ313" s="310"/>
      <c r="ER313" s="310"/>
      <c r="ES313" s="310"/>
      <c r="ET313" s="310"/>
      <c r="EU313" s="310"/>
      <c r="EV313" s="310"/>
      <c r="EW313" s="310"/>
      <c r="EX313" s="310"/>
      <c r="EY313" s="310"/>
      <c r="EZ313" s="310"/>
      <c r="FA313" s="310"/>
      <c r="FB313" s="310"/>
      <c r="FC313" s="310"/>
      <c r="FD313" s="310"/>
      <c r="FE313" s="311"/>
      <c r="FF313" s="312"/>
    </row>
    <row r="314" spans="1:162" ht="12.75" x14ac:dyDescent="0.2">
      <c r="A314" s="446">
        <v>307</v>
      </c>
      <c r="B314" s="447" t="s">
        <v>497</v>
      </c>
      <c r="C314" s="448" t="s">
        <v>1093</v>
      </c>
      <c r="D314" s="449" t="s">
        <v>1096</v>
      </c>
      <c r="E314" s="450" t="s">
        <v>496</v>
      </c>
      <c r="F314" s="451">
        <v>14636904</v>
      </c>
      <c r="G314" s="451">
        <v>0</v>
      </c>
      <c r="H314" s="451">
        <v>0</v>
      </c>
      <c r="I314" s="451">
        <v>14636904</v>
      </c>
      <c r="J314" s="451">
        <v>109039.15</v>
      </c>
      <c r="K314" s="451">
        <v>0</v>
      </c>
      <c r="L314" s="451">
        <v>0</v>
      </c>
      <c r="M314" s="451">
        <v>109039.15</v>
      </c>
      <c r="N314" s="451">
        <v>-9788</v>
      </c>
      <c r="O314" s="451">
        <v>0</v>
      </c>
      <c r="P314" s="451">
        <v>0</v>
      </c>
      <c r="Q314" s="451">
        <v>-9788</v>
      </c>
      <c r="R314" s="451">
        <v>120436</v>
      </c>
      <c r="S314" s="451">
        <v>0</v>
      </c>
      <c r="T314" s="451">
        <v>0</v>
      </c>
      <c r="U314" s="451">
        <v>120436</v>
      </c>
      <c r="V314" s="451">
        <v>373843</v>
      </c>
      <c r="W314" s="451">
        <v>0</v>
      </c>
      <c r="X314" s="451">
        <v>0</v>
      </c>
      <c r="Y314" s="451">
        <v>373843</v>
      </c>
      <c r="Z314" s="451">
        <v>14043374</v>
      </c>
      <c r="AA314" s="451">
        <v>0</v>
      </c>
      <c r="AB314" s="451">
        <v>0</v>
      </c>
      <c r="AC314" s="451">
        <v>14043374</v>
      </c>
      <c r="AD314" s="451">
        <v>0</v>
      </c>
      <c r="AE314" s="451">
        <v>0</v>
      </c>
      <c r="AF314" s="451">
        <v>0</v>
      </c>
      <c r="AG314" s="451">
        <v>0</v>
      </c>
      <c r="AH314" s="451">
        <v>0</v>
      </c>
      <c r="AI314" s="451">
        <v>0</v>
      </c>
      <c r="AJ314" s="451">
        <v>0</v>
      </c>
      <c r="AK314" s="451">
        <v>0</v>
      </c>
      <c r="AL314" s="451">
        <v>0</v>
      </c>
      <c r="AM314" s="451">
        <v>0</v>
      </c>
      <c r="AN314" s="451">
        <v>0</v>
      </c>
      <c r="AO314" s="451">
        <v>529906.97</v>
      </c>
      <c r="AP314" s="451">
        <v>457947.63</v>
      </c>
      <c r="AQ314" s="324"/>
      <c r="AR314" s="310"/>
      <c r="AS314" s="310"/>
      <c r="AT314" s="310"/>
      <c r="AU314" s="310"/>
      <c r="AV314" s="310"/>
      <c r="AW314" s="310"/>
      <c r="AX314" s="310"/>
      <c r="AY314" s="310"/>
      <c r="AZ314" s="310"/>
      <c r="BA314" s="310"/>
      <c r="BB314" s="310"/>
      <c r="BC314" s="310"/>
      <c r="BD314" s="310"/>
      <c r="BE314" s="310"/>
      <c r="BF314" s="310"/>
      <c r="BG314" s="310"/>
      <c r="BH314" s="310"/>
      <c r="BI314" s="310"/>
      <c r="BJ314" s="310"/>
      <c r="BK314" s="310"/>
      <c r="BL314" s="310"/>
      <c r="BM314" s="310"/>
      <c r="BN314" s="310"/>
      <c r="BO314" s="310"/>
      <c r="BP314" s="310"/>
      <c r="BQ314" s="310"/>
      <c r="BR314" s="310"/>
      <c r="BS314" s="310"/>
      <c r="BT314" s="310"/>
      <c r="BU314" s="310"/>
      <c r="BV314" s="310"/>
      <c r="BW314" s="310"/>
      <c r="BX314" s="310"/>
      <c r="BY314" s="310"/>
      <c r="BZ314" s="310"/>
      <c r="CA314" s="310"/>
      <c r="CB314" s="310"/>
      <c r="CC314" s="310"/>
      <c r="CD314" s="310"/>
      <c r="CE314" s="310"/>
      <c r="CF314" s="310"/>
      <c r="CG314" s="310"/>
      <c r="CH314" s="310"/>
      <c r="CI314" s="310"/>
      <c r="CJ314" s="310"/>
      <c r="CK314" s="310"/>
      <c r="CL314" s="310"/>
      <c r="CM314" s="310"/>
      <c r="CN314" s="310"/>
      <c r="CO314" s="310"/>
      <c r="CP314" s="310"/>
      <c r="CQ314" s="310"/>
      <c r="CR314" s="310"/>
      <c r="CS314" s="310"/>
      <c r="CT314" s="310"/>
      <c r="CU314" s="310"/>
      <c r="CV314" s="310"/>
      <c r="CW314" s="310"/>
      <c r="CX314" s="310"/>
      <c r="CY314" s="310"/>
      <c r="CZ314" s="310"/>
      <c r="DA314" s="310"/>
      <c r="DB314" s="310"/>
      <c r="DC314" s="310"/>
      <c r="DD314" s="310"/>
      <c r="DE314" s="310"/>
      <c r="DF314" s="310"/>
      <c r="DG314" s="310"/>
      <c r="DH314" s="310"/>
      <c r="DI314" s="310"/>
      <c r="DJ314" s="310"/>
      <c r="DK314" s="310"/>
      <c r="DL314" s="310"/>
      <c r="DM314" s="310"/>
      <c r="DN314" s="310"/>
      <c r="DO314" s="310"/>
      <c r="DP314" s="310"/>
      <c r="DQ314" s="310"/>
      <c r="DR314" s="310"/>
      <c r="DS314" s="310"/>
      <c r="DT314" s="310"/>
      <c r="DU314" s="310"/>
      <c r="DV314" s="310"/>
      <c r="DW314" s="310"/>
      <c r="DX314" s="310"/>
      <c r="DY314" s="310"/>
      <c r="DZ314" s="310"/>
      <c r="EA314" s="310"/>
      <c r="EB314" s="310"/>
      <c r="EC314" s="310"/>
      <c r="ED314" s="310"/>
      <c r="EE314" s="310"/>
      <c r="EF314" s="310"/>
      <c r="EG314" s="310"/>
      <c r="EH314" s="310"/>
      <c r="EI314" s="310"/>
      <c r="EJ314" s="310"/>
      <c r="EK314" s="310"/>
      <c r="EL314" s="310"/>
      <c r="EM314" s="310"/>
      <c r="EN314" s="310"/>
      <c r="EO314" s="310"/>
      <c r="EP314" s="310"/>
      <c r="EQ314" s="310"/>
      <c r="ER314" s="310"/>
      <c r="ES314" s="310"/>
      <c r="ET314" s="310"/>
      <c r="EU314" s="310"/>
      <c r="EV314" s="310"/>
      <c r="EW314" s="310"/>
      <c r="EX314" s="310"/>
      <c r="EY314" s="310"/>
      <c r="EZ314" s="310"/>
      <c r="FA314" s="310"/>
      <c r="FB314" s="310"/>
      <c r="FC314" s="310"/>
      <c r="FD314" s="310"/>
      <c r="FE314" s="311"/>
      <c r="FF314" s="312"/>
    </row>
    <row r="315" spans="1:162" ht="12.75" x14ac:dyDescent="0.2">
      <c r="A315" s="446">
        <v>308</v>
      </c>
      <c r="B315" s="447" t="s">
        <v>499</v>
      </c>
      <c r="C315" s="448" t="s">
        <v>1093</v>
      </c>
      <c r="D315" s="449" t="s">
        <v>1094</v>
      </c>
      <c r="E315" s="450" t="s">
        <v>498</v>
      </c>
      <c r="F315" s="451">
        <v>32956934</v>
      </c>
      <c r="G315" s="451">
        <v>0</v>
      </c>
      <c r="H315" s="451">
        <v>0</v>
      </c>
      <c r="I315" s="451">
        <v>32956934</v>
      </c>
      <c r="J315" s="451">
        <v>60904.800000000003</v>
      </c>
      <c r="K315" s="451">
        <v>0</v>
      </c>
      <c r="L315" s="451">
        <v>0</v>
      </c>
      <c r="M315" s="451">
        <v>60904.800000000003</v>
      </c>
      <c r="N315" s="451">
        <v>99834</v>
      </c>
      <c r="O315" s="451">
        <v>0</v>
      </c>
      <c r="P315" s="451">
        <v>0</v>
      </c>
      <c r="Q315" s="451">
        <v>99834</v>
      </c>
      <c r="R315" s="451">
        <v>309313</v>
      </c>
      <c r="S315" s="451">
        <v>0</v>
      </c>
      <c r="T315" s="451">
        <v>0</v>
      </c>
      <c r="U315" s="451">
        <v>309313</v>
      </c>
      <c r="V315" s="451">
        <v>1869939</v>
      </c>
      <c r="W315" s="451">
        <v>0</v>
      </c>
      <c r="X315" s="451">
        <v>0</v>
      </c>
      <c r="Y315" s="451">
        <v>1869939</v>
      </c>
      <c r="Z315" s="451">
        <v>30616943</v>
      </c>
      <c r="AA315" s="451">
        <v>0</v>
      </c>
      <c r="AB315" s="451">
        <v>0</v>
      </c>
      <c r="AC315" s="451">
        <v>30616943</v>
      </c>
      <c r="AD315" s="451">
        <v>0</v>
      </c>
      <c r="AE315" s="451">
        <v>0</v>
      </c>
      <c r="AF315" s="451">
        <v>0</v>
      </c>
      <c r="AG315" s="451">
        <v>0</v>
      </c>
      <c r="AH315" s="451">
        <v>0</v>
      </c>
      <c r="AI315" s="451">
        <v>0</v>
      </c>
      <c r="AJ315" s="451">
        <v>0</v>
      </c>
      <c r="AK315" s="451">
        <v>0</v>
      </c>
      <c r="AL315" s="451">
        <v>0</v>
      </c>
      <c r="AM315" s="451">
        <v>0</v>
      </c>
      <c r="AN315" s="451">
        <v>0</v>
      </c>
      <c r="AO315" s="451">
        <v>896942.97</v>
      </c>
      <c r="AP315" s="451">
        <v>439766</v>
      </c>
      <c r="AQ315" s="324"/>
      <c r="AR315" s="310"/>
      <c r="AS315" s="310"/>
      <c r="AT315" s="310"/>
      <c r="AU315" s="310"/>
      <c r="AV315" s="310"/>
      <c r="AW315" s="310"/>
      <c r="AX315" s="310"/>
      <c r="AY315" s="310"/>
      <c r="AZ315" s="310"/>
      <c r="BA315" s="310"/>
      <c r="BB315" s="310"/>
      <c r="BC315" s="310"/>
      <c r="BD315" s="310"/>
      <c r="BE315" s="310"/>
      <c r="BF315" s="310"/>
      <c r="BG315" s="310"/>
      <c r="BH315" s="310"/>
      <c r="BI315" s="310"/>
      <c r="BJ315" s="310"/>
      <c r="BK315" s="310"/>
      <c r="BL315" s="310"/>
      <c r="BM315" s="310"/>
      <c r="BN315" s="310"/>
      <c r="BO315" s="310"/>
      <c r="BP315" s="310"/>
      <c r="BQ315" s="310"/>
      <c r="BR315" s="310"/>
      <c r="BS315" s="310"/>
      <c r="BT315" s="310"/>
      <c r="BU315" s="310"/>
      <c r="BV315" s="310"/>
      <c r="BW315" s="310"/>
      <c r="BX315" s="310"/>
      <c r="BY315" s="310"/>
      <c r="BZ315" s="310"/>
      <c r="CA315" s="310"/>
      <c r="CB315" s="310"/>
      <c r="CC315" s="310"/>
      <c r="CD315" s="310"/>
      <c r="CE315" s="310"/>
      <c r="CF315" s="310"/>
      <c r="CG315" s="310"/>
      <c r="CH315" s="310"/>
      <c r="CI315" s="310"/>
      <c r="CJ315" s="310"/>
      <c r="CK315" s="310"/>
      <c r="CL315" s="310"/>
      <c r="CM315" s="310"/>
      <c r="CN315" s="310"/>
      <c r="CO315" s="310"/>
      <c r="CP315" s="310"/>
      <c r="CQ315" s="310"/>
      <c r="CR315" s="310"/>
      <c r="CS315" s="310"/>
      <c r="CT315" s="310"/>
      <c r="CU315" s="310"/>
      <c r="CV315" s="310"/>
      <c r="CW315" s="310"/>
      <c r="CX315" s="310"/>
      <c r="CY315" s="310"/>
      <c r="CZ315" s="310"/>
      <c r="DA315" s="310"/>
      <c r="DB315" s="310"/>
      <c r="DC315" s="310"/>
      <c r="DD315" s="310"/>
      <c r="DE315" s="310"/>
      <c r="DF315" s="310"/>
      <c r="DG315" s="310"/>
      <c r="DH315" s="310"/>
      <c r="DI315" s="310"/>
      <c r="DJ315" s="310"/>
      <c r="DK315" s="310"/>
      <c r="DL315" s="310"/>
      <c r="DM315" s="310"/>
      <c r="DN315" s="310"/>
      <c r="DO315" s="310"/>
      <c r="DP315" s="310"/>
      <c r="DQ315" s="310"/>
      <c r="DR315" s="310"/>
      <c r="DS315" s="310"/>
      <c r="DT315" s="310"/>
      <c r="DU315" s="310"/>
      <c r="DV315" s="310"/>
      <c r="DW315" s="310"/>
      <c r="DX315" s="310"/>
      <c r="DY315" s="310"/>
      <c r="DZ315" s="310"/>
      <c r="EA315" s="310"/>
      <c r="EB315" s="310"/>
      <c r="EC315" s="310"/>
      <c r="ED315" s="310"/>
      <c r="EE315" s="310"/>
      <c r="EF315" s="310"/>
      <c r="EG315" s="310"/>
      <c r="EH315" s="310"/>
      <c r="EI315" s="310"/>
      <c r="EJ315" s="310"/>
      <c r="EK315" s="310"/>
      <c r="EL315" s="310"/>
      <c r="EM315" s="310"/>
      <c r="EN315" s="310"/>
      <c r="EO315" s="310"/>
      <c r="EP315" s="310"/>
      <c r="EQ315" s="310"/>
      <c r="ER315" s="310"/>
      <c r="ES315" s="310"/>
      <c r="ET315" s="310"/>
      <c r="EU315" s="310"/>
      <c r="EV315" s="310"/>
      <c r="EW315" s="310"/>
      <c r="EX315" s="310"/>
      <c r="EY315" s="310"/>
      <c r="EZ315" s="310"/>
      <c r="FA315" s="310"/>
      <c r="FB315" s="310"/>
      <c r="FC315" s="310"/>
      <c r="FD315" s="310"/>
      <c r="FE315" s="311"/>
      <c r="FF315" s="312"/>
    </row>
    <row r="316" spans="1:162" ht="12.75" x14ac:dyDescent="0.2">
      <c r="A316" s="446">
        <v>309</v>
      </c>
      <c r="B316" s="447" t="s">
        <v>501</v>
      </c>
      <c r="C316" s="448" t="s">
        <v>1093</v>
      </c>
      <c r="D316" s="449" t="s">
        <v>1102</v>
      </c>
      <c r="E316" s="450" t="s">
        <v>500</v>
      </c>
      <c r="F316" s="451">
        <v>11590884</v>
      </c>
      <c r="G316" s="451">
        <v>0</v>
      </c>
      <c r="H316" s="451">
        <v>0</v>
      </c>
      <c r="I316" s="451">
        <v>11590884</v>
      </c>
      <c r="J316" s="451">
        <v>16110</v>
      </c>
      <c r="K316" s="451">
        <v>0</v>
      </c>
      <c r="L316" s="451">
        <v>0</v>
      </c>
      <c r="M316" s="451">
        <v>16110</v>
      </c>
      <c r="N316" s="451">
        <v>0</v>
      </c>
      <c r="O316" s="451">
        <v>0</v>
      </c>
      <c r="P316" s="451">
        <v>0</v>
      </c>
      <c r="Q316" s="451">
        <v>0</v>
      </c>
      <c r="R316" s="451">
        <v>464100</v>
      </c>
      <c r="S316" s="451">
        <v>0</v>
      </c>
      <c r="T316" s="451">
        <v>0</v>
      </c>
      <c r="U316" s="451">
        <v>464100</v>
      </c>
      <c r="V316" s="451">
        <v>1385400</v>
      </c>
      <c r="W316" s="451">
        <v>0</v>
      </c>
      <c r="X316" s="451">
        <v>0</v>
      </c>
      <c r="Y316" s="451">
        <v>1385400</v>
      </c>
      <c r="Z316" s="451">
        <v>9725274</v>
      </c>
      <c r="AA316" s="451">
        <v>0</v>
      </c>
      <c r="AB316" s="451">
        <v>0</v>
      </c>
      <c r="AC316" s="451">
        <v>9725274</v>
      </c>
      <c r="AD316" s="451">
        <v>0</v>
      </c>
      <c r="AE316" s="451">
        <v>0</v>
      </c>
      <c r="AF316" s="451">
        <v>0</v>
      </c>
      <c r="AG316" s="451">
        <v>0</v>
      </c>
      <c r="AH316" s="451">
        <v>0</v>
      </c>
      <c r="AI316" s="451">
        <v>0</v>
      </c>
      <c r="AJ316" s="451">
        <v>0</v>
      </c>
      <c r="AK316" s="451">
        <v>0</v>
      </c>
      <c r="AL316" s="451">
        <v>0</v>
      </c>
      <c r="AM316" s="451">
        <v>0</v>
      </c>
      <c r="AN316" s="451">
        <v>0</v>
      </c>
      <c r="AO316" s="451">
        <v>418904</v>
      </c>
      <c r="AP316" s="451">
        <v>136671</v>
      </c>
      <c r="AQ316" s="324"/>
      <c r="AR316" s="310"/>
      <c r="AS316" s="310"/>
      <c r="AT316" s="310"/>
      <c r="AU316" s="310"/>
      <c r="AV316" s="310"/>
      <c r="AW316" s="310"/>
      <c r="AX316" s="310"/>
      <c r="AY316" s="310"/>
      <c r="AZ316" s="310"/>
      <c r="BA316" s="310"/>
      <c r="BB316" s="310"/>
      <c r="BC316" s="310"/>
      <c r="BD316" s="310"/>
      <c r="BE316" s="310"/>
      <c r="BF316" s="310"/>
      <c r="BG316" s="310"/>
      <c r="BH316" s="310"/>
      <c r="BI316" s="310"/>
      <c r="BJ316" s="310"/>
      <c r="BK316" s="310"/>
      <c r="BL316" s="310"/>
      <c r="BM316" s="310"/>
      <c r="BN316" s="310"/>
      <c r="BO316" s="310"/>
      <c r="BP316" s="310"/>
      <c r="BQ316" s="310"/>
      <c r="BR316" s="310"/>
      <c r="BS316" s="310"/>
      <c r="BT316" s="310"/>
      <c r="BU316" s="310"/>
      <c r="BV316" s="310"/>
      <c r="BW316" s="310"/>
      <c r="BX316" s="310"/>
      <c r="BY316" s="310"/>
      <c r="BZ316" s="310"/>
      <c r="CA316" s="310"/>
      <c r="CB316" s="310"/>
      <c r="CC316" s="310"/>
      <c r="CD316" s="310"/>
      <c r="CE316" s="310"/>
      <c r="CF316" s="310"/>
      <c r="CG316" s="310"/>
      <c r="CH316" s="310"/>
      <c r="CI316" s="310"/>
      <c r="CJ316" s="310"/>
      <c r="CK316" s="310"/>
      <c r="CL316" s="310"/>
      <c r="CM316" s="310"/>
      <c r="CN316" s="310"/>
      <c r="CO316" s="310"/>
      <c r="CP316" s="310"/>
      <c r="CQ316" s="310"/>
      <c r="CR316" s="310"/>
      <c r="CS316" s="310"/>
      <c r="CT316" s="310"/>
      <c r="CU316" s="310"/>
      <c r="CV316" s="310"/>
      <c r="CW316" s="310"/>
      <c r="CX316" s="310"/>
      <c r="CY316" s="310"/>
      <c r="CZ316" s="310"/>
      <c r="DA316" s="310"/>
      <c r="DB316" s="310"/>
      <c r="DC316" s="310"/>
      <c r="DD316" s="310"/>
      <c r="DE316" s="310"/>
      <c r="DF316" s="310"/>
      <c r="DG316" s="310"/>
      <c r="DH316" s="310"/>
      <c r="DI316" s="310"/>
      <c r="DJ316" s="310"/>
      <c r="DK316" s="310"/>
      <c r="DL316" s="310"/>
      <c r="DM316" s="310"/>
      <c r="DN316" s="310"/>
      <c r="DO316" s="310"/>
      <c r="DP316" s="310"/>
      <c r="DQ316" s="310"/>
      <c r="DR316" s="310"/>
      <c r="DS316" s="310"/>
      <c r="DT316" s="310"/>
      <c r="DU316" s="310"/>
      <c r="DV316" s="310"/>
      <c r="DW316" s="310"/>
      <c r="DX316" s="310"/>
      <c r="DY316" s="310"/>
      <c r="DZ316" s="310"/>
      <c r="EA316" s="310"/>
      <c r="EB316" s="310"/>
      <c r="EC316" s="310"/>
      <c r="ED316" s="310"/>
      <c r="EE316" s="310"/>
      <c r="EF316" s="310"/>
      <c r="EG316" s="310"/>
      <c r="EH316" s="310"/>
      <c r="EI316" s="310"/>
      <c r="EJ316" s="310"/>
      <c r="EK316" s="310"/>
      <c r="EL316" s="310"/>
      <c r="EM316" s="310"/>
      <c r="EN316" s="310"/>
      <c r="EO316" s="310"/>
      <c r="EP316" s="310"/>
      <c r="EQ316" s="310"/>
      <c r="ER316" s="310"/>
      <c r="ES316" s="310"/>
      <c r="ET316" s="310"/>
      <c r="EU316" s="310"/>
      <c r="EV316" s="310"/>
      <c r="EW316" s="310"/>
      <c r="EX316" s="310"/>
      <c r="EY316" s="310"/>
      <c r="EZ316" s="310"/>
      <c r="FA316" s="310"/>
      <c r="FB316" s="310"/>
      <c r="FC316" s="310"/>
      <c r="FD316" s="310"/>
      <c r="FE316" s="311"/>
      <c r="FF316" s="312"/>
    </row>
    <row r="317" spans="1:162" ht="12.75" x14ac:dyDescent="0.2">
      <c r="A317" s="446">
        <v>310</v>
      </c>
      <c r="B317" s="447" t="s">
        <v>503</v>
      </c>
      <c r="C317" s="448" t="s">
        <v>1104</v>
      </c>
      <c r="D317" s="449" t="s">
        <v>1099</v>
      </c>
      <c r="E317" s="450" t="s">
        <v>502</v>
      </c>
      <c r="F317" s="451">
        <v>1735368278</v>
      </c>
      <c r="G317" s="451">
        <v>0</v>
      </c>
      <c r="H317" s="451">
        <v>0</v>
      </c>
      <c r="I317" s="451">
        <v>1735368278</v>
      </c>
      <c r="J317" s="451">
        <v>11115293</v>
      </c>
      <c r="K317" s="451">
        <v>0</v>
      </c>
      <c r="L317" s="451">
        <v>0</v>
      </c>
      <c r="M317" s="451">
        <v>11115293</v>
      </c>
      <c r="N317" s="451">
        <v>1420000</v>
      </c>
      <c r="O317" s="451">
        <v>0</v>
      </c>
      <c r="P317" s="451">
        <v>0</v>
      </c>
      <c r="Q317" s="451">
        <v>1420000</v>
      </c>
      <c r="R317" s="451">
        <v>38295189</v>
      </c>
      <c r="S317" s="451">
        <v>0</v>
      </c>
      <c r="T317" s="451">
        <v>0</v>
      </c>
      <c r="U317" s="451">
        <v>38295189</v>
      </c>
      <c r="V317" s="451">
        <v>124889497</v>
      </c>
      <c r="W317" s="451">
        <v>0</v>
      </c>
      <c r="X317" s="451">
        <v>0</v>
      </c>
      <c r="Y317" s="451">
        <v>124889497</v>
      </c>
      <c r="Z317" s="451">
        <v>1559648299</v>
      </c>
      <c r="AA317" s="451">
        <v>0</v>
      </c>
      <c r="AB317" s="451">
        <v>0</v>
      </c>
      <c r="AC317" s="451">
        <v>1559648299</v>
      </c>
      <c r="AD317" s="451">
        <v>0</v>
      </c>
      <c r="AE317" s="451">
        <v>0</v>
      </c>
      <c r="AF317" s="451">
        <v>0</v>
      </c>
      <c r="AG317" s="451">
        <v>0</v>
      </c>
      <c r="AH317" s="451">
        <v>0</v>
      </c>
      <c r="AI317" s="451">
        <v>0</v>
      </c>
      <c r="AJ317" s="451">
        <v>0</v>
      </c>
      <c r="AK317" s="451">
        <v>0</v>
      </c>
      <c r="AL317" s="451">
        <v>0</v>
      </c>
      <c r="AM317" s="451">
        <v>0</v>
      </c>
      <c r="AN317" s="451">
        <v>0</v>
      </c>
      <c r="AO317" s="451">
        <v>51186391</v>
      </c>
      <c r="AP317" s="451">
        <v>50858625</v>
      </c>
      <c r="AQ317" s="324"/>
      <c r="AR317" s="310"/>
      <c r="AS317" s="310"/>
      <c r="AT317" s="310"/>
      <c r="AU317" s="310"/>
      <c r="AV317" s="310"/>
      <c r="AW317" s="310"/>
      <c r="AX317" s="310"/>
      <c r="AY317" s="310"/>
      <c r="AZ317" s="310"/>
      <c r="BA317" s="310"/>
      <c r="BB317" s="310"/>
      <c r="BC317" s="310"/>
      <c r="BD317" s="310"/>
      <c r="BE317" s="310"/>
      <c r="BF317" s="310"/>
      <c r="BG317" s="310"/>
      <c r="BH317" s="310"/>
      <c r="BI317" s="310"/>
      <c r="BJ317" s="310"/>
      <c r="BK317" s="310"/>
      <c r="BL317" s="310"/>
      <c r="BM317" s="310"/>
      <c r="BN317" s="310"/>
      <c r="BO317" s="310"/>
      <c r="BP317" s="310"/>
      <c r="BQ317" s="310"/>
      <c r="BR317" s="310"/>
      <c r="BS317" s="310"/>
      <c r="BT317" s="310"/>
      <c r="BU317" s="310"/>
      <c r="BV317" s="310"/>
      <c r="BW317" s="310"/>
      <c r="BX317" s="310"/>
      <c r="BY317" s="310"/>
      <c r="BZ317" s="310"/>
      <c r="CA317" s="310"/>
      <c r="CB317" s="310"/>
      <c r="CC317" s="310"/>
      <c r="CD317" s="310"/>
      <c r="CE317" s="310"/>
      <c r="CF317" s="310"/>
      <c r="CG317" s="310"/>
      <c r="CH317" s="310"/>
      <c r="CI317" s="310"/>
      <c r="CJ317" s="310"/>
      <c r="CK317" s="310"/>
      <c r="CL317" s="310"/>
      <c r="CM317" s="310"/>
      <c r="CN317" s="310"/>
      <c r="CO317" s="310"/>
      <c r="CP317" s="310"/>
      <c r="CQ317" s="310"/>
      <c r="CR317" s="310"/>
      <c r="CS317" s="310"/>
      <c r="CT317" s="310"/>
      <c r="CU317" s="310"/>
      <c r="CV317" s="310"/>
      <c r="CW317" s="310"/>
      <c r="CX317" s="310"/>
      <c r="CY317" s="310"/>
      <c r="CZ317" s="310"/>
      <c r="DA317" s="310"/>
      <c r="DB317" s="310"/>
      <c r="DC317" s="310"/>
      <c r="DD317" s="310"/>
      <c r="DE317" s="310"/>
      <c r="DF317" s="310"/>
      <c r="DG317" s="310"/>
      <c r="DH317" s="310"/>
      <c r="DI317" s="310"/>
      <c r="DJ317" s="310"/>
      <c r="DK317" s="310"/>
      <c r="DL317" s="310"/>
      <c r="DM317" s="310"/>
      <c r="DN317" s="310"/>
      <c r="DO317" s="310"/>
      <c r="DP317" s="310"/>
      <c r="DQ317" s="310"/>
      <c r="DR317" s="310"/>
      <c r="DS317" s="310"/>
      <c r="DT317" s="310"/>
      <c r="DU317" s="310"/>
      <c r="DV317" s="310"/>
      <c r="DW317" s="310"/>
      <c r="DX317" s="310"/>
      <c r="DY317" s="310"/>
      <c r="DZ317" s="310"/>
      <c r="EA317" s="310"/>
      <c r="EB317" s="310"/>
      <c r="EC317" s="310"/>
      <c r="ED317" s="310"/>
      <c r="EE317" s="310"/>
      <c r="EF317" s="310"/>
      <c r="EG317" s="310"/>
      <c r="EH317" s="310"/>
      <c r="EI317" s="310"/>
      <c r="EJ317" s="310"/>
      <c r="EK317" s="310"/>
      <c r="EL317" s="310"/>
      <c r="EM317" s="310"/>
      <c r="EN317" s="310"/>
      <c r="EO317" s="310"/>
      <c r="EP317" s="310"/>
      <c r="EQ317" s="310"/>
      <c r="ER317" s="310"/>
      <c r="ES317" s="310"/>
      <c r="ET317" s="310"/>
      <c r="EU317" s="310"/>
      <c r="EV317" s="310"/>
      <c r="EW317" s="310"/>
      <c r="EX317" s="310"/>
      <c r="EY317" s="310"/>
      <c r="EZ317" s="310"/>
      <c r="FA317" s="310"/>
      <c r="FB317" s="310"/>
      <c r="FC317" s="310"/>
      <c r="FD317" s="310"/>
      <c r="FE317" s="311"/>
      <c r="FF317" s="312"/>
    </row>
    <row r="318" spans="1:162" ht="12.75" x14ac:dyDescent="0.2">
      <c r="A318" s="446">
        <v>311</v>
      </c>
      <c r="B318" s="447" t="s">
        <v>505</v>
      </c>
      <c r="C318" s="448" t="s">
        <v>1093</v>
      </c>
      <c r="D318" s="449" t="s">
        <v>1102</v>
      </c>
      <c r="E318" s="450" t="s">
        <v>756</v>
      </c>
      <c r="F318" s="451">
        <v>15314532.699999999</v>
      </c>
      <c r="G318" s="451">
        <v>0</v>
      </c>
      <c r="H318" s="451">
        <v>0</v>
      </c>
      <c r="I318" s="451">
        <v>15314532.699999999</v>
      </c>
      <c r="J318" s="451">
        <v>-26035.13</v>
      </c>
      <c r="K318" s="451">
        <v>0</v>
      </c>
      <c r="L318" s="451">
        <v>0</v>
      </c>
      <c r="M318" s="451">
        <v>-26035.13</v>
      </c>
      <c r="N318" s="451">
        <v>401000</v>
      </c>
      <c r="O318" s="451">
        <v>0</v>
      </c>
      <c r="P318" s="451">
        <v>0</v>
      </c>
      <c r="Q318" s="451">
        <v>401000</v>
      </c>
      <c r="R318" s="451">
        <v>229621</v>
      </c>
      <c r="S318" s="451">
        <v>0</v>
      </c>
      <c r="T318" s="451">
        <v>0</v>
      </c>
      <c r="U318" s="451">
        <v>229621</v>
      </c>
      <c r="V318" s="451">
        <v>562176</v>
      </c>
      <c r="W318" s="451">
        <v>0</v>
      </c>
      <c r="X318" s="451">
        <v>0</v>
      </c>
      <c r="Y318" s="451">
        <v>562176</v>
      </c>
      <c r="Z318" s="451">
        <v>14147771</v>
      </c>
      <c r="AA318" s="451">
        <v>0</v>
      </c>
      <c r="AB318" s="451">
        <v>0</v>
      </c>
      <c r="AC318" s="451">
        <v>14147771</v>
      </c>
      <c r="AD318" s="451">
        <v>0</v>
      </c>
      <c r="AE318" s="451">
        <v>0</v>
      </c>
      <c r="AF318" s="451">
        <v>0</v>
      </c>
      <c r="AG318" s="451">
        <v>0</v>
      </c>
      <c r="AH318" s="451">
        <v>0</v>
      </c>
      <c r="AI318" s="451">
        <v>0</v>
      </c>
      <c r="AJ318" s="451">
        <v>0</v>
      </c>
      <c r="AK318" s="451">
        <v>0</v>
      </c>
      <c r="AL318" s="451">
        <v>0</v>
      </c>
      <c r="AM318" s="451">
        <v>0</v>
      </c>
      <c r="AN318" s="451">
        <v>0</v>
      </c>
      <c r="AO318" s="451">
        <v>1844766.75</v>
      </c>
      <c r="AP318" s="451">
        <v>252489.05</v>
      </c>
      <c r="AQ318" s="324" t="s">
        <v>1120</v>
      </c>
      <c r="AR318" s="310"/>
      <c r="AS318" s="310"/>
      <c r="AT318" s="310"/>
      <c r="AU318" s="310"/>
      <c r="AV318" s="310"/>
      <c r="AW318" s="310"/>
      <c r="AX318" s="310"/>
      <c r="AY318" s="310"/>
      <c r="AZ318" s="310"/>
      <c r="BA318" s="310"/>
      <c r="BB318" s="310"/>
      <c r="BC318" s="310"/>
      <c r="BD318" s="310"/>
      <c r="BE318" s="310"/>
      <c r="BF318" s="310"/>
      <c r="BG318" s="310"/>
      <c r="BH318" s="310"/>
      <c r="BI318" s="310"/>
      <c r="BJ318" s="310"/>
      <c r="BK318" s="310"/>
      <c r="BL318" s="310"/>
      <c r="BM318" s="310"/>
      <c r="BN318" s="310"/>
      <c r="BO318" s="310"/>
      <c r="BP318" s="310"/>
      <c r="BQ318" s="310"/>
      <c r="BR318" s="310"/>
      <c r="BS318" s="310"/>
      <c r="BT318" s="310"/>
      <c r="BU318" s="310"/>
      <c r="BV318" s="310"/>
      <c r="BW318" s="310"/>
      <c r="BX318" s="310"/>
      <c r="BY318" s="310"/>
      <c r="BZ318" s="310"/>
      <c r="CA318" s="310"/>
      <c r="CB318" s="310"/>
      <c r="CC318" s="310"/>
      <c r="CD318" s="310"/>
      <c r="CE318" s="310"/>
      <c r="CF318" s="310"/>
      <c r="CG318" s="310"/>
      <c r="CH318" s="310"/>
      <c r="CI318" s="310"/>
      <c r="CJ318" s="310"/>
      <c r="CK318" s="310"/>
      <c r="CL318" s="310"/>
      <c r="CM318" s="310"/>
      <c r="CN318" s="310"/>
      <c r="CO318" s="310"/>
      <c r="CP318" s="310"/>
      <c r="CQ318" s="310"/>
      <c r="CR318" s="310"/>
      <c r="CS318" s="310"/>
      <c r="CT318" s="310"/>
      <c r="CU318" s="310"/>
      <c r="CV318" s="310"/>
      <c r="CW318" s="310"/>
      <c r="CX318" s="310"/>
      <c r="CY318" s="310"/>
      <c r="CZ318" s="310"/>
      <c r="DA318" s="310"/>
      <c r="DB318" s="310"/>
      <c r="DC318" s="310"/>
      <c r="DD318" s="310"/>
      <c r="DE318" s="310"/>
      <c r="DF318" s="310"/>
      <c r="DG318" s="310"/>
      <c r="DH318" s="310"/>
      <c r="DI318" s="310"/>
      <c r="DJ318" s="310"/>
      <c r="DK318" s="310"/>
      <c r="DL318" s="310"/>
      <c r="DM318" s="310"/>
      <c r="DN318" s="310"/>
      <c r="DO318" s="310"/>
      <c r="DP318" s="310"/>
      <c r="DQ318" s="310"/>
      <c r="DR318" s="310"/>
      <c r="DS318" s="310"/>
      <c r="DT318" s="310"/>
      <c r="DU318" s="310"/>
      <c r="DV318" s="310"/>
      <c r="DW318" s="310"/>
      <c r="DX318" s="310"/>
      <c r="DY318" s="310"/>
      <c r="DZ318" s="310"/>
      <c r="EA318" s="310"/>
      <c r="EB318" s="310"/>
      <c r="EC318" s="310"/>
      <c r="ED318" s="310"/>
      <c r="EE318" s="310"/>
      <c r="EF318" s="310"/>
      <c r="EG318" s="310"/>
      <c r="EH318" s="310"/>
      <c r="EI318" s="310"/>
      <c r="EJ318" s="310"/>
      <c r="EK318" s="310"/>
      <c r="EL318" s="310"/>
      <c r="EM318" s="310"/>
      <c r="EN318" s="310"/>
      <c r="EO318" s="310"/>
      <c r="EP318" s="310"/>
      <c r="EQ318" s="310"/>
      <c r="ER318" s="310"/>
      <c r="ES318" s="310"/>
      <c r="ET318" s="310"/>
      <c r="EU318" s="310"/>
      <c r="EV318" s="310"/>
      <c r="EW318" s="310"/>
      <c r="EX318" s="310"/>
      <c r="EY318" s="310"/>
      <c r="EZ318" s="310"/>
      <c r="FA318" s="310"/>
      <c r="FB318" s="310"/>
      <c r="FC318" s="310"/>
      <c r="FD318" s="310"/>
      <c r="FE318" s="311"/>
      <c r="FF318" s="312"/>
    </row>
    <row r="319" spans="1:162" ht="12.75" x14ac:dyDescent="0.2">
      <c r="A319" s="446">
        <v>312</v>
      </c>
      <c r="B319" s="447" t="s">
        <v>507</v>
      </c>
      <c r="C319" s="448" t="s">
        <v>1100</v>
      </c>
      <c r="D319" s="449" t="s">
        <v>1095</v>
      </c>
      <c r="E319" s="450" t="s">
        <v>506</v>
      </c>
      <c r="F319" s="451">
        <v>80605453</v>
      </c>
      <c r="G319" s="451">
        <v>0</v>
      </c>
      <c r="H319" s="451">
        <v>0</v>
      </c>
      <c r="I319" s="451">
        <v>80605453</v>
      </c>
      <c r="J319" s="451">
        <v>1646383</v>
      </c>
      <c r="K319" s="451">
        <v>0</v>
      </c>
      <c r="L319" s="451">
        <v>0</v>
      </c>
      <c r="M319" s="451">
        <v>1646383</v>
      </c>
      <c r="N319" s="451">
        <v>1795061</v>
      </c>
      <c r="O319" s="451">
        <v>0</v>
      </c>
      <c r="P319" s="451">
        <v>0</v>
      </c>
      <c r="Q319" s="451">
        <v>1795061</v>
      </c>
      <c r="R319" s="451">
        <v>2160807</v>
      </c>
      <c r="S319" s="451">
        <v>0</v>
      </c>
      <c r="T319" s="451">
        <v>0</v>
      </c>
      <c r="U319" s="451">
        <v>2160807</v>
      </c>
      <c r="V319" s="451">
        <v>1672346</v>
      </c>
      <c r="W319" s="451">
        <v>0</v>
      </c>
      <c r="X319" s="451">
        <v>0</v>
      </c>
      <c r="Y319" s="451">
        <v>1672346</v>
      </c>
      <c r="Z319" s="451">
        <v>73330856</v>
      </c>
      <c r="AA319" s="451">
        <v>0</v>
      </c>
      <c r="AB319" s="451">
        <v>0</v>
      </c>
      <c r="AC319" s="451">
        <v>73330856</v>
      </c>
      <c r="AD319" s="451">
        <v>0</v>
      </c>
      <c r="AE319" s="451">
        <v>0</v>
      </c>
      <c r="AF319" s="451">
        <v>0</v>
      </c>
      <c r="AG319" s="451">
        <v>0</v>
      </c>
      <c r="AH319" s="451">
        <v>0</v>
      </c>
      <c r="AI319" s="451">
        <v>0</v>
      </c>
      <c r="AJ319" s="451">
        <v>0</v>
      </c>
      <c r="AK319" s="451">
        <v>0</v>
      </c>
      <c r="AL319" s="451">
        <v>0</v>
      </c>
      <c r="AM319" s="451">
        <v>0</v>
      </c>
      <c r="AN319" s="451">
        <v>0</v>
      </c>
      <c r="AO319" s="451">
        <v>7070283</v>
      </c>
      <c r="AP319" s="451">
        <v>235978</v>
      </c>
      <c r="AQ319" s="324"/>
      <c r="AR319" s="310"/>
      <c r="AS319" s="310"/>
      <c r="AT319" s="310"/>
      <c r="AU319" s="310"/>
      <c r="AV319" s="310"/>
      <c r="AW319" s="310"/>
      <c r="AX319" s="310"/>
      <c r="AY319" s="310"/>
      <c r="AZ319" s="310"/>
      <c r="BA319" s="310"/>
      <c r="BB319" s="310"/>
      <c r="BC319" s="310"/>
      <c r="BD319" s="310"/>
      <c r="BE319" s="310"/>
      <c r="BF319" s="310"/>
      <c r="BG319" s="310"/>
      <c r="BH319" s="310"/>
      <c r="BI319" s="310"/>
      <c r="BJ319" s="310"/>
      <c r="BK319" s="310"/>
      <c r="BL319" s="310"/>
      <c r="BM319" s="310"/>
      <c r="BN319" s="310"/>
      <c r="BO319" s="310"/>
      <c r="BP319" s="310"/>
      <c r="BQ319" s="310"/>
      <c r="BR319" s="310"/>
      <c r="BS319" s="310"/>
      <c r="BT319" s="310"/>
      <c r="BU319" s="310"/>
      <c r="BV319" s="310"/>
      <c r="BW319" s="310"/>
      <c r="BX319" s="310"/>
      <c r="BY319" s="310"/>
      <c r="BZ319" s="310"/>
      <c r="CA319" s="310"/>
      <c r="CB319" s="310"/>
      <c r="CC319" s="310"/>
      <c r="CD319" s="310"/>
      <c r="CE319" s="310"/>
      <c r="CF319" s="310"/>
      <c r="CG319" s="310"/>
      <c r="CH319" s="310"/>
      <c r="CI319" s="310"/>
      <c r="CJ319" s="310"/>
      <c r="CK319" s="310"/>
      <c r="CL319" s="310"/>
      <c r="CM319" s="310"/>
      <c r="CN319" s="310"/>
      <c r="CO319" s="310"/>
      <c r="CP319" s="310"/>
      <c r="CQ319" s="310"/>
      <c r="CR319" s="310"/>
      <c r="CS319" s="310"/>
      <c r="CT319" s="310"/>
      <c r="CU319" s="310"/>
      <c r="CV319" s="310"/>
      <c r="CW319" s="310"/>
      <c r="CX319" s="310"/>
      <c r="CY319" s="310"/>
      <c r="CZ319" s="310"/>
      <c r="DA319" s="310"/>
      <c r="DB319" s="310"/>
      <c r="DC319" s="310"/>
      <c r="DD319" s="310"/>
      <c r="DE319" s="310"/>
      <c r="DF319" s="310"/>
      <c r="DG319" s="310"/>
      <c r="DH319" s="310"/>
      <c r="DI319" s="310"/>
      <c r="DJ319" s="310"/>
      <c r="DK319" s="310"/>
      <c r="DL319" s="310"/>
      <c r="DM319" s="310"/>
      <c r="DN319" s="310"/>
      <c r="DO319" s="310"/>
      <c r="DP319" s="310"/>
      <c r="DQ319" s="310"/>
      <c r="DR319" s="310"/>
      <c r="DS319" s="310"/>
      <c r="DT319" s="310"/>
      <c r="DU319" s="310"/>
      <c r="DV319" s="310"/>
      <c r="DW319" s="310"/>
      <c r="DX319" s="310"/>
      <c r="DY319" s="310"/>
      <c r="DZ319" s="310"/>
      <c r="EA319" s="310"/>
      <c r="EB319" s="310"/>
      <c r="EC319" s="310"/>
      <c r="ED319" s="310"/>
      <c r="EE319" s="310"/>
      <c r="EF319" s="310"/>
      <c r="EG319" s="310"/>
      <c r="EH319" s="310"/>
      <c r="EI319" s="310"/>
      <c r="EJ319" s="310"/>
      <c r="EK319" s="310"/>
      <c r="EL319" s="310"/>
      <c r="EM319" s="310"/>
      <c r="EN319" s="310"/>
      <c r="EO319" s="310"/>
      <c r="EP319" s="310"/>
      <c r="EQ319" s="310"/>
      <c r="ER319" s="310"/>
      <c r="ES319" s="310"/>
      <c r="ET319" s="310"/>
      <c r="EU319" s="310"/>
      <c r="EV319" s="310"/>
      <c r="EW319" s="310"/>
      <c r="EX319" s="310"/>
      <c r="EY319" s="310"/>
      <c r="EZ319" s="310"/>
      <c r="FA319" s="310"/>
      <c r="FB319" s="310"/>
      <c r="FC319" s="310"/>
      <c r="FD319" s="310"/>
      <c r="FE319" s="311"/>
      <c r="FF319" s="312"/>
    </row>
    <row r="320" spans="1:162" ht="12.75" x14ac:dyDescent="0.2">
      <c r="A320" s="446">
        <v>313</v>
      </c>
      <c r="B320" s="447" t="s">
        <v>509</v>
      </c>
      <c r="C320" s="448" t="s">
        <v>794</v>
      </c>
      <c r="D320" s="449" t="s">
        <v>1102</v>
      </c>
      <c r="E320" s="450" t="s">
        <v>508</v>
      </c>
      <c r="F320" s="451">
        <v>136878000</v>
      </c>
      <c r="G320" s="451">
        <v>0</v>
      </c>
      <c r="H320" s="451">
        <v>0</v>
      </c>
      <c r="I320" s="451">
        <v>136878000</v>
      </c>
      <c r="J320" s="451">
        <v>1428976</v>
      </c>
      <c r="K320" s="451">
        <v>0</v>
      </c>
      <c r="L320" s="451">
        <v>0</v>
      </c>
      <c r="M320" s="451">
        <v>1428976</v>
      </c>
      <c r="N320" s="451">
        <v>-222200</v>
      </c>
      <c r="O320" s="451">
        <v>0</v>
      </c>
      <c r="P320" s="451">
        <v>0</v>
      </c>
      <c r="Q320" s="451">
        <v>-222200</v>
      </c>
      <c r="R320" s="451">
        <v>1077914</v>
      </c>
      <c r="S320" s="451">
        <v>0</v>
      </c>
      <c r="T320" s="451">
        <v>0</v>
      </c>
      <c r="U320" s="451">
        <v>1077914</v>
      </c>
      <c r="V320" s="451">
        <v>2001841</v>
      </c>
      <c r="W320" s="451">
        <v>0</v>
      </c>
      <c r="X320" s="451">
        <v>0</v>
      </c>
      <c r="Y320" s="451">
        <v>2001841</v>
      </c>
      <c r="Z320" s="451">
        <v>132591469</v>
      </c>
      <c r="AA320" s="451">
        <v>0</v>
      </c>
      <c r="AB320" s="451">
        <v>0</v>
      </c>
      <c r="AC320" s="451">
        <v>132591469</v>
      </c>
      <c r="AD320" s="451">
        <v>87472.97</v>
      </c>
      <c r="AE320" s="451">
        <v>0</v>
      </c>
      <c r="AF320" s="451">
        <v>0</v>
      </c>
      <c r="AG320" s="451">
        <v>87472.97</v>
      </c>
      <c r="AH320" s="451">
        <v>0</v>
      </c>
      <c r="AI320" s="451">
        <v>0</v>
      </c>
      <c r="AJ320" s="451">
        <v>0</v>
      </c>
      <c r="AK320" s="451">
        <v>0</v>
      </c>
      <c r="AL320" s="451">
        <v>0</v>
      </c>
      <c r="AM320" s="451">
        <v>0</v>
      </c>
      <c r="AN320" s="451">
        <v>87472.97</v>
      </c>
      <c r="AO320" s="451">
        <v>6796002.7599999998</v>
      </c>
      <c r="AP320" s="451">
        <v>1924093</v>
      </c>
      <c r="AQ320" s="324"/>
      <c r="AR320" s="310"/>
      <c r="AS320" s="310"/>
      <c r="AT320" s="310"/>
      <c r="AU320" s="310"/>
      <c r="AV320" s="310"/>
      <c r="AW320" s="310"/>
      <c r="AX320" s="310"/>
      <c r="AY320" s="310"/>
      <c r="AZ320" s="310"/>
      <c r="BA320" s="310"/>
      <c r="BB320" s="310"/>
      <c r="BC320" s="310"/>
      <c r="BD320" s="310"/>
      <c r="BE320" s="310"/>
      <c r="BF320" s="310"/>
      <c r="BG320" s="310"/>
      <c r="BH320" s="310"/>
      <c r="BI320" s="310"/>
      <c r="BJ320" s="310"/>
      <c r="BK320" s="310"/>
      <c r="BL320" s="310"/>
      <c r="BM320" s="310"/>
      <c r="BN320" s="310"/>
      <c r="BO320" s="310"/>
      <c r="BP320" s="310"/>
      <c r="BQ320" s="310"/>
      <c r="BR320" s="310"/>
      <c r="BS320" s="310"/>
      <c r="BT320" s="310"/>
      <c r="BU320" s="310"/>
      <c r="BV320" s="310"/>
      <c r="BW320" s="310"/>
      <c r="BX320" s="310"/>
      <c r="BY320" s="310"/>
      <c r="BZ320" s="310"/>
      <c r="CA320" s="310"/>
      <c r="CB320" s="310"/>
      <c r="CC320" s="310"/>
      <c r="CD320" s="310"/>
      <c r="CE320" s="310"/>
      <c r="CF320" s="310"/>
      <c r="CG320" s="310"/>
      <c r="CH320" s="310"/>
      <c r="CI320" s="310"/>
      <c r="CJ320" s="310"/>
      <c r="CK320" s="310"/>
      <c r="CL320" s="310"/>
      <c r="CM320" s="310"/>
      <c r="CN320" s="310"/>
      <c r="CO320" s="310"/>
      <c r="CP320" s="310"/>
      <c r="CQ320" s="310"/>
      <c r="CR320" s="310"/>
      <c r="CS320" s="310"/>
      <c r="CT320" s="310"/>
      <c r="CU320" s="310"/>
      <c r="CV320" s="310"/>
      <c r="CW320" s="310"/>
      <c r="CX320" s="310"/>
      <c r="CY320" s="310"/>
      <c r="CZ320" s="310"/>
      <c r="DA320" s="310"/>
      <c r="DB320" s="310"/>
      <c r="DC320" s="310"/>
      <c r="DD320" s="310"/>
      <c r="DE320" s="310"/>
      <c r="DF320" s="310"/>
      <c r="DG320" s="310"/>
      <c r="DH320" s="310"/>
      <c r="DI320" s="310"/>
      <c r="DJ320" s="310"/>
      <c r="DK320" s="310"/>
      <c r="DL320" s="310"/>
      <c r="DM320" s="310"/>
      <c r="DN320" s="310"/>
      <c r="DO320" s="310"/>
      <c r="DP320" s="310"/>
      <c r="DQ320" s="310"/>
      <c r="DR320" s="310"/>
      <c r="DS320" s="310"/>
      <c r="DT320" s="310"/>
      <c r="DU320" s="310"/>
      <c r="DV320" s="310"/>
      <c r="DW320" s="310"/>
      <c r="DX320" s="310"/>
      <c r="DY320" s="310"/>
      <c r="DZ320" s="310"/>
      <c r="EA320" s="310"/>
      <c r="EB320" s="310"/>
      <c r="EC320" s="310"/>
      <c r="ED320" s="310"/>
      <c r="EE320" s="310"/>
      <c r="EF320" s="310"/>
      <c r="EG320" s="310"/>
      <c r="EH320" s="310"/>
      <c r="EI320" s="310"/>
      <c r="EJ320" s="310"/>
      <c r="EK320" s="310"/>
      <c r="EL320" s="310"/>
      <c r="EM320" s="310"/>
      <c r="EN320" s="310"/>
      <c r="EO320" s="310"/>
      <c r="EP320" s="310"/>
      <c r="EQ320" s="310"/>
      <c r="ER320" s="310"/>
      <c r="ES320" s="310"/>
      <c r="ET320" s="310"/>
      <c r="EU320" s="310"/>
      <c r="EV320" s="310"/>
      <c r="EW320" s="310"/>
      <c r="EX320" s="310"/>
      <c r="EY320" s="310"/>
      <c r="EZ320" s="310"/>
      <c r="FA320" s="310"/>
      <c r="FB320" s="310"/>
      <c r="FC320" s="310"/>
      <c r="FD320" s="310"/>
      <c r="FE320" s="311"/>
      <c r="FF320" s="312"/>
    </row>
    <row r="321" spans="1:167" ht="12.75" x14ac:dyDescent="0.2">
      <c r="A321" s="446">
        <v>314</v>
      </c>
      <c r="B321" s="447" t="s">
        <v>511</v>
      </c>
      <c r="C321" s="448" t="s">
        <v>1093</v>
      </c>
      <c r="D321" s="449" t="s">
        <v>1094</v>
      </c>
      <c r="E321" s="450" t="s">
        <v>510</v>
      </c>
      <c r="F321" s="451">
        <v>54392434</v>
      </c>
      <c r="G321" s="451">
        <v>0</v>
      </c>
      <c r="H321" s="451">
        <v>0</v>
      </c>
      <c r="I321" s="451">
        <v>54392434</v>
      </c>
      <c r="J321" s="451">
        <v>131525</v>
      </c>
      <c r="K321" s="451">
        <v>0</v>
      </c>
      <c r="L321" s="451">
        <v>0</v>
      </c>
      <c r="M321" s="451">
        <v>131525</v>
      </c>
      <c r="N321" s="451">
        <v>229105</v>
      </c>
      <c r="O321" s="451">
        <v>0</v>
      </c>
      <c r="P321" s="451">
        <v>0</v>
      </c>
      <c r="Q321" s="451">
        <v>229105</v>
      </c>
      <c r="R321" s="451">
        <v>2859631</v>
      </c>
      <c r="S321" s="451">
        <v>0</v>
      </c>
      <c r="T321" s="451">
        <v>0</v>
      </c>
      <c r="U321" s="451">
        <v>2859631</v>
      </c>
      <c r="V321" s="451">
        <v>0</v>
      </c>
      <c r="W321" s="451">
        <v>0</v>
      </c>
      <c r="X321" s="451">
        <v>0</v>
      </c>
      <c r="Y321" s="451">
        <v>0</v>
      </c>
      <c r="Z321" s="451">
        <v>51172173</v>
      </c>
      <c r="AA321" s="451">
        <v>0</v>
      </c>
      <c r="AB321" s="451">
        <v>0</v>
      </c>
      <c r="AC321" s="451">
        <v>51172173</v>
      </c>
      <c r="AD321" s="451">
        <v>0</v>
      </c>
      <c r="AE321" s="451">
        <v>0</v>
      </c>
      <c r="AF321" s="451">
        <v>0</v>
      </c>
      <c r="AG321" s="451">
        <v>0</v>
      </c>
      <c r="AH321" s="451">
        <v>0</v>
      </c>
      <c r="AI321" s="451">
        <v>0</v>
      </c>
      <c r="AJ321" s="451">
        <v>0</v>
      </c>
      <c r="AK321" s="451">
        <v>0</v>
      </c>
      <c r="AL321" s="451">
        <v>0</v>
      </c>
      <c r="AM321" s="451">
        <v>0</v>
      </c>
      <c r="AN321" s="451">
        <v>0</v>
      </c>
      <c r="AO321" s="451">
        <v>2128622.62</v>
      </c>
      <c r="AP321" s="451">
        <v>494704.42</v>
      </c>
      <c r="AQ321" s="324"/>
      <c r="AR321" s="310"/>
      <c r="AS321" s="310"/>
      <c r="AT321" s="310"/>
      <c r="AU321" s="310"/>
      <c r="AV321" s="310"/>
      <c r="AW321" s="310"/>
      <c r="AX321" s="310"/>
      <c r="AY321" s="310"/>
      <c r="AZ321" s="310"/>
      <c r="BA321" s="310"/>
      <c r="BB321" s="310"/>
      <c r="BC321" s="310"/>
      <c r="BD321" s="310"/>
      <c r="BE321" s="310"/>
      <c r="BF321" s="310"/>
      <c r="BG321" s="310"/>
      <c r="BH321" s="310"/>
      <c r="BI321" s="310"/>
      <c r="BJ321" s="310"/>
      <c r="BK321" s="310"/>
      <c r="BL321" s="310"/>
      <c r="BM321" s="310"/>
      <c r="BN321" s="310"/>
      <c r="BO321" s="310"/>
      <c r="BP321" s="310"/>
      <c r="BQ321" s="310"/>
      <c r="BR321" s="310"/>
      <c r="BS321" s="310"/>
      <c r="BT321" s="310"/>
      <c r="BU321" s="310"/>
      <c r="BV321" s="310"/>
      <c r="BW321" s="310"/>
      <c r="BX321" s="310"/>
      <c r="BY321" s="310"/>
      <c r="BZ321" s="310"/>
      <c r="CA321" s="310"/>
      <c r="CB321" s="310"/>
      <c r="CC321" s="310"/>
      <c r="CD321" s="310"/>
      <c r="CE321" s="310"/>
      <c r="CF321" s="310"/>
      <c r="CG321" s="310"/>
      <c r="CH321" s="310"/>
      <c r="CI321" s="310"/>
      <c r="CJ321" s="310"/>
      <c r="CK321" s="310"/>
      <c r="CL321" s="310"/>
      <c r="CM321" s="310"/>
      <c r="CN321" s="310"/>
      <c r="CO321" s="310"/>
      <c r="CP321" s="310"/>
      <c r="CQ321" s="310"/>
      <c r="CR321" s="310"/>
      <c r="CS321" s="310"/>
      <c r="CT321" s="310"/>
      <c r="CU321" s="310"/>
      <c r="CV321" s="310"/>
      <c r="CW321" s="310"/>
      <c r="CX321" s="310"/>
      <c r="CY321" s="310"/>
      <c r="CZ321" s="310"/>
      <c r="DA321" s="310"/>
      <c r="DB321" s="310"/>
      <c r="DC321" s="310"/>
      <c r="DD321" s="310"/>
      <c r="DE321" s="310"/>
      <c r="DF321" s="310"/>
      <c r="DG321" s="310"/>
      <c r="DH321" s="310"/>
      <c r="DI321" s="310"/>
      <c r="DJ321" s="310"/>
      <c r="DK321" s="310"/>
      <c r="DL321" s="310"/>
      <c r="DM321" s="310"/>
      <c r="DN321" s="310"/>
      <c r="DO321" s="310"/>
      <c r="DP321" s="310"/>
      <c r="DQ321" s="310"/>
      <c r="DR321" s="310"/>
      <c r="DS321" s="310"/>
      <c r="DT321" s="310"/>
      <c r="DU321" s="310"/>
      <c r="DV321" s="310"/>
      <c r="DW321" s="310"/>
      <c r="DX321" s="310"/>
      <c r="DY321" s="310"/>
      <c r="DZ321" s="310"/>
      <c r="EA321" s="310"/>
      <c r="EB321" s="310"/>
      <c r="EC321" s="310"/>
      <c r="ED321" s="310"/>
      <c r="EE321" s="310"/>
      <c r="EF321" s="310"/>
      <c r="EG321" s="310"/>
      <c r="EH321" s="310"/>
      <c r="EI321" s="310"/>
      <c r="EJ321" s="310"/>
      <c r="EK321" s="310"/>
      <c r="EL321" s="310"/>
      <c r="EM321" s="310"/>
      <c r="EN321" s="310"/>
      <c r="EO321" s="310"/>
      <c r="EP321" s="310"/>
      <c r="EQ321" s="310"/>
      <c r="ER321" s="310"/>
      <c r="ES321" s="310"/>
      <c r="ET321" s="310"/>
      <c r="EU321" s="310"/>
      <c r="EV321" s="310"/>
      <c r="EW321" s="310"/>
      <c r="EX321" s="310"/>
      <c r="EY321" s="310"/>
      <c r="EZ321" s="310"/>
      <c r="FA321" s="310"/>
      <c r="FB321" s="310"/>
      <c r="FC321" s="310"/>
      <c r="FD321" s="310"/>
      <c r="FE321" s="311"/>
      <c r="FF321" s="312"/>
    </row>
    <row r="322" spans="1:167" ht="12.75" x14ac:dyDescent="0.2">
      <c r="A322" s="446">
        <v>315</v>
      </c>
      <c r="B322" s="447" t="s">
        <v>513</v>
      </c>
      <c r="C322" s="448" t="s">
        <v>794</v>
      </c>
      <c r="D322" s="449" t="s">
        <v>1094</v>
      </c>
      <c r="E322" s="450" t="s">
        <v>757</v>
      </c>
      <c r="F322" s="451">
        <v>77937012.099999994</v>
      </c>
      <c r="G322" s="451">
        <v>0</v>
      </c>
      <c r="H322" s="451">
        <v>0</v>
      </c>
      <c r="I322" s="451">
        <v>77937012.099999994</v>
      </c>
      <c r="J322" s="451">
        <v>825856.54</v>
      </c>
      <c r="K322" s="451">
        <v>0</v>
      </c>
      <c r="L322" s="451">
        <v>0</v>
      </c>
      <c r="M322" s="451">
        <v>825856.54</v>
      </c>
      <c r="N322" s="451">
        <v>70455.17</v>
      </c>
      <c r="O322" s="451">
        <v>0</v>
      </c>
      <c r="P322" s="451">
        <v>0</v>
      </c>
      <c r="Q322" s="451">
        <v>70455.17</v>
      </c>
      <c r="R322" s="451">
        <v>1330542</v>
      </c>
      <c r="S322" s="451">
        <v>0</v>
      </c>
      <c r="T322" s="451">
        <v>0</v>
      </c>
      <c r="U322" s="451">
        <v>1330542</v>
      </c>
      <c r="V322" s="451">
        <v>3672327</v>
      </c>
      <c r="W322" s="451">
        <v>0</v>
      </c>
      <c r="X322" s="451">
        <v>0</v>
      </c>
      <c r="Y322" s="451">
        <v>3672327</v>
      </c>
      <c r="Z322" s="451">
        <v>72037831</v>
      </c>
      <c r="AA322" s="451">
        <v>0</v>
      </c>
      <c r="AB322" s="451">
        <v>0</v>
      </c>
      <c r="AC322" s="451">
        <v>72037831</v>
      </c>
      <c r="AD322" s="451">
        <v>0</v>
      </c>
      <c r="AE322" s="451">
        <v>0</v>
      </c>
      <c r="AF322" s="451">
        <v>0</v>
      </c>
      <c r="AG322" s="451">
        <v>0</v>
      </c>
      <c r="AH322" s="451">
        <v>0</v>
      </c>
      <c r="AI322" s="451">
        <v>0</v>
      </c>
      <c r="AJ322" s="451">
        <v>0</v>
      </c>
      <c r="AK322" s="451">
        <v>0</v>
      </c>
      <c r="AL322" s="451">
        <v>0</v>
      </c>
      <c r="AM322" s="451">
        <v>0</v>
      </c>
      <c r="AN322" s="451">
        <v>0</v>
      </c>
      <c r="AO322" s="451">
        <v>4945113.4400000004</v>
      </c>
      <c r="AP322" s="451">
        <v>1067230.49</v>
      </c>
      <c r="AQ322" s="324"/>
      <c r="AR322" s="310"/>
      <c r="AS322" s="310"/>
      <c r="AT322" s="310"/>
      <c r="AU322" s="310"/>
      <c r="AV322" s="310"/>
      <c r="AW322" s="310"/>
      <c r="AX322" s="310"/>
      <c r="AY322" s="310"/>
      <c r="AZ322" s="310"/>
      <c r="BA322" s="310"/>
      <c r="BB322" s="310"/>
      <c r="BC322" s="310"/>
      <c r="BD322" s="310"/>
      <c r="BE322" s="310"/>
      <c r="BF322" s="310"/>
      <c r="BG322" s="310"/>
      <c r="BH322" s="310"/>
      <c r="BI322" s="310"/>
      <c r="BJ322" s="310"/>
      <c r="BK322" s="310"/>
      <c r="BL322" s="310"/>
      <c r="BM322" s="310"/>
      <c r="BN322" s="310"/>
      <c r="BO322" s="310"/>
      <c r="BP322" s="310"/>
      <c r="BQ322" s="310"/>
      <c r="BR322" s="310"/>
      <c r="BS322" s="310"/>
      <c r="BT322" s="310"/>
      <c r="BU322" s="310"/>
      <c r="BV322" s="310"/>
      <c r="BW322" s="310"/>
      <c r="BX322" s="310"/>
      <c r="BY322" s="310"/>
      <c r="BZ322" s="310"/>
      <c r="CA322" s="310"/>
      <c r="CB322" s="310"/>
      <c r="CC322" s="310"/>
      <c r="CD322" s="310"/>
      <c r="CE322" s="310"/>
      <c r="CF322" s="310"/>
      <c r="CG322" s="310"/>
      <c r="CH322" s="310"/>
      <c r="CI322" s="310"/>
      <c r="CJ322" s="310"/>
      <c r="CK322" s="310"/>
      <c r="CL322" s="310"/>
      <c r="CM322" s="310"/>
      <c r="CN322" s="310"/>
      <c r="CO322" s="310"/>
      <c r="CP322" s="310"/>
      <c r="CQ322" s="310"/>
      <c r="CR322" s="310"/>
      <c r="CS322" s="310"/>
      <c r="CT322" s="310"/>
      <c r="CU322" s="310"/>
      <c r="CV322" s="310"/>
      <c r="CW322" s="310"/>
      <c r="CX322" s="310"/>
      <c r="CY322" s="310"/>
      <c r="CZ322" s="310"/>
      <c r="DA322" s="310"/>
      <c r="DB322" s="310"/>
      <c r="DC322" s="310"/>
      <c r="DD322" s="310"/>
      <c r="DE322" s="310"/>
      <c r="DF322" s="310"/>
      <c r="DG322" s="310"/>
      <c r="DH322" s="310"/>
      <c r="DI322" s="310"/>
      <c r="DJ322" s="310"/>
      <c r="DK322" s="310"/>
      <c r="DL322" s="310"/>
      <c r="DM322" s="310"/>
      <c r="DN322" s="310"/>
      <c r="DO322" s="310"/>
      <c r="DP322" s="310"/>
      <c r="DQ322" s="310"/>
      <c r="DR322" s="310"/>
      <c r="DS322" s="310"/>
      <c r="DT322" s="310"/>
      <c r="DU322" s="310"/>
      <c r="DV322" s="310"/>
      <c r="DW322" s="310"/>
      <c r="DX322" s="310"/>
      <c r="DY322" s="310"/>
      <c r="DZ322" s="310"/>
      <c r="EA322" s="310"/>
      <c r="EB322" s="310"/>
      <c r="EC322" s="310"/>
      <c r="ED322" s="310"/>
      <c r="EE322" s="310"/>
      <c r="EF322" s="310"/>
      <c r="EG322" s="310"/>
      <c r="EH322" s="310"/>
      <c r="EI322" s="310"/>
      <c r="EJ322" s="310"/>
      <c r="EK322" s="310"/>
      <c r="EL322" s="310"/>
      <c r="EM322" s="310"/>
      <c r="EN322" s="310"/>
      <c r="EO322" s="310"/>
      <c r="EP322" s="310"/>
      <c r="EQ322" s="310"/>
      <c r="ER322" s="310"/>
      <c r="ES322" s="310"/>
      <c r="ET322" s="310"/>
      <c r="EU322" s="310"/>
      <c r="EV322" s="310"/>
      <c r="EW322" s="310"/>
      <c r="EX322" s="310"/>
      <c r="EY322" s="310"/>
      <c r="EZ322" s="310"/>
      <c r="FA322" s="310"/>
      <c r="FB322" s="310"/>
      <c r="FC322" s="310"/>
      <c r="FD322" s="310"/>
      <c r="FE322" s="311"/>
      <c r="FF322" s="312"/>
    </row>
    <row r="323" spans="1:167" ht="12.75" x14ac:dyDescent="0.2">
      <c r="A323" s="446">
        <v>316</v>
      </c>
      <c r="B323" s="447" t="s">
        <v>515</v>
      </c>
      <c r="C323" s="448" t="s">
        <v>1100</v>
      </c>
      <c r="D323" s="449" t="s">
        <v>1095</v>
      </c>
      <c r="E323" s="450" t="s">
        <v>514</v>
      </c>
      <c r="F323" s="451">
        <v>68305283.400000006</v>
      </c>
      <c r="G323" s="451">
        <v>0</v>
      </c>
      <c r="H323" s="451">
        <v>0</v>
      </c>
      <c r="I323" s="451">
        <v>68305283.400000006</v>
      </c>
      <c r="J323" s="451">
        <v>1011021</v>
      </c>
      <c r="K323" s="451">
        <v>0</v>
      </c>
      <c r="L323" s="451">
        <v>0</v>
      </c>
      <c r="M323" s="451">
        <v>1011021</v>
      </c>
      <c r="N323" s="451">
        <v>563248</v>
      </c>
      <c r="O323" s="451">
        <v>0</v>
      </c>
      <c r="P323" s="451">
        <v>0</v>
      </c>
      <c r="Q323" s="451">
        <v>563248</v>
      </c>
      <c r="R323" s="451">
        <v>828037</v>
      </c>
      <c r="S323" s="451">
        <v>0</v>
      </c>
      <c r="T323" s="451">
        <v>0</v>
      </c>
      <c r="U323" s="451">
        <v>828037</v>
      </c>
      <c r="V323" s="451">
        <v>2363805</v>
      </c>
      <c r="W323" s="451">
        <v>0</v>
      </c>
      <c r="X323" s="451">
        <v>0</v>
      </c>
      <c r="Y323" s="451">
        <v>2363805</v>
      </c>
      <c r="Z323" s="451">
        <v>63539172</v>
      </c>
      <c r="AA323" s="451">
        <v>0</v>
      </c>
      <c r="AB323" s="451">
        <v>0</v>
      </c>
      <c r="AC323" s="451">
        <v>63539172</v>
      </c>
      <c r="AD323" s="451">
        <v>0</v>
      </c>
      <c r="AE323" s="451">
        <v>0</v>
      </c>
      <c r="AF323" s="451">
        <v>0</v>
      </c>
      <c r="AG323" s="451">
        <v>0</v>
      </c>
      <c r="AH323" s="451">
        <v>0</v>
      </c>
      <c r="AI323" s="451">
        <v>0</v>
      </c>
      <c r="AJ323" s="451">
        <v>0</v>
      </c>
      <c r="AK323" s="451">
        <v>0</v>
      </c>
      <c r="AL323" s="451">
        <v>0</v>
      </c>
      <c r="AM323" s="451">
        <v>0</v>
      </c>
      <c r="AN323" s="451">
        <v>0</v>
      </c>
      <c r="AO323" s="451">
        <v>6435015.8899999997</v>
      </c>
      <c r="AP323" s="451">
        <v>1027620</v>
      </c>
      <c r="AQ323" s="324"/>
      <c r="AR323" s="310"/>
      <c r="AS323" s="310"/>
      <c r="AT323" s="310"/>
      <c r="AU323" s="310"/>
      <c r="AV323" s="310"/>
      <c r="AW323" s="310"/>
      <c r="AX323" s="310"/>
      <c r="AY323" s="310"/>
      <c r="AZ323" s="310"/>
      <c r="BA323" s="310"/>
      <c r="BB323" s="310"/>
      <c r="BC323" s="310"/>
      <c r="BD323" s="310"/>
      <c r="BE323" s="310"/>
      <c r="BF323" s="310"/>
      <c r="BG323" s="310"/>
      <c r="BH323" s="310"/>
      <c r="BI323" s="310"/>
      <c r="BJ323" s="310"/>
      <c r="BK323" s="310"/>
      <c r="BL323" s="310"/>
      <c r="BM323" s="310"/>
      <c r="BN323" s="310"/>
      <c r="BO323" s="310"/>
      <c r="BP323" s="310"/>
      <c r="BQ323" s="310"/>
      <c r="BR323" s="310"/>
      <c r="BS323" s="310"/>
      <c r="BT323" s="310"/>
      <c r="BU323" s="310"/>
      <c r="BV323" s="310"/>
      <c r="BW323" s="310"/>
      <c r="BX323" s="310"/>
      <c r="BY323" s="310"/>
      <c r="BZ323" s="310"/>
      <c r="CA323" s="310"/>
      <c r="CB323" s="310"/>
      <c r="CC323" s="310"/>
      <c r="CD323" s="310"/>
      <c r="CE323" s="310"/>
      <c r="CF323" s="310"/>
      <c r="CG323" s="310"/>
      <c r="CH323" s="310"/>
      <c r="CI323" s="310"/>
      <c r="CJ323" s="310"/>
      <c r="CK323" s="310"/>
      <c r="CL323" s="310"/>
      <c r="CM323" s="310"/>
      <c r="CN323" s="310"/>
      <c r="CO323" s="310"/>
      <c r="CP323" s="310"/>
      <c r="CQ323" s="310"/>
      <c r="CR323" s="310"/>
      <c r="CS323" s="310"/>
      <c r="CT323" s="310"/>
      <c r="CU323" s="310"/>
      <c r="CV323" s="310"/>
      <c r="CW323" s="310"/>
      <c r="CX323" s="310"/>
      <c r="CY323" s="310"/>
      <c r="CZ323" s="310"/>
      <c r="DA323" s="310"/>
      <c r="DB323" s="310"/>
      <c r="DC323" s="310"/>
      <c r="DD323" s="310"/>
      <c r="DE323" s="310"/>
      <c r="DF323" s="310"/>
      <c r="DG323" s="310"/>
      <c r="DH323" s="310"/>
      <c r="DI323" s="310"/>
      <c r="DJ323" s="310"/>
      <c r="DK323" s="310"/>
      <c r="DL323" s="310"/>
      <c r="DM323" s="310"/>
      <c r="DN323" s="310"/>
      <c r="DO323" s="310"/>
      <c r="DP323" s="310"/>
      <c r="DQ323" s="310"/>
      <c r="DR323" s="310"/>
      <c r="DS323" s="310"/>
      <c r="DT323" s="310"/>
      <c r="DU323" s="310"/>
      <c r="DV323" s="310"/>
      <c r="DW323" s="310"/>
      <c r="DX323" s="310"/>
      <c r="DY323" s="310"/>
      <c r="DZ323" s="310"/>
      <c r="EA323" s="310"/>
      <c r="EB323" s="310"/>
      <c r="EC323" s="310"/>
      <c r="ED323" s="310"/>
      <c r="EE323" s="310"/>
      <c r="EF323" s="310"/>
      <c r="EG323" s="310"/>
      <c r="EH323" s="310"/>
      <c r="EI323" s="310"/>
      <c r="EJ323" s="310"/>
      <c r="EK323" s="310"/>
      <c r="EL323" s="310"/>
      <c r="EM323" s="310"/>
      <c r="EN323" s="310"/>
      <c r="EO323" s="310"/>
      <c r="EP323" s="310"/>
      <c r="EQ323" s="310"/>
      <c r="ER323" s="310"/>
      <c r="ES323" s="310"/>
      <c r="ET323" s="310"/>
      <c r="EU323" s="310"/>
      <c r="EV323" s="310"/>
      <c r="EW323" s="310"/>
      <c r="EX323" s="310"/>
      <c r="EY323" s="310"/>
      <c r="EZ323" s="310"/>
      <c r="FA323" s="310"/>
      <c r="FB323" s="310"/>
      <c r="FC323" s="310"/>
      <c r="FD323" s="310"/>
      <c r="FE323" s="311"/>
      <c r="FF323" s="312"/>
    </row>
    <row r="324" spans="1:167" ht="12.75" x14ac:dyDescent="0.2">
      <c r="A324" s="446">
        <v>317</v>
      </c>
      <c r="B324" s="447" t="s">
        <v>517</v>
      </c>
      <c r="C324" s="448" t="s">
        <v>1093</v>
      </c>
      <c r="D324" s="449" t="s">
        <v>1094</v>
      </c>
      <c r="E324" s="450" t="s">
        <v>516</v>
      </c>
      <c r="F324" s="451">
        <v>44360345.200000003</v>
      </c>
      <c r="G324" s="451">
        <v>0</v>
      </c>
      <c r="H324" s="451">
        <v>0</v>
      </c>
      <c r="I324" s="451">
        <v>44360345.200000003</v>
      </c>
      <c r="J324" s="451">
        <v>-35146.51</v>
      </c>
      <c r="K324" s="451">
        <v>0</v>
      </c>
      <c r="L324" s="451">
        <v>0</v>
      </c>
      <c r="M324" s="451">
        <v>-35146.51</v>
      </c>
      <c r="N324" s="451">
        <v>66000</v>
      </c>
      <c r="O324" s="451">
        <v>0</v>
      </c>
      <c r="P324" s="451">
        <v>0</v>
      </c>
      <c r="Q324" s="451">
        <v>66000</v>
      </c>
      <c r="R324" s="451">
        <v>1677000</v>
      </c>
      <c r="S324" s="451">
        <v>0</v>
      </c>
      <c r="T324" s="451">
        <v>0</v>
      </c>
      <c r="U324" s="451">
        <v>1677000</v>
      </c>
      <c r="V324" s="451">
        <v>3353000</v>
      </c>
      <c r="W324" s="451">
        <v>0</v>
      </c>
      <c r="X324" s="451">
        <v>0</v>
      </c>
      <c r="Y324" s="451">
        <v>3353000</v>
      </c>
      <c r="Z324" s="451">
        <v>39299492</v>
      </c>
      <c r="AA324" s="451">
        <v>0</v>
      </c>
      <c r="AB324" s="451">
        <v>0</v>
      </c>
      <c r="AC324" s="451">
        <v>39299492</v>
      </c>
      <c r="AD324" s="451">
        <v>0</v>
      </c>
      <c r="AE324" s="451">
        <v>0</v>
      </c>
      <c r="AF324" s="451">
        <v>0</v>
      </c>
      <c r="AG324" s="451">
        <v>0</v>
      </c>
      <c r="AH324" s="451">
        <v>0</v>
      </c>
      <c r="AI324" s="451">
        <v>0</v>
      </c>
      <c r="AJ324" s="451">
        <v>0</v>
      </c>
      <c r="AK324" s="451">
        <v>0</v>
      </c>
      <c r="AL324" s="451">
        <v>0</v>
      </c>
      <c r="AM324" s="451">
        <v>0</v>
      </c>
      <c r="AN324" s="451">
        <v>0</v>
      </c>
      <c r="AO324" s="451">
        <v>1359094.69</v>
      </c>
      <c r="AP324" s="451">
        <v>1057670</v>
      </c>
      <c r="AQ324" s="324" t="s">
        <v>1120</v>
      </c>
      <c r="AR324" s="310"/>
      <c r="AS324" s="310"/>
      <c r="AT324" s="310"/>
      <c r="AU324" s="310"/>
      <c r="AV324" s="310"/>
      <c r="AW324" s="310"/>
      <c r="AX324" s="310"/>
      <c r="AY324" s="310"/>
      <c r="AZ324" s="310"/>
      <c r="BA324" s="310"/>
      <c r="BB324" s="310"/>
      <c r="BC324" s="310"/>
      <c r="BD324" s="310"/>
      <c r="BE324" s="310"/>
      <c r="BF324" s="310"/>
      <c r="BG324" s="310"/>
      <c r="BH324" s="310"/>
      <c r="BI324" s="310"/>
      <c r="BJ324" s="310"/>
      <c r="BK324" s="310"/>
      <c r="BL324" s="310"/>
      <c r="BM324" s="310"/>
      <c r="BN324" s="310"/>
      <c r="BO324" s="310"/>
      <c r="BP324" s="310"/>
      <c r="BQ324" s="310"/>
      <c r="BR324" s="310"/>
      <c r="BS324" s="310"/>
      <c r="BT324" s="310"/>
      <c r="BU324" s="310"/>
      <c r="BV324" s="310"/>
      <c r="BW324" s="310"/>
      <c r="BX324" s="310"/>
      <c r="BY324" s="310"/>
      <c r="BZ324" s="310"/>
      <c r="CA324" s="310"/>
      <c r="CB324" s="310"/>
      <c r="CC324" s="310"/>
      <c r="CD324" s="310"/>
      <c r="CE324" s="310"/>
      <c r="CF324" s="310"/>
      <c r="CG324" s="310"/>
      <c r="CH324" s="310"/>
      <c r="CI324" s="310"/>
      <c r="CJ324" s="310"/>
      <c r="CK324" s="310"/>
      <c r="CL324" s="310"/>
      <c r="CM324" s="310"/>
      <c r="CN324" s="310"/>
      <c r="CO324" s="310"/>
      <c r="CP324" s="310"/>
      <c r="CQ324" s="310"/>
      <c r="CR324" s="310"/>
      <c r="CS324" s="310"/>
      <c r="CT324" s="310"/>
      <c r="CU324" s="310"/>
      <c r="CV324" s="310"/>
      <c r="CW324" s="310"/>
      <c r="CX324" s="310"/>
      <c r="CY324" s="310"/>
      <c r="CZ324" s="310"/>
      <c r="DA324" s="310"/>
      <c r="DB324" s="310"/>
      <c r="DC324" s="310"/>
      <c r="DD324" s="310"/>
      <c r="DE324" s="310"/>
      <c r="DF324" s="310"/>
      <c r="DG324" s="310"/>
      <c r="DH324" s="310"/>
      <c r="DI324" s="310"/>
      <c r="DJ324" s="310"/>
      <c r="DK324" s="310"/>
      <c r="DL324" s="310"/>
      <c r="DM324" s="310"/>
      <c r="DN324" s="310"/>
      <c r="DO324" s="310"/>
      <c r="DP324" s="310"/>
      <c r="DQ324" s="310"/>
      <c r="DR324" s="310"/>
      <c r="DS324" s="310"/>
      <c r="DT324" s="310"/>
      <c r="DU324" s="310"/>
      <c r="DV324" s="310"/>
      <c r="DW324" s="310"/>
      <c r="DX324" s="310"/>
      <c r="DY324" s="310"/>
      <c r="DZ324" s="310"/>
      <c r="EA324" s="310"/>
      <c r="EB324" s="310"/>
      <c r="EC324" s="310"/>
      <c r="ED324" s="310"/>
      <c r="EE324" s="310"/>
      <c r="EF324" s="310"/>
      <c r="EG324" s="310"/>
      <c r="EH324" s="310"/>
      <c r="EI324" s="310"/>
      <c r="EJ324" s="310"/>
      <c r="EK324" s="310"/>
      <c r="EL324" s="310"/>
      <c r="EM324" s="310"/>
      <c r="EN324" s="310"/>
      <c r="EO324" s="310"/>
      <c r="EP324" s="310"/>
      <c r="EQ324" s="310"/>
      <c r="ER324" s="310"/>
      <c r="ES324" s="310"/>
      <c r="ET324" s="310"/>
      <c r="EU324" s="310"/>
      <c r="EV324" s="310"/>
      <c r="EW324" s="310"/>
      <c r="EX324" s="310"/>
      <c r="EY324" s="310"/>
      <c r="EZ324" s="310"/>
      <c r="FA324" s="310"/>
      <c r="FB324" s="310"/>
      <c r="FC324" s="310"/>
      <c r="FD324" s="310"/>
      <c r="FE324" s="311"/>
      <c r="FF324" s="312"/>
    </row>
    <row r="325" spans="1:167" ht="12.75" x14ac:dyDescent="0.2">
      <c r="A325" s="446">
        <v>318</v>
      </c>
      <c r="B325" s="447" t="s">
        <v>519</v>
      </c>
      <c r="C325" s="448" t="s">
        <v>794</v>
      </c>
      <c r="D325" s="449" t="s">
        <v>1094</v>
      </c>
      <c r="E325" s="450" t="s">
        <v>758</v>
      </c>
      <c r="F325" s="451">
        <v>53498530.399999999</v>
      </c>
      <c r="G325" s="451">
        <v>0</v>
      </c>
      <c r="H325" s="451">
        <v>0</v>
      </c>
      <c r="I325" s="451">
        <v>53498530.399999999</v>
      </c>
      <c r="J325" s="451">
        <v>378066</v>
      </c>
      <c r="K325" s="451">
        <v>0</v>
      </c>
      <c r="L325" s="451">
        <v>0</v>
      </c>
      <c r="M325" s="451">
        <v>378066</v>
      </c>
      <c r="N325" s="451">
        <v>500000</v>
      </c>
      <c r="O325" s="451">
        <v>0</v>
      </c>
      <c r="P325" s="451">
        <v>0</v>
      </c>
      <c r="Q325" s="451">
        <v>500000</v>
      </c>
      <c r="R325" s="451">
        <v>1250000</v>
      </c>
      <c r="S325" s="451">
        <v>0</v>
      </c>
      <c r="T325" s="451">
        <v>0</v>
      </c>
      <c r="U325" s="451">
        <v>1250000</v>
      </c>
      <c r="V325" s="451">
        <v>0</v>
      </c>
      <c r="W325" s="451">
        <v>0</v>
      </c>
      <c r="X325" s="451">
        <v>0</v>
      </c>
      <c r="Y325" s="451">
        <v>0</v>
      </c>
      <c r="Z325" s="451">
        <v>51370464</v>
      </c>
      <c r="AA325" s="451">
        <v>0</v>
      </c>
      <c r="AB325" s="451">
        <v>0</v>
      </c>
      <c r="AC325" s="451">
        <v>51370464</v>
      </c>
      <c r="AD325" s="451">
        <v>0</v>
      </c>
      <c r="AE325" s="451">
        <v>0</v>
      </c>
      <c r="AF325" s="451">
        <v>0</v>
      </c>
      <c r="AG325" s="451">
        <v>0</v>
      </c>
      <c r="AH325" s="451">
        <v>0</v>
      </c>
      <c r="AI325" s="451">
        <v>0</v>
      </c>
      <c r="AJ325" s="451">
        <v>0</v>
      </c>
      <c r="AK325" s="451">
        <v>0</v>
      </c>
      <c r="AL325" s="451">
        <v>0</v>
      </c>
      <c r="AM325" s="451">
        <v>0</v>
      </c>
      <c r="AN325" s="451">
        <v>0</v>
      </c>
      <c r="AO325" s="451">
        <v>2280385</v>
      </c>
      <c r="AP325" s="451">
        <v>2686329</v>
      </c>
      <c r="AQ325" s="324"/>
      <c r="AR325" s="310"/>
      <c r="AS325" s="310"/>
      <c r="AT325" s="310"/>
      <c r="AU325" s="310"/>
      <c r="AV325" s="310"/>
      <c r="AW325" s="310"/>
      <c r="AX325" s="310"/>
      <c r="AY325" s="310"/>
      <c r="AZ325" s="310"/>
      <c r="BA325" s="310"/>
      <c r="BB325" s="310"/>
      <c r="BC325" s="310"/>
      <c r="BD325" s="310"/>
      <c r="BE325" s="310"/>
      <c r="BF325" s="310"/>
      <c r="BG325" s="310"/>
      <c r="BH325" s="310"/>
      <c r="BI325" s="310"/>
      <c r="BJ325" s="310"/>
      <c r="BK325" s="310"/>
      <c r="BL325" s="310"/>
      <c r="BM325" s="310"/>
      <c r="BN325" s="310"/>
      <c r="BO325" s="310"/>
      <c r="BP325" s="310"/>
      <c r="BQ325" s="310"/>
      <c r="BR325" s="310"/>
      <c r="BS325" s="310"/>
      <c r="BT325" s="310"/>
      <c r="BU325" s="310"/>
      <c r="BV325" s="310"/>
      <c r="BW325" s="310"/>
      <c r="BX325" s="310"/>
      <c r="BY325" s="310"/>
      <c r="BZ325" s="310"/>
      <c r="CA325" s="310"/>
      <c r="CB325" s="310"/>
      <c r="CC325" s="310"/>
      <c r="CD325" s="310"/>
      <c r="CE325" s="310"/>
      <c r="CF325" s="310"/>
      <c r="CG325" s="310"/>
      <c r="CH325" s="310"/>
      <c r="CI325" s="310"/>
      <c r="CJ325" s="310"/>
      <c r="CK325" s="310"/>
      <c r="CL325" s="310"/>
      <c r="CM325" s="310"/>
      <c r="CN325" s="310"/>
      <c r="CO325" s="310"/>
      <c r="CP325" s="310"/>
      <c r="CQ325" s="310"/>
      <c r="CR325" s="310"/>
      <c r="CS325" s="310"/>
      <c r="CT325" s="310"/>
      <c r="CU325" s="310"/>
      <c r="CV325" s="310"/>
      <c r="CW325" s="310"/>
      <c r="CX325" s="310"/>
      <c r="CY325" s="310"/>
      <c r="CZ325" s="310"/>
      <c r="DA325" s="310"/>
      <c r="DB325" s="310"/>
      <c r="DC325" s="310"/>
      <c r="DD325" s="310"/>
      <c r="DE325" s="310"/>
      <c r="DF325" s="310"/>
      <c r="DG325" s="310"/>
      <c r="DH325" s="310"/>
      <c r="DI325" s="310"/>
      <c r="DJ325" s="310"/>
      <c r="DK325" s="310"/>
      <c r="DL325" s="310"/>
      <c r="DM325" s="310"/>
      <c r="DN325" s="310"/>
      <c r="DO325" s="310"/>
      <c r="DP325" s="310"/>
      <c r="DQ325" s="310"/>
      <c r="DR325" s="310"/>
      <c r="DS325" s="310"/>
      <c r="DT325" s="310"/>
      <c r="DU325" s="310"/>
      <c r="DV325" s="310"/>
      <c r="DW325" s="310"/>
      <c r="DX325" s="310"/>
      <c r="DY325" s="310"/>
      <c r="DZ325" s="310"/>
      <c r="EA325" s="310"/>
      <c r="EB325" s="310"/>
      <c r="EC325" s="310"/>
      <c r="ED325" s="310"/>
      <c r="EE325" s="310"/>
      <c r="EF325" s="310"/>
      <c r="EG325" s="310"/>
      <c r="EH325" s="310"/>
      <c r="EI325" s="310"/>
      <c r="EJ325" s="310"/>
      <c r="EK325" s="310"/>
      <c r="EL325" s="310"/>
      <c r="EM325" s="310"/>
      <c r="EN325" s="310"/>
      <c r="EO325" s="310"/>
      <c r="EP325" s="310"/>
      <c r="EQ325" s="310"/>
      <c r="ER325" s="310"/>
      <c r="ES325" s="310"/>
      <c r="ET325" s="310"/>
      <c r="EU325" s="310"/>
      <c r="EV325" s="310"/>
      <c r="EW325" s="310"/>
      <c r="EX325" s="310"/>
      <c r="EY325" s="310"/>
      <c r="EZ325" s="310"/>
      <c r="FA325" s="310"/>
      <c r="FB325" s="310"/>
      <c r="FC325" s="310"/>
      <c r="FD325" s="310"/>
      <c r="FE325" s="311"/>
      <c r="FF325" s="312"/>
    </row>
    <row r="326" spans="1:167" ht="12.75" x14ac:dyDescent="0.2">
      <c r="A326" s="446">
        <v>319</v>
      </c>
      <c r="B326" s="447" t="s">
        <v>521</v>
      </c>
      <c r="C326" s="448" t="s">
        <v>1100</v>
      </c>
      <c r="D326" s="449" t="s">
        <v>1103</v>
      </c>
      <c r="E326" s="450" t="s">
        <v>520</v>
      </c>
      <c r="F326" s="451">
        <v>76106664</v>
      </c>
      <c r="G326" s="451">
        <v>0</v>
      </c>
      <c r="H326" s="451">
        <v>85369</v>
      </c>
      <c r="I326" s="451">
        <v>76192033</v>
      </c>
      <c r="J326" s="451">
        <v>0</v>
      </c>
      <c r="K326" s="451">
        <v>0</v>
      </c>
      <c r="L326" s="451">
        <v>0</v>
      </c>
      <c r="M326" s="451">
        <v>0</v>
      </c>
      <c r="N326" s="451">
        <v>2594998</v>
      </c>
      <c r="O326" s="451">
        <v>0</v>
      </c>
      <c r="P326" s="451">
        <v>0</v>
      </c>
      <c r="Q326" s="451">
        <v>2594998</v>
      </c>
      <c r="R326" s="451">
        <v>908870</v>
      </c>
      <c r="S326" s="451">
        <v>0</v>
      </c>
      <c r="T326" s="451">
        <v>0</v>
      </c>
      <c r="U326" s="451">
        <v>908870</v>
      </c>
      <c r="V326" s="451">
        <v>663484</v>
      </c>
      <c r="W326" s="451">
        <v>0</v>
      </c>
      <c r="X326" s="451">
        <v>0</v>
      </c>
      <c r="Y326" s="451">
        <v>663484</v>
      </c>
      <c r="Z326" s="451">
        <v>71939312</v>
      </c>
      <c r="AA326" s="451">
        <v>0</v>
      </c>
      <c r="AB326" s="451">
        <v>85369</v>
      </c>
      <c r="AC326" s="451">
        <v>72024681</v>
      </c>
      <c r="AD326" s="451">
        <v>0</v>
      </c>
      <c r="AE326" s="451">
        <v>0</v>
      </c>
      <c r="AF326" s="451">
        <v>0</v>
      </c>
      <c r="AG326" s="451">
        <v>0</v>
      </c>
      <c r="AH326" s="451">
        <v>0</v>
      </c>
      <c r="AI326" s="451">
        <v>0</v>
      </c>
      <c r="AJ326" s="451">
        <v>0</v>
      </c>
      <c r="AK326" s="451">
        <v>85229</v>
      </c>
      <c r="AL326" s="451">
        <v>0</v>
      </c>
      <c r="AM326" s="451">
        <v>140</v>
      </c>
      <c r="AN326" s="451">
        <v>0</v>
      </c>
      <c r="AO326" s="451">
        <v>7067811</v>
      </c>
      <c r="AP326" s="451">
        <v>388893</v>
      </c>
      <c r="AQ326" s="324"/>
      <c r="AR326" s="310"/>
      <c r="AS326" s="310"/>
      <c r="AT326" s="310"/>
      <c r="AU326" s="310"/>
      <c r="AV326" s="310"/>
      <c r="AW326" s="310"/>
      <c r="AX326" s="310"/>
      <c r="AY326" s="310"/>
      <c r="AZ326" s="310"/>
      <c r="BA326" s="310"/>
      <c r="BB326" s="310"/>
      <c r="BC326" s="310"/>
      <c r="BD326" s="310"/>
      <c r="BE326" s="310"/>
      <c r="BF326" s="310"/>
      <c r="BG326" s="310"/>
      <c r="BH326" s="310"/>
      <c r="BI326" s="310"/>
      <c r="BJ326" s="310"/>
      <c r="BK326" s="310"/>
      <c r="BL326" s="310"/>
      <c r="BM326" s="310"/>
      <c r="BN326" s="310"/>
      <c r="BO326" s="310"/>
      <c r="BP326" s="310"/>
      <c r="BQ326" s="310"/>
      <c r="BR326" s="310"/>
      <c r="BS326" s="310"/>
      <c r="BT326" s="310"/>
      <c r="BU326" s="310"/>
      <c r="BV326" s="310"/>
      <c r="BW326" s="310"/>
      <c r="BX326" s="310"/>
      <c r="BY326" s="310"/>
      <c r="BZ326" s="310"/>
      <c r="CA326" s="310"/>
      <c r="CB326" s="310"/>
      <c r="CC326" s="310"/>
      <c r="CD326" s="310"/>
      <c r="CE326" s="310"/>
      <c r="CF326" s="310"/>
      <c r="CG326" s="310"/>
      <c r="CH326" s="310"/>
      <c r="CI326" s="310"/>
      <c r="CJ326" s="310"/>
      <c r="CK326" s="310"/>
      <c r="CL326" s="310"/>
      <c r="CM326" s="310"/>
      <c r="CN326" s="310"/>
      <c r="CO326" s="310"/>
      <c r="CP326" s="310"/>
      <c r="CQ326" s="310"/>
      <c r="CR326" s="310"/>
      <c r="CS326" s="310"/>
      <c r="CT326" s="310"/>
      <c r="CU326" s="310"/>
      <c r="CV326" s="310"/>
      <c r="CW326" s="310"/>
      <c r="CX326" s="310"/>
      <c r="CY326" s="310"/>
      <c r="CZ326" s="310"/>
      <c r="DA326" s="310"/>
      <c r="DB326" s="310"/>
      <c r="DC326" s="310"/>
      <c r="DD326" s="310"/>
      <c r="DE326" s="310"/>
      <c r="DF326" s="310"/>
      <c r="DG326" s="310"/>
      <c r="DH326" s="310"/>
      <c r="DI326" s="310"/>
      <c r="DJ326" s="310"/>
      <c r="DK326" s="310"/>
      <c r="DL326" s="310"/>
      <c r="DM326" s="310"/>
      <c r="DN326" s="310"/>
      <c r="DO326" s="310"/>
      <c r="DP326" s="310"/>
      <c r="DQ326" s="310"/>
      <c r="DR326" s="310"/>
      <c r="DS326" s="310"/>
      <c r="DT326" s="310"/>
      <c r="DU326" s="310"/>
      <c r="DV326" s="310"/>
      <c r="DW326" s="310"/>
      <c r="DX326" s="310"/>
      <c r="DY326" s="310"/>
      <c r="DZ326" s="310"/>
      <c r="EA326" s="310"/>
      <c r="EB326" s="310"/>
      <c r="EC326" s="310"/>
      <c r="ED326" s="310"/>
      <c r="EE326" s="310"/>
      <c r="EF326" s="310"/>
      <c r="EG326" s="310"/>
      <c r="EH326" s="310"/>
      <c r="EI326" s="310"/>
      <c r="EJ326" s="310"/>
      <c r="EK326" s="310"/>
      <c r="EL326" s="310"/>
      <c r="EM326" s="310"/>
      <c r="EN326" s="310"/>
      <c r="EO326" s="310"/>
      <c r="EP326" s="310"/>
      <c r="EQ326" s="310"/>
      <c r="ER326" s="310"/>
      <c r="ES326" s="310"/>
      <c r="ET326" s="310"/>
      <c r="EU326" s="310"/>
      <c r="EV326" s="310"/>
      <c r="EW326" s="310"/>
      <c r="EX326" s="310"/>
      <c r="EY326" s="310"/>
      <c r="EZ326" s="310"/>
      <c r="FA326" s="310"/>
      <c r="FB326" s="310"/>
      <c r="FC326" s="310"/>
      <c r="FD326" s="310"/>
      <c r="FE326" s="311"/>
      <c r="FF326" s="312"/>
    </row>
    <row r="327" spans="1:167" ht="12.75" x14ac:dyDescent="0.2">
      <c r="A327" s="446">
        <v>320</v>
      </c>
      <c r="B327" s="447" t="s">
        <v>523</v>
      </c>
      <c r="C327" s="448" t="s">
        <v>1093</v>
      </c>
      <c r="D327" s="449" t="s">
        <v>1103</v>
      </c>
      <c r="E327" s="450" t="s">
        <v>522</v>
      </c>
      <c r="F327" s="451">
        <v>40126153</v>
      </c>
      <c r="G327" s="451">
        <v>0</v>
      </c>
      <c r="H327" s="451">
        <v>0</v>
      </c>
      <c r="I327" s="451">
        <v>40126153</v>
      </c>
      <c r="J327" s="451">
        <v>207468</v>
      </c>
      <c r="K327" s="451">
        <v>0</v>
      </c>
      <c r="L327" s="451">
        <v>0</v>
      </c>
      <c r="M327" s="451">
        <v>207468</v>
      </c>
      <c r="N327" s="451">
        <v>0</v>
      </c>
      <c r="O327" s="451">
        <v>0</v>
      </c>
      <c r="P327" s="451">
        <v>0</v>
      </c>
      <c r="Q327" s="451">
        <v>0</v>
      </c>
      <c r="R327" s="451">
        <v>543925</v>
      </c>
      <c r="S327" s="451">
        <v>0</v>
      </c>
      <c r="T327" s="451">
        <v>0</v>
      </c>
      <c r="U327" s="451">
        <v>543925</v>
      </c>
      <c r="V327" s="451">
        <v>1584497</v>
      </c>
      <c r="W327" s="451">
        <v>0</v>
      </c>
      <c r="X327" s="451">
        <v>0</v>
      </c>
      <c r="Y327" s="451">
        <v>1584497</v>
      </c>
      <c r="Z327" s="451">
        <v>37790263</v>
      </c>
      <c r="AA327" s="451">
        <v>0</v>
      </c>
      <c r="AB327" s="451">
        <v>0</v>
      </c>
      <c r="AC327" s="451">
        <v>37790263</v>
      </c>
      <c r="AD327" s="451">
        <v>0</v>
      </c>
      <c r="AE327" s="451">
        <v>0</v>
      </c>
      <c r="AF327" s="451">
        <v>0</v>
      </c>
      <c r="AG327" s="451">
        <v>0</v>
      </c>
      <c r="AH327" s="451">
        <v>0</v>
      </c>
      <c r="AI327" s="451">
        <v>0</v>
      </c>
      <c r="AJ327" s="451">
        <v>0</v>
      </c>
      <c r="AK327" s="451">
        <v>0</v>
      </c>
      <c r="AL327" s="451">
        <v>0</v>
      </c>
      <c r="AM327" s="451">
        <v>0</v>
      </c>
      <c r="AN327" s="451">
        <v>0</v>
      </c>
      <c r="AO327" s="451">
        <v>1233929</v>
      </c>
      <c r="AP327" s="451">
        <v>632567</v>
      </c>
      <c r="AQ327" s="324"/>
      <c r="AR327" s="310"/>
      <c r="AS327" s="310"/>
      <c r="AT327" s="310"/>
      <c r="AU327" s="310"/>
      <c r="AV327" s="310"/>
      <c r="AW327" s="310"/>
      <c r="AX327" s="310"/>
      <c r="AY327" s="310"/>
      <c r="AZ327" s="310"/>
      <c r="BA327" s="310"/>
      <c r="BB327" s="310"/>
      <c r="BC327" s="310"/>
      <c r="BD327" s="310"/>
      <c r="BE327" s="310"/>
      <c r="BF327" s="310"/>
      <c r="BG327" s="310"/>
      <c r="BH327" s="310"/>
      <c r="BI327" s="310"/>
      <c r="BJ327" s="310"/>
      <c r="BK327" s="310"/>
      <c r="BL327" s="310"/>
      <c r="BM327" s="310"/>
      <c r="BN327" s="310"/>
      <c r="BO327" s="310"/>
      <c r="BP327" s="310"/>
      <c r="BQ327" s="310"/>
      <c r="BR327" s="310"/>
      <c r="BS327" s="310"/>
      <c r="BT327" s="310"/>
      <c r="BU327" s="310"/>
      <c r="BV327" s="310"/>
      <c r="BW327" s="310"/>
      <c r="BX327" s="310"/>
      <c r="BY327" s="310"/>
      <c r="BZ327" s="310"/>
      <c r="CA327" s="310"/>
      <c r="CB327" s="310"/>
      <c r="CC327" s="310"/>
      <c r="CD327" s="310"/>
      <c r="CE327" s="310"/>
      <c r="CF327" s="310"/>
      <c r="CG327" s="310"/>
      <c r="CH327" s="310"/>
      <c r="CI327" s="310"/>
      <c r="CJ327" s="310"/>
      <c r="CK327" s="310"/>
      <c r="CL327" s="310"/>
      <c r="CM327" s="310"/>
      <c r="CN327" s="310"/>
      <c r="CO327" s="310"/>
      <c r="CP327" s="310"/>
      <c r="CQ327" s="310"/>
      <c r="CR327" s="310"/>
      <c r="CS327" s="310"/>
      <c r="CT327" s="310"/>
      <c r="CU327" s="310"/>
      <c r="CV327" s="310"/>
      <c r="CW327" s="310"/>
      <c r="CX327" s="310"/>
      <c r="CY327" s="310"/>
      <c r="CZ327" s="310"/>
      <c r="DA327" s="310"/>
      <c r="DB327" s="310"/>
      <c r="DC327" s="310"/>
      <c r="DD327" s="310"/>
      <c r="DE327" s="310"/>
      <c r="DF327" s="310"/>
      <c r="DG327" s="310"/>
      <c r="DH327" s="310"/>
      <c r="DI327" s="310"/>
      <c r="DJ327" s="310"/>
      <c r="DK327" s="310"/>
      <c r="DL327" s="310"/>
      <c r="DM327" s="310"/>
      <c r="DN327" s="310"/>
      <c r="DO327" s="310"/>
      <c r="DP327" s="310"/>
      <c r="DQ327" s="310"/>
      <c r="DR327" s="310"/>
      <c r="DS327" s="310"/>
      <c r="DT327" s="310"/>
      <c r="DU327" s="310"/>
      <c r="DV327" s="310"/>
      <c r="DW327" s="310"/>
      <c r="DX327" s="310"/>
      <c r="DY327" s="310"/>
      <c r="DZ327" s="310"/>
      <c r="EA327" s="310"/>
      <c r="EB327" s="310"/>
      <c r="EC327" s="310"/>
      <c r="ED327" s="310"/>
      <c r="EE327" s="310"/>
      <c r="EF327" s="310"/>
      <c r="EG327" s="310"/>
      <c r="EH327" s="310"/>
      <c r="EI327" s="310"/>
      <c r="EJ327" s="310"/>
      <c r="EK327" s="310"/>
      <c r="EL327" s="310"/>
      <c r="EM327" s="310"/>
      <c r="EN327" s="310"/>
      <c r="EO327" s="310"/>
      <c r="EP327" s="310"/>
      <c r="EQ327" s="310"/>
      <c r="ER327" s="310"/>
      <c r="ES327" s="310"/>
      <c r="ET327" s="310"/>
      <c r="EU327" s="310"/>
      <c r="EV327" s="310"/>
      <c r="EW327" s="310"/>
      <c r="EX327" s="310"/>
      <c r="EY327" s="310"/>
      <c r="EZ327" s="310"/>
      <c r="FA327" s="310"/>
      <c r="FB327" s="310"/>
      <c r="FC327" s="310"/>
      <c r="FD327" s="310"/>
      <c r="FE327" s="311"/>
      <c r="FF327" s="312"/>
    </row>
    <row r="328" spans="1:167" ht="12.75" x14ac:dyDescent="0.2">
      <c r="A328" s="446">
        <v>321</v>
      </c>
      <c r="B328" s="447" t="s">
        <v>525</v>
      </c>
      <c r="C328" s="448" t="s">
        <v>1093</v>
      </c>
      <c r="D328" s="449" t="s">
        <v>1094</v>
      </c>
      <c r="E328" s="450" t="s">
        <v>524</v>
      </c>
      <c r="F328" s="451">
        <v>31898676</v>
      </c>
      <c r="G328" s="451">
        <v>0</v>
      </c>
      <c r="H328" s="451">
        <v>0</v>
      </c>
      <c r="I328" s="451">
        <v>31898676</v>
      </c>
      <c r="J328" s="451">
        <v>645233</v>
      </c>
      <c r="K328" s="451">
        <v>0</v>
      </c>
      <c r="L328" s="451">
        <v>0</v>
      </c>
      <c r="M328" s="451">
        <v>645233</v>
      </c>
      <c r="N328" s="451">
        <v>-28971</v>
      </c>
      <c r="O328" s="451">
        <v>0</v>
      </c>
      <c r="P328" s="451">
        <v>0</v>
      </c>
      <c r="Q328" s="451">
        <v>-28971</v>
      </c>
      <c r="R328" s="451">
        <v>558019</v>
      </c>
      <c r="S328" s="451">
        <v>0</v>
      </c>
      <c r="T328" s="451">
        <v>0</v>
      </c>
      <c r="U328" s="451">
        <v>558019</v>
      </c>
      <c r="V328" s="451">
        <v>1092760</v>
      </c>
      <c r="W328" s="451">
        <v>0</v>
      </c>
      <c r="X328" s="451">
        <v>0</v>
      </c>
      <c r="Y328" s="451">
        <v>1092760</v>
      </c>
      <c r="Z328" s="451">
        <v>29631635</v>
      </c>
      <c r="AA328" s="451">
        <v>0</v>
      </c>
      <c r="AB328" s="451">
        <v>0</v>
      </c>
      <c r="AC328" s="451">
        <v>29631635</v>
      </c>
      <c r="AD328" s="451">
        <v>0</v>
      </c>
      <c r="AE328" s="451">
        <v>0</v>
      </c>
      <c r="AF328" s="451">
        <v>0</v>
      </c>
      <c r="AG328" s="451">
        <v>0</v>
      </c>
      <c r="AH328" s="451">
        <v>0</v>
      </c>
      <c r="AI328" s="451">
        <v>0</v>
      </c>
      <c r="AJ328" s="451">
        <v>0</v>
      </c>
      <c r="AK328" s="451">
        <v>0</v>
      </c>
      <c r="AL328" s="451">
        <v>0</v>
      </c>
      <c r="AM328" s="451">
        <v>0</v>
      </c>
      <c r="AN328" s="451">
        <v>0</v>
      </c>
      <c r="AO328" s="451">
        <v>1555593</v>
      </c>
      <c r="AP328" s="451">
        <v>-123531</v>
      </c>
      <c r="AQ328" s="324"/>
      <c r="AR328" s="310"/>
      <c r="AS328" s="310"/>
      <c r="AT328" s="310"/>
      <c r="AU328" s="310"/>
      <c r="AV328" s="310"/>
      <c r="AW328" s="310"/>
      <c r="AX328" s="310"/>
      <c r="AY328" s="310"/>
      <c r="AZ328" s="310"/>
      <c r="BA328" s="310"/>
      <c r="BB328" s="310"/>
      <c r="BC328" s="310"/>
      <c r="BD328" s="310"/>
      <c r="BE328" s="310"/>
      <c r="BF328" s="310"/>
      <c r="BG328" s="310"/>
      <c r="BH328" s="310"/>
      <c r="BI328" s="310"/>
      <c r="BJ328" s="310"/>
      <c r="BK328" s="310"/>
      <c r="BL328" s="310"/>
      <c r="BM328" s="310"/>
      <c r="BN328" s="310"/>
      <c r="BO328" s="310"/>
      <c r="BP328" s="310"/>
      <c r="BQ328" s="310"/>
      <c r="BR328" s="310"/>
      <c r="BS328" s="310"/>
      <c r="BT328" s="310"/>
      <c r="BU328" s="310"/>
      <c r="BV328" s="310"/>
      <c r="BW328" s="310"/>
      <c r="BX328" s="310"/>
      <c r="BY328" s="310"/>
      <c r="BZ328" s="310"/>
      <c r="CA328" s="310"/>
      <c r="CB328" s="310"/>
      <c r="CC328" s="310"/>
      <c r="CD328" s="310"/>
      <c r="CE328" s="310"/>
      <c r="CF328" s="310"/>
      <c r="CG328" s="310"/>
      <c r="CH328" s="310"/>
      <c r="CI328" s="310"/>
      <c r="CJ328" s="310"/>
      <c r="CK328" s="310"/>
      <c r="CL328" s="310"/>
      <c r="CM328" s="310"/>
      <c r="CN328" s="310"/>
      <c r="CO328" s="310"/>
      <c r="CP328" s="310"/>
      <c r="CQ328" s="310"/>
      <c r="CR328" s="310"/>
      <c r="CS328" s="310"/>
      <c r="CT328" s="310"/>
      <c r="CU328" s="310"/>
      <c r="CV328" s="310"/>
      <c r="CW328" s="310"/>
      <c r="CX328" s="310"/>
      <c r="CY328" s="310"/>
      <c r="CZ328" s="310"/>
      <c r="DA328" s="310"/>
      <c r="DB328" s="310"/>
      <c r="DC328" s="310"/>
      <c r="DD328" s="310"/>
      <c r="DE328" s="310"/>
      <c r="DF328" s="310"/>
      <c r="DG328" s="310"/>
      <c r="DH328" s="310"/>
      <c r="DI328" s="310"/>
      <c r="DJ328" s="310"/>
      <c r="DK328" s="310"/>
      <c r="DL328" s="310"/>
      <c r="DM328" s="310"/>
      <c r="DN328" s="310"/>
      <c r="DO328" s="310"/>
      <c r="DP328" s="310"/>
      <c r="DQ328" s="310"/>
      <c r="DR328" s="310"/>
      <c r="DS328" s="310"/>
      <c r="DT328" s="310"/>
      <c r="DU328" s="310"/>
      <c r="DV328" s="310"/>
      <c r="DW328" s="310"/>
      <c r="DX328" s="310"/>
      <c r="DY328" s="310"/>
      <c r="DZ328" s="310"/>
      <c r="EA328" s="310"/>
      <c r="EB328" s="310"/>
      <c r="EC328" s="310"/>
      <c r="ED328" s="310"/>
      <c r="EE328" s="310"/>
      <c r="EF328" s="310"/>
      <c r="EG328" s="310"/>
      <c r="EH328" s="310"/>
      <c r="EI328" s="310"/>
      <c r="EJ328" s="310"/>
      <c r="EK328" s="310"/>
      <c r="EL328" s="310"/>
      <c r="EM328" s="310"/>
      <c r="EN328" s="310"/>
      <c r="EO328" s="310"/>
      <c r="EP328" s="310"/>
      <c r="EQ328" s="310"/>
      <c r="ER328" s="310"/>
      <c r="ES328" s="310"/>
      <c r="ET328" s="310"/>
      <c r="EU328" s="310"/>
      <c r="EV328" s="310"/>
      <c r="EW328" s="310"/>
      <c r="EX328" s="310"/>
      <c r="EY328" s="310"/>
      <c r="EZ328" s="310"/>
      <c r="FA328" s="310"/>
      <c r="FB328" s="310"/>
      <c r="FC328" s="310"/>
      <c r="FD328" s="310"/>
      <c r="FE328" s="311"/>
      <c r="FF328" s="312"/>
    </row>
    <row r="329" spans="1:167" ht="12.75" x14ac:dyDescent="0.2">
      <c r="A329" s="446">
        <v>322</v>
      </c>
      <c r="B329" s="447" t="s">
        <v>527</v>
      </c>
      <c r="C329" s="448" t="s">
        <v>1093</v>
      </c>
      <c r="D329" s="449" t="s">
        <v>1103</v>
      </c>
      <c r="E329" s="450" t="s">
        <v>526</v>
      </c>
      <c r="F329" s="451">
        <v>38814062</v>
      </c>
      <c r="G329" s="451">
        <v>0</v>
      </c>
      <c r="H329" s="451">
        <v>0</v>
      </c>
      <c r="I329" s="451">
        <v>38814062</v>
      </c>
      <c r="J329" s="451">
        <v>145454.04</v>
      </c>
      <c r="K329" s="451">
        <v>0</v>
      </c>
      <c r="L329" s="451">
        <v>0</v>
      </c>
      <c r="M329" s="451">
        <v>145454.04</v>
      </c>
      <c r="N329" s="451">
        <v>0</v>
      </c>
      <c r="O329" s="451">
        <v>0</v>
      </c>
      <c r="P329" s="451">
        <v>0</v>
      </c>
      <c r="Q329" s="451">
        <v>0</v>
      </c>
      <c r="R329" s="451">
        <v>366027</v>
      </c>
      <c r="S329" s="451">
        <v>0</v>
      </c>
      <c r="T329" s="451">
        <v>0</v>
      </c>
      <c r="U329" s="451">
        <v>366027</v>
      </c>
      <c r="V329" s="451">
        <v>1178893</v>
      </c>
      <c r="W329" s="451">
        <v>0</v>
      </c>
      <c r="X329" s="451">
        <v>0</v>
      </c>
      <c r="Y329" s="451">
        <v>1178893</v>
      </c>
      <c r="Z329" s="451">
        <v>37123688</v>
      </c>
      <c r="AA329" s="451">
        <v>0</v>
      </c>
      <c r="AB329" s="451">
        <v>0</v>
      </c>
      <c r="AC329" s="451">
        <v>37123688</v>
      </c>
      <c r="AD329" s="451">
        <v>0</v>
      </c>
      <c r="AE329" s="451">
        <v>0</v>
      </c>
      <c r="AF329" s="451">
        <v>0</v>
      </c>
      <c r="AG329" s="451">
        <v>0</v>
      </c>
      <c r="AH329" s="451">
        <v>0</v>
      </c>
      <c r="AI329" s="451">
        <v>0</v>
      </c>
      <c r="AJ329" s="451">
        <v>0</v>
      </c>
      <c r="AK329" s="451">
        <v>0</v>
      </c>
      <c r="AL329" s="451">
        <v>0</v>
      </c>
      <c r="AM329" s="451">
        <v>0</v>
      </c>
      <c r="AN329" s="451">
        <v>0</v>
      </c>
      <c r="AO329" s="451">
        <v>428604</v>
      </c>
      <c r="AP329" s="451">
        <v>476873</v>
      </c>
      <c r="AQ329" s="324"/>
      <c r="AR329" s="310"/>
      <c r="AS329" s="310"/>
      <c r="AT329" s="310"/>
      <c r="AU329" s="310"/>
      <c r="AV329" s="310"/>
      <c r="AW329" s="310"/>
      <c r="AX329" s="310"/>
      <c r="AY329" s="310"/>
      <c r="AZ329" s="310"/>
      <c r="BA329" s="310"/>
      <c r="BB329" s="310"/>
      <c r="BC329" s="310"/>
      <c r="BD329" s="310"/>
      <c r="BE329" s="310"/>
      <c r="BF329" s="310"/>
      <c r="BG329" s="310"/>
      <c r="BH329" s="310"/>
      <c r="BI329" s="310"/>
      <c r="BJ329" s="310"/>
      <c r="BK329" s="310"/>
      <c r="BL329" s="310"/>
      <c r="BM329" s="310"/>
      <c r="BN329" s="310"/>
      <c r="BO329" s="310"/>
      <c r="BP329" s="310"/>
      <c r="BQ329" s="310"/>
      <c r="BR329" s="310"/>
      <c r="BS329" s="310"/>
      <c r="BT329" s="310"/>
      <c r="BU329" s="310"/>
      <c r="BV329" s="310"/>
      <c r="BW329" s="310"/>
      <c r="BX329" s="310"/>
      <c r="BY329" s="310"/>
      <c r="BZ329" s="310"/>
      <c r="CA329" s="310"/>
      <c r="CB329" s="310"/>
      <c r="CC329" s="310"/>
      <c r="CD329" s="310"/>
      <c r="CE329" s="310"/>
      <c r="CF329" s="310"/>
      <c r="CG329" s="310"/>
      <c r="CH329" s="310"/>
      <c r="CI329" s="310"/>
      <c r="CJ329" s="310"/>
      <c r="CK329" s="310"/>
      <c r="CL329" s="310"/>
      <c r="CM329" s="310"/>
      <c r="CN329" s="310"/>
      <c r="CO329" s="310"/>
      <c r="CP329" s="310"/>
      <c r="CQ329" s="310"/>
      <c r="CR329" s="310"/>
      <c r="CS329" s="310"/>
      <c r="CT329" s="310"/>
      <c r="CU329" s="310"/>
      <c r="CV329" s="310"/>
      <c r="CW329" s="310"/>
      <c r="CX329" s="310"/>
      <c r="CY329" s="310"/>
      <c r="CZ329" s="310"/>
      <c r="DA329" s="310"/>
      <c r="DB329" s="310"/>
      <c r="DC329" s="310"/>
      <c r="DD329" s="310"/>
      <c r="DE329" s="310"/>
      <c r="DF329" s="310"/>
      <c r="DG329" s="310"/>
      <c r="DH329" s="310"/>
      <c r="DI329" s="310"/>
      <c r="DJ329" s="310"/>
      <c r="DK329" s="310"/>
      <c r="DL329" s="310"/>
      <c r="DM329" s="310"/>
      <c r="DN329" s="310"/>
      <c r="DO329" s="310"/>
      <c r="DP329" s="310"/>
      <c r="DQ329" s="310"/>
      <c r="DR329" s="310"/>
      <c r="DS329" s="310"/>
      <c r="DT329" s="310"/>
      <c r="DU329" s="310"/>
      <c r="DV329" s="310"/>
      <c r="DW329" s="310"/>
      <c r="DX329" s="310"/>
      <c r="DY329" s="310"/>
      <c r="DZ329" s="310"/>
      <c r="EA329" s="310"/>
      <c r="EB329" s="310"/>
      <c r="EC329" s="310"/>
      <c r="ED329" s="310"/>
      <c r="EE329" s="310"/>
      <c r="EF329" s="310"/>
      <c r="EG329" s="310"/>
      <c r="EH329" s="310"/>
      <c r="EI329" s="310"/>
      <c r="EJ329" s="310"/>
      <c r="EK329" s="310"/>
      <c r="EL329" s="310"/>
      <c r="EM329" s="310"/>
      <c r="EN329" s="310"/>
      <c r="EO329" s="310"/>
      <c r="EP329" s="310"/>
      <c r="EQ329" s="310"/>
      <c r="ER329" s="310"/>
      <c r="ES329" s="310"/>
      <c r="ET329" s="310"/>
      <c r="EU329" s="310"/>
      <c r="EV329" s="310"/>
      <c r="EW329" s="310"/>
      <c r="EX329" s="310"/>
      <c r="EY329" s="310"/>
      <c r="EZ329" s="310"/>
      <c r="FA329" s="310"/>
      <c r="FB329" s="310"/>
      <c r="FC329" s="310"/>
      <c r="FD329" s="310"/>
      <c r="FE329" s="311"/>
      <c r="FF329" s="312"/>
    </row>
    <row r="330" spans="1:167" ht="12.75" x14ac:dyDescent="0.2">
      <c r="A330" s="446">
        <v>323</v>
      </c>
      <c r="B330" s="447" t="s">
        <v>529</v>
      </c>
      <c r="C330" s="448" t="s">
        <v>1093</v>
      </c>
      <c r="D330" s="449" t="s">
        <v>1094</v>
      </c>
      <c r="E330" s="450" t="s">
        <v>528</v>
      </c>
      <c r="F330" s="451">
        <v>69746165</v>
      </c>
      <c r="G330" s="451">
        <v>0</v>
      </c>
      <c r="H330" s="451">
        <v>0</v>
      </c>
      <c r="I330" s="451">
        <v>69746165</v>
      </c>
      <c r="J330" s="451">
        <v>567663</v>
      </c>
      <c r="K330" s="451">
        <v>0</v>
      </c>
      <c r="L330" s="451">
        <v>0</v>
      </c>
      <c r="M330" s="451">
        <v>567663</v>
      </c>
      <c r="N330" s="451">
        <v>210000</v>
      </c>
      <c r="O330" s="451">
        <v>0</v>
      </c>
      <c r="P330" s="451">
        <v>0</v>
      </c>
      <c r="Q330" s="451">
        <v>210000</v>
      </c>
      <c r="R330" s="451">
        <v>5119080</v>
      </c>
      <c r="S330" s="451">
        <v>0</v>
      </c>
      <c r="T330" s="451">
        <v>0</v>
      </c>
      <c r="U330" s="451">
        <v>5119080</v>
      </c>
      <c r="V330" s="451">
        <v>0</v>
      </c>
      <c r="W330" s="451">
        <v>0</v>
      </c>
      <c r="X330" s="451">
        <v>0</v>
      </c>
      <c r="Y330" s="451">
        <v>0</v>
      </c>
      <c r="Z330" s="451">
        <v>63849422</v>
      </c>
      <c r="AA330" s="451">
        <v>0</v>
      </c>
      <c r="AB330" s="451">
        <v>0</v>
      </c>
      <c r="AC330" s="451">
        <v>63849422</v>
      </c>
      <c r="AD330" s="451">
        <v>0</v>
      </c>
      <c r="AE330" s="451">
        <v>0</v>
      </c>
      <c r="AF330" s="451">
        <v>0</v>
      </c>
      <c r="AG330" s="451">
        <v>0</v>
      </c>
      <c r="AH330" s="451">
        <v>0</v>
      </c>
      <c r="AI330" s="451">
        <v>0</v>
      </c>
      <c r="AJ330" s="451">
        <v>0</v>
      </c>
      <c r="AK330" s="451">
        <v>0</v>
      </c>
      <c r="AL330" s="451">
        <v>0</v>
      </c>
      <c r="AM330" s="451">
        <v>0</v>
      </c>
      <c r="AN330" s="451">
        <v>0</v>
      </c>
      <c r="AO330" s="451">
        <v>3122394</v>
      </c>
      <c r="AP330" s="451">
        <v>1435537.53</v>
      </c>
      <c r="AQ330" s="324"/>
      <c r="AR330" s="310"/>
      <c r="AS330" s="310"/>
      <c r="AT330" s="310"/>
      <c r="AU330" s="310"/>
      <c r="AV330" s="310"/>
      <c r="AW330" s="310"/>
      <c r="AX330" s="310"/>
      <c r="AY330" s="310"/>
      <c r="AZ330" s="310"/>
      <c r="BA330" s="310"/>
      <c r="BB330" s="310"/>
      <c r="BC330" s="310"/>
      <c r="BD330" s="310"/>
      <c r="BE330" s="310"/>
      <c r="BF330" s="310"/>
      <c r="BG330" s="310"/>
      <c r="BH330" s="310"/>
      <c r="BI330" s="310"/>
      <c r="BJ330" s="310"/>
      <c r="BK330" s="310"/>
      <c r="BL330" s="310"/>
      <c r="BM330" s="310"/>
      <c r="BN330" s="310"/>
      <c r="BO330" s="310"/>
      <c r="BP330" s="310"/>
      <c r="BQ330" s="310"/>
      <c r="BR330" s="310"/>
      <c r="BS330" s="310"/>
      <c r="BT330" s="310"/>
      <c r="BU330" s="310"/>
      <c r="BV330" s="310"/>
      <c r="BW330" s="310"/>
      <c r="BX330" s="310"/>
      <c r="BY330" s="310"/>
      <c r="BZ330" s="310"/>
      <c r="CA330" s="310"/>
      <c r="CB330" s="310"/>
      <c r="CC330" s="310"/>
      <c r="CD330" s="310"/>
      <c r="CE330" s="310"/>
      <c r="CF330" s="310"/>
      <c r="CG330" s="310"/>
      <c r="CH330" s="310"/>
      <c r="CI330" s="310"/>
      <c r="CJ330" s="310"/>
      <c r="CK330" s="310"/>
      <c r="CL330" s="310"/>
      <c r="CM330" s="310"/>
      <c r="CN330" s="310"/>
      <c r="CO330" s="310"/>
      <c r="CP330" s="310"/>
      <c r="CQ330" s="310"/>
      <c r="CR330" s="310"/>
      <c r="CS330" s="310"/>
      <c r="CT330" s="310"/>
      <c r="CU330" s="310"/>
      <c r="CV330" s="310"/>
      <c r="CW330" s="310"/>
      <c r="CX330" s="310"/>
      <c r="CY330" s="310"/>
      <c r="CZ330" s="310"/>
      <c r="DA330" s="310"/>
      <c r="DB330" s="310"/>
      <c r="DC330" s="310"/>
      <c r="DD330" s="310"/>
      <c r="DE330" s="310"/>
      <c r="DF330" s="310"/>
      <c r="DG330" s="310"/>
      <c r="DH330" s="310"/>
      <c r="DI330" s="310"/>
      <c r="DJ330" s="310"/>
      <c r="DK330" s="310"/>
      <c r="DL330" s="310"/>
      <c r="DM330" s="310"/>
      <c r="DN330" s="310"/>
      <c r="DO330" s="310"/>
      <c r="DP330" s="310"/>
      <c r="DQ330" s="310"/>
      <c r="DR330" s="310"/>
      <c r="DS330" s="310"/>
      <c r="DT330" s="310"/>
      <c r="DU330" s="310"/>
      <c r="DV330" s="310"/>
      <c r="DW330" s="310"/>
      <c r="DX330" s="310"/>
      <c r="DY330" s="310"/>
      <c r="DZ330" s="310"/>
      <c r="EA330" s="310"/>
      <c r="EB330" s="310"/>
      <c r="EC330" s="310"/>
      <c r="ED330" s="310"/>
      <c r="EE330" s="310"/>
      <c r="EF330" s="310"/>
      <c r="EG330" s="310"/>
      <c r="EH330" s="310"/>
      <c r="EI330" s="310"/>
      <c r="EJ330" s="310"/>
      <c r="EK330" s="310"/>
      <c r="EL330" s="310"/>
      <c r="EM330" s="310"/>
      <c r="EN330" s="310"/>
      <c r="EO330" s="310"/>
      <c r="EP330" s="310"/>
      <c r="EQ330" s="310"/>
      <c r="ER330" s="310"/>
      <c r="ES330" s="310"/>
      <c r="ET330" s="310"/>
      <c r="EU330" s="310"/>
      <c r="EV330" s="310"/>
      <c r="EW330" s="310"/>
      <c r="EX330" s="310"/>
      <c r="EY330" s="310"/>
      <c r="EZ330" s="310"/>
      <c r="FA330" s="310"/>
      <c r="FB330" s="310"/>
      <c r="FC330" s="310"/>
      <c r="FD330" s="310"/>
      <c r="FE330" s="311"/>
      <c r="FF330" s="312"/>
    </row>
    <row r="331" spans="1:167" ht="12.75" x14ac:dyDescent="0.2">
      <c r="A331" s="446">
        <v>324</v>
      </c>
      <c r="B331" s="447" t="s">
        <v>531</v>
      </c>
      <c r="C331" s="448" t="s">
        <v>1093</v>
      </c>
      <c r="D331" s="449" t="s">
        <v>1095</v>
      </c>
      <c r="E331" s="450" t="s">
        <v>530</v>
      </c>
      <c r="F331" s="451">
        <v>26599704.300000001</v>
      </c>
      <c r="G331" s="451">
        <v>0</v>
      </c>
      <c r="H331" s="451">
        <v>0</v>
      </c>
      <c r="I331" s="451">
        <v>26599704.300000001</v>
      </c>
      <c r="J331" s="451">
        <v>65899.66</v>
      </c>
      <c r="K331" s="451">
        <v>0</v>
      </c>
      <c r="L331" s="451">
        <v>0</v>
      </c>
      <c r="M331" s="451">
        <v>65899.66</v>
      </c>
      <c r="N331" s="451">
        <v>150141.9</v>
      </c>
      <c r="O331" s="451">
        <v>0</v>
      </c>
      <c r="P331" s="451">
        <v>0</v>
      </c>
      <c r="Q331" s="451">
        <v>150141.9</v>
      </c>
      <c r="R331" s="451">
        <v>309014.51</v>
      </c>
      <c r="S331" s="451">
        <v>0</v>
      </c>
      <c r="T331" s="451">
        <v>0</v>
      </c>
      <c r="U331" s="451">
        <v>309014.51</v>
      </c>
      <c r="V331" s="451">
        <v>809073.17</v>
      </c>
      <c r="W331" s="451">
        <v>0</v>
      </c>
      <c r="X331" s="451">
        <v>0</v>
      </c>
      <c r="Y331" s="451">
        <v>809073.17</v>
      </c>
      <c r="Z331" s="451">
        <v>25265575</v>
      </c>
      <c r="AA331" s="451">
        <v>0</v>
      </c>
      <c r="AB331" s="451">
        <v>0</v>
      </c>
      <c r="AC331" s="451">
        <v>25265575</v>
      </c>
      <c r="AD331" s="451">
        <v>0</v>
      </c>
      <c r="AE331" s="451">
        <v>0</v>
      </c>
      <c r="AF331" s="451">
        <v>0</v>
      </c>
      <c r="AG331" s="451">
        <v>0</v>
      </c>
      <c r="AH331" s="451">
        <v>0</v>
      </c>
      <c r="AI331" s="451">
        <v>0</v>
      </c>
      <c r="AJ331" s="451">
        <v>0</v>
      </c>
      <c r="AK331" s="451">
        <v>0</v>
      </c>
      <c r="AL331" s="451">
        <v>0</v>
      </c>
      <c r="AM331" s="451">
        <v>0</v>
      </c>
      <c r="AN331" s="451">
        <v>0</v>
      </c>
      <c r="AO331" s="451">
        <v>948135</v>
      </c>
      <c r="AP331" s="451">
        <v>462153</v>
      </c>
      <c r="AQ331" s="324"/>
      <c r="AR331" s="310"/>
      <c r="AS331" s="310"/>
      <c r="AT331" s="310"/>
      <c r="AU331" s="310"/>
      <c r="AV331" s="310"/>
      <c r="AW331" s="310"/>
      <c r="AX331" s="310"/>
      <c r="AY331" s="310"/>
      <c r="AZ331" s="310"/>
      <c r="BA331" s="310"/>
      <c r="BB331" s="310"/>
      <c r="BC331" s="310"/>
      <c r="BD331" s="310"/>
      <c r="BE331" s="310"/>
      <c r="BF331" s="310"/>
      <c r="BG331" s="310"/>
      <c r="BH331" s="310"/>
      <c r="BI331" s="310"/>
      <c r="BJ331" s="310"/>
      <c r="BK331" s="310"/>
      <c r="BL331" s="310"/>
      <c r="BM331" s="310"/>
      <c r="BN331" s="310"/>
      <c r="BO331" s="310"/>
      <c r="BP331" s="310"/>
      <c r="BQ331" s="310"/>
      <c r="BR331" s="310"/>
      <c r="BS331" s="310"/>
      <c r="BT331" s="310"/>
      <c r="BU331" s="310"/>
      <c r="BV331" s="310"/>
      <c r="BW331" s="310"/>
      <c r="BX331" s="310"/>
      <c r="BY331" s="310"/>
      <c r="BZ331" s="310"/>
      <c r="CA331" s="310"/>
      <c r="CB331" s="310"/>
      <c r="CC331" s="310"/>
      <c r="CD331" s="310"/>
      <c r="CE331" s="310"/>
      <c r="CF331" s="310"/>
      <c r="CG331" s="310"/>
      <c r="CH331" s="310"/>
      <c r="CI331" s="310"/>
      <c r="CJ331" s="310"/>
      <c r="CK331" s="310"/>
      <c r="CL331" s="310"/>
      <c r="CM331" s="310"/>
      <c r="CN331" s="310"/>
      <c r="CO331" s="310"/>
      <c r="CP331" s="310"/>
      <c r="CQ331" s="310"/>
      <c r="CR331" s="310"/>
      <c r="CS331" s="310"/>
      <c r="CT331" s="310"/>
      <c r="CU331" s="310"/>
      <c r="CV331" s="310"/>
      <c r="CW331" s="310"/>
      <c r="CX331" s="310"/>
      <c r="CY331" s="310"/>
      <c r="CZ331" s="310"/>
      <c r="DA331" s="310"/>
      <c r="DB331" s="310"/>
      <c r="DC331" s="310"/>
      <c r="DD331" s="310"/>
      <c r="DE331" s="310"/>
      <c r="DF331" s="310"/>
      <c r="DG331" s="310"/>
      <c r="DH331" s="310"/>
      <c r="DI331" s="310"/>
      <c r="DJ331" s="310"/>
      <c r="DK331" s="310"/>
      <c r="DL331" s="310"/>
      <c r="DM331" s="310"/>
      <c r="DN331" s="310"/>
      <c r="DO331" s="310"/>
      <c r="DP331" s="310"/>
      <c r="DQ331" s="310"/>
      <c r="DR331" s="310"/>
      <c r="DS331" s="310"/>
      <c r="DT331" s="310"/>
      <c r="DU331" s="310"/>
      <c r="DV331" s="310"/>
      <c r="DW331" s="310"/>
      <c r="DX331" s="310"/>
      <c r="DY331" s="310"/>
      <c r="DZ331" s="310"/>
      <c r="EA331" s="310"/>
      <c r="EB331" s="310"/>
      <c r="EC331" s="310"/>
      <c r="ED331" s="310"/>
      <c r="EE331" s="310"/>
      <c r="EF331" s="310"/>
      <c r="EG331" s="310"/>
      <c r="EH331" s="310"/>
      <c r="EI331" s="310"/>
      <c r="EJ331" s="310"/>
      <c r="EK331" s="310"/>
      <c r="EL331" s="310"/>
      <c r="EM331" s="310"/>
      <c r="EN331" s="310"/>
      <c r="EO331" s="310"/>
      <c r="EP331" s="310"/>
      <c r="EQ331" s="310"/>
      <c r="ER331" s="310"/>
      <c r="ES331" s="310"/>
      <c r="ET331" s="310"/>
      <c r="EU331" s="310"/>
      <c r="EV331" s="310"/>
      <c r="EW331" s="310"/>
      <c r="EX331" s="310"/>
      <c r="EY331" s="310"/>
      <c r="EZ331" s="310"/>
      <c r="FA331" s="310"/>
      <c r="FB331" s="310"/>
      <c r="FC331" s="310"/>
      <c r="FD331" s="310"/>
      <c r="FE331" s="311"/>
      <c r="FF331" s="312"/>
    </row>
    <row r="332" spans="1:167" ht="12.75" x14ac:dyDescent="0.2">
      <c r="A332" s="446">
        <v>325</v>
      </c>
      <c r="B332" s="447" t="s">
        <v>533</v>
      </c>
      <c r="C332" s="448" t="s">
        <v>1093</v>
      </c>
      <c r="D332" s="449" t="s">
        <v>1103</v>
      </c>
      <c r="E332" s="450" t="s">
        <v>532</v>
      </c>
      <c r="F332" s="451">
        <v>27881372.399999999</v>
      </c>
      <c r="G332" s="451">
        <v>0</v>
      </c>
      <c r="H332" s="451">
        <v>0</v>
      </c>
      <c r="I332" s="451">
        <v>27881372.399999999</v>
      </c>
      <c r="J332" s="451">
        <v>133915</v>
      </c>
      <c r="K332" s="451">
        <v>0</v>
      </c>
      <c r="L332" s="451">
        <v>0</v>
      </c>
      <c r="M332" s="451">
        <v>133915</v>
      </c>
      <c r="N332" s="451">
        <v>0</v>
      </c>
      <c r="O332" s="451">
        <v>0</v>
      </c>
      <c r="P332" s="451">
        <v>0</v>
      </c>
      <c r="Q332" s="451">
        <v>0</v>
      </c>
      <c r="R332" s="451">
        <v>322515</v>
      </c>
      <c r="S332" s="451">
        <v>0</v>
      </c>
      <c r="T332" s="451">
        <v>0</v>
      </c>
      <c r="U332" s="451">
        <v>322515</v>
      </c>
      <c r="V332" s="451">
        <v>902892</v>
      </c>
      <c r="W332" s="451">
        <v>0</v>
      </c>
      <c r="X332" s="451">
        <v>0</v>
      </c>
      <c r="Y332" s="451">
        <v>902892</v>
      </c>
      <c r="Z332" s="451">
        <v>26522050</v>
      </c>
      <c r="AA332" s="451">
        <v>0</v>
      </c>
      <c r="AB332" s="451">
        <v>0</v>
      </c>
      <c r="AC332" s="451">
        <v>26522050</v>
      </c>
      <c r="AD332" s="451">
        <v>0</v>
      </c>
      <c r="AE332" s="451">
        <v>0</v>
      </c>
      <c r="AF332" s="451">
        <v>0</v>
      </c>
      <c r="AG332" s="451">
        <v>0</v>
      </c>
      <c r="AH332" s="451">
        <v>0</v>
      </c>
      <c r="AI332" s="451">
        <v>0</v>
      </c>
      <c r="AJ332" s="451">
        <v>0</v>
      </c>
      <c r="AK332" s="451">
        <v>0</v>
      </c>
      <c r="AL332" s="451">
        <v>0</v>
      </c>
      <c r="AM332" s="451">
        <v>0</v>
      </c>
      <c r="AN332" s="451">
        <v>0</v>
      </c>
      <c r="AO332" s="451">
        <v>2264699</v>
      </c>
      <c r="AP332" s="451">
        <v>190475</v>
      </c>
      <c r="AQ332" s="324"/>
      <c r="AR332" s="310"/>
      <c r="AS332" s="310"/>
      <c r="AT332" s="310"/>
      <c r="AU332" s="310"/>
      <c r="AV332" s="310"/>
      <c r="AW332" s="310"/>
      <c r="AX332" s="310"/>
      <c r="AY332" s="310"/>
      <c r="AZ332" s="310"/>
      <c r="BA332" s="310"/>
      <c r="BB332" s="310"/>
      <c r="BC332" s="310"/>
      <c r="BD332" s="310"/>
      <c r="BE332" s="310"/>
      <c r="BF332" s="310"/>
      <c r="BG332" s="310"/>
      <c r="BH332" s="310"/>
      <c r="BI332" s="310"/>
      <c r="BJ332" s="310"/>
      <c r="BK332" s="310"/>
      <c r="BL332" s="310"/>
      <c r="BM332" s="310"/>
      <c r="BN332" s="310"/>
      <c r="BO332" s="310"/>
      <c r="BP332" s="310"/>
      <c r="BQ332" s="310"/>
      <c r="BR332" s="310"/>
      <c r="BS332" s="310"/>
      <c r="BT332" s="310"/>
      <c r="BU332" s="310"/>
      <c r="BV332" s="310"/>
      <c r="BW332" s="310"/>
      <c r="BX332" s="310"/>
      <c r="BY332" s="310"/>
      <c r="BZ332" s="310"/>
      <c r="CA332" s="310"/>
      <c r="CB332" s="310"/>
      <c r="CC332" s="310"/>
      <c r="CD332" s="310"/>
      <c r="CE332" s="310"/>
      <c r="CF332" s="310"/>
      <c r="CG332" s="310"/>
      <c r="CH332" s="310"/>
      <c r="CI332" s="310"/>
      <c r="CJ332" s="310"/>
      <c r="CK332" s="310"/>
      <c r="CL332" s="310"/>
      <c r="CM332" s="310"/>
      <c r="CN332" s="310"/>
      <c r="CO332" s="310"/>
      <c r="CP332" s="310"/>
      <c r="CQ332" s="310"/>
      <c r="CR332" s="310"/>
      <c r="CS332" s="310"/>
      <c r="CT332" s="310"/>
      <c r="CU332" s="310"/>
      <c r="CV332" s="310"/>
      <c r="CW332" s="310"/>
      <c r="CX332" s="310"/>
      <c r="CY332" s="310"/>
      <c r="CZ332" s="310"/>
      <c r="DA332" s="310"/>
      <c r="DB332" s="310"/>
      <c r="DC332" s="310"/>
      <c r="DD332" s="310"/>
      <c r="DE332" s="310"/>
      <c r="DF332" s="310"/>
      <c r="DG332" s="310"/>
      <c r="DH332" s="310"/>
      <c r="DI332" s="310"/>
      <c r="DJ332" s="310"/>
      <c r="DK332" s="310"/>
      <c r="DL332" s="310"/>
      <c r="DM332" s="310"/>
      <c r="DN332" s="310"/>
      <c r="DO332" s="310"/>
      <c r="DP332" s="310"/>
      <c r="DQ332" s="310"/>
      <c r="DR332" s="310"/>
      <c r="DS332" s="310"/>
      <c r="DT332" s="310"/>
      <c r="DU332" s="310"/>
      <c r="DV332" s="310"/>
      <c r="DW332" s="310"/>
      <c r="DX332" s="310"/>
      <c r="DY332" s="310"/>
      <c r="DZ332" s="310"/>
      <c r="EA332" s="310"/>
      <c r="EB332" s="310"/>
      <c r="EC332" s="310"/>
      <c r="ED332" s="310"/>
      <c r="EE332" s="310"/>
      <c r="EF332" s="310"/>
      <c r="EG332" s="310"/>
      <c r="EH332" s="310"/>
      <c r="EI332" s="310"/>
      <c r="EJ332" s="310"/>
      <c r="EK332" s="310"/>
      <c r="EL332" s="310"/>
      <c r="EM332" s="310"/>
      <c r="EN332" s="310"/>
      <c r="EO332" s="310"/>
      <c r="EP332" s="310"/>
      <c r="EQ332" s="310"/>
      <c r="ER332" s="310"/>
      <c r="ES332" s="310"/>
      <c r="ET332" s="310"/>
      <c r="EU332" s="310"/>
      <c r="EV332" s="310"/>
      <c r="EW332" s="310"/>
      <c r="EX332" s="310"/>
      <c r="EY332" s="310"/>
      <c r="EZ332" s="310"/>
      <c r="FA332" s="310"/>
      <c r="FB332" s="310"/>
      <c r="FC332" s="310"/>
      <c r="FD332" s="310"/>
      <c r="FE332" s="311"/>
      <c r="FF332" s="312"/>
    </row>
    <row r="333" spans="1:167" ht="13.5" thickBot="1" x14ac:dyDescent="0.25">
      <c r="A333" s="446">
        <v>326</v>
      </c>
      <c r="B333" s="447" t="s">
        <v>535</v>
      </c>
      <c r="C333" s="448" t="s">
        <v>794</v>
      </c>
      <c r="D333" s="449" t="s">
        <v>1101</v>
      </c>
      <c r="E333" s="450" t="s">
        <v>759</v>
      </c>
      <c r="F333" s="451">
        <v>95878784.700000003</v>
      </c>
      <c r="G333" s="451">
        <v>0</v>
      </c>
      <c r="H333" s="451">
        <v>0</v>
      </c>
      <c r="I333" s="451">
        <v>95878784.700000003</v>
      </c>
      <c r="J333" s="451">
        <v>458472.92</v>
      </c>
      <c r="K333" s="451">
        <v>0</v>
      </c>
      <c r="L333" s="451">
        <v>0</v>
      </c>
      <c r="M333" s="451">
        <v>458472.92</v>
      </c>
      <c r="N333" s="451">
        <v>-363813</v>
      </c>
      <c r="O333" s="451">
        <v>0</v>
      </c>
      <c r="P333" s="451">
        <v>0</v>
      </c>
      <c r="Q333" s="451">
        <v>-363813</v>
      </c>
      <c r="R333" s="451">
        <v>3273937</v>
      </c>
      <c r="S333" s="451">
        <v>0</v>
      </c>
      <c r="T333" s="451">
        <v>0</v>
      </c>
      <c r="U333" s="451">
        <v>3273937</v>
      </c>
      <c r="V333" s="451">
        <v>8908455</v>
      </c>
      <c r="W333" s="451">
        <v>0</v>
      </c>
      <c r="X333" s="451">
        <v>0</v>
      </c>
      <c r="Y333" s="451">
        <v>8908455</v>
      </c>
      <c r="Z333" s="451">
        <v>83601733</v>
      </c>
      <c r="AA333" s="451">
        <v>0</v>
      </c>
      <c r="AB333" s="451">
        <v>0</v>
      </c>
      <c r="AC333" s="451">
        <v>83601733</v>
      </c>
      <c r="AD333" s="451">
        <v>0</v>
      </c>
      <c r="AE333" s="451">
        <v>0</v>
      </c>
      <c r="AF333" s="451">
        <v>0</v>
      </c>
      <c r="AG333" s="451">
        <v>0</v>
      </c>
      <c r="AH333" s="451">
        <v>0</v>
      </c>
      <c r="AI333" s="451">
        <v>0</v>
      </c>
      <c r="AJ333" s="451">
        <v>0</v>
      </c>
      <c r="AK333" s="451">
        <v>0</v>
      </c>
      <c r="AL333" s="451">
        <v>0</v>
      </c>
      <c r="AM333" s="451">
        <v>0</v>
      </c>
      <c r="AN333" s="451">
        <v>0</v>
      </c>
      <c r="AO333" s="451">
        <v>3762081.41</v>
      </c>
      <c r="AP333" s="451">
        <v>1230356.3799999999</v>
      </c>
      <c r="AQ333" s="324"/>
      <c r="AR333" s="310"/>
      <c r="AS333" s="310"/>
      <c r="AT333" s="310"/>
      <c r="AU333" s="310"/>
      <c r="AV333" s="310"/>
      <c r="AW333" s="310"/>
      <c r="AX333" s="310"/>
      <c r="AY333" s="310"/>
      <c r="AZ333" s="310"/>
      <c r="BA333" s="310"/>
      <c r="BB333" s="310"/>
      <c r="BC333" s="310"/>
      <c r="BD333" s="310"/>
      <c r="BE333" s="310"/>
      <c r="BF333" s="310"/>
      <c r="BG333" s="310"/>
      <c r="BH333" s="310"/>
      <c r="BI333" s="310"/>
      <c r="BJ333" s="310"/>
      <c r="BK333" s="310"/>
      <c r="BL333" s="310"/>
      <c r="BM333" s="310"/>
      <c r="BN333" s="310"/>
      <c r="BO333" s="310"/>
      <c r="BP333" s="310"/>
      <c r="BQ333" s="310"/>
      <c r="BR333" s="310"/>
      <c r="BS333" s="310"/>
      <c r="BT333" s="310"/>
      <c r="BU333" s="310"/>
      <c r="BV333" s="310"/>
      <c r="BW333" s="310"/>
      <c r="BX333" s="310"/>
      <c r="BY333" s="310"/>
      <c r="BZ333" s="310"/>
      <c r="CA333" s="310"/>
      <c r="CB333" s="310"/>
      <c r="CC333" s="310"/>
      <c r="CD333" s="310"/>
      <c r="CE333" s="310"/>
      <c r="CF333" s="310"/>
      <c r="CG333" s="310"/>
      <c r="CH333" s="310"/>
      <c r="CI333" s="310"/>
      <c r="CJ333" s="310"/>
      <c r="CK333" s="310"/>
      <c r="CL333" s="310"/>
      <c r="CM333" s="310"/>
      <c r="CN333" s="310"/>
      <c r="CO333" s="310"/>
      <c r="CP333" s="310"/>
      <c r="CQ333" s="310"/>
      <c r="CR333" s="310"/>
      <c r="CS333" s="310"/>
      <c r="CT333" s="310"/>
      <c r="CU333" s="310"/>
      <c r="CV333" s="310"/>
      <c r="CW333" s="310"/>
      <c r="CX333" s="310"/>
      <c r="CY333" s="310"/>
      <c r="CZ333" s="310"/>
      <c r="DA333" s="310"/>
      <c r="DB333" s="310"/>
      <c r="DC333" s="310"/>
      <c r="DD333" s="310"/>
      <c r="DE333" s="310"/>
      <c r="DF333" s="310"/>
      <c r="DG333" s="310"/>
      <c r="DH333" s="310"/>
      <c r="DI333" s="310"/>
      <c r="DJ333" s="310"/>
      <c r="DK333" s="310"/>
      <c r="DL333" s="310"/>
      <c r="DM333" s="310"/>
      <c r="DN333" s="310"/>
      <c r="DO333" s="310"/>
      <c r="DP333" s="310"/>
      <c r="DQ333" s="310"/>
      <c r="DR333" s="310"/>
      <c r="DS333" s="310"/>
      <c r="DT333" s="310"/>
      <c r="DU333" s="310"/>
      <c r="DV333" s="310"/>
      <c r="DW333" s="310"/>
      <c r="DX333" s="310"/>
      <c r="DY333" s="310"/>
      <c r="DZ333" s="310"/>
      <c r="EA333" s="310"/>
      <c r="EB333" s="310"/>
      <c r="EC333" s="310"/>
      <c r="ED333" s="310"/>
      <c r="EE333" s="310"/>
      <c r="EF333" s="310"/>
      <c r="EG333" s="310"/>
      <c r="EH333" s="310"/>
      <c r="EI333" s="310"/>
      <c r="EJ333" s="310"/>
      <c r="EK333" s="310"/>
      <c r="EL333" s="310"/>
      <c r="EM333" s="310"/>
      <c r="EN333" s="310"/>
      <c r="EO333" s="310"/>
      <c r="EP333" s="310"/>
      <c r="EQ333" s="310"/>
      <c r="ER333" s="310"/>
      <c r="ES333" s="310"/>
      <c r="ET333" s="310"/>
      <c r="EU333" s="310"/>
      <c r="EV333" s="310"/>
      <c r="EW333" s="310"/>
      <c r="EX333" s="310"/>
      <c r="EY333" s="310"/>
      <c r="EZ333" s="310"/>
      <c r="FA333" s="310"/>
      <c r="FB333" s="310"/>
      <c r="FC333" s="310"/>
      <c r="FD333" s="310"/>
      <c r="FE333" s="311"/>
      <c r="FF333" s="312"/>
    </row>
    <row r="334" spans="1:167" ht="15.75" thickBot="1" x14ac:dyDescent="0.25">
      <c r="A334">
        <v>327</v>
      </c>
      <c r="B334" s="98"/>
      <c r="D334" s="126" t="s">
        <v>1097</v>
      </c>
      <c r="E334" s="126" t="s">
        <v>706</v>
      </c>
      <c r="F334" s="102">
        <f>SUM(F8:F333)</f>
        <v>22596734280.900009</v>
      </c>
      <c r="G334" s="102">
        <f>SUM(G8:G333)</f>
        <v>14226928</v>
      </c>
      <c r="H334" s="102">
        <f>SUM(H8:H333)</f>
        <v>74390880.439999998</v>
      </c>
      <c r="I334" s="102">
        <f t="shared" ref="I334:AP334" si="0">SUM(I8:I333)</f>
        <v>22685352089.200005</v>
      </c>
      <c r="J334" s="102">
        <f t="shared" si="0"/>
        <v>161724790.69000003</v>
      </c>
      <c r="K334" s="102">
        <f t="shared" si="0"/>
        <v>17108</v>
      </c>
      <c r="L334" s="102">
        <f t="shared" si="0"/>
        <v>205838</v>
      </c>
      <c r="M334" s="102">
        <f t="shared" si="0"/>
        <v>161947736.69000003</v>
      </c>
      <c r="N334" s="102">
        <f t="shared" si="0"/>
        <v>89915766.520000026</v>
      </c>
      <c r="O334" s="102">
        <f t="shared" si="0"/>
        <v>2742</v>
      </c>
      <c r="P334" s="102">
        <f t="shared" si="0"/>
        <v>536144</v>
      </c>
      <c r="Q334" s="102">
        <f t="shared" si="0"/>
        <v>90454652.520000026</v>
      </c>
      <c r="R334" s="102">
        <f t="shared" si="0"/>
        <v>477991501.65999991</v>
      </c>
      <c r="S334" s="102">
        <f t="shared" si="0"/>
        <v>101033</v>
      </c>
      <c r="T334" s="102">
        <f t="shared" si="0"/>
        <v>541289</v>
      </c>
      <c r="U334" s="102">
        <f t="shared" si="0"/>
        <v>478633823.65999991</v>
      </c>
      <c r="V334" s="102">
        <f t="shared" si="0"/>
        <v>1264495655.6300001</v>
      </c>
      <c r="W334" s="102">
        <f t="shared" si="0"/>
        <v>275722</v>
      </c>
      <c r="X334" s="102">
        <f t="shared" si="0"/>
        <v>1376791.26</v>
      </c>
      <c r="Y334" s="102">
        <f t="shared" si="0"/>
        <v>1266148168.8900003</v>
      </c>
      <c r="Z334" s="102">
        <f t="shared" si="0"/>
        <v>20602606575</v>
      </c>
      <c r="AA334" s="102">
        <f t="shared" si="0"/>
        <v>13830323</v>
      </c>
      <c r="AB334" s="102">
        <f t="shared" si="0"/>
        <v>71730818</v>
      </c>
      <c r="AC334" s="102">
        <f t="shared" si="0"/>
        <v>20688167716</v>
      </c>
      <c r="AD334" s="102">
        <f t="shared" si="0"/>
        <v>3595456.7100000009</v>
      </c>
      <c r="AE334" s="102">
        <f t="shared" si="0"/>
        <v>0</v>
      </c>
      <c r="AF334" s="102">
        <f t="shared" si="0"/>
        <v>0</v>
      </c>
      <c r="AG334" s="102">
        <f t="shared" si="0"/>
        <v>3595456.7100000009</v>
      </c>
      <c r="AH334" s="102">
        <f t="shared" si="0"/>
        <v>5426</v>
      </c>
      <c r="AI334" s="102">
        <f t="shared" si="0"/>
        <v>80051.610000000015</v>
      </c>
      <c r="AJ334" s="102">
        <f t="shared" si="0"/>
        <v>13967736</v>
      </c>
      <c r="AK334" s="102">
        <f t="shared" si="0"/>
        <v>79450539.590000004</v>
      </c>
      <c r="AL334" s="102">
        <f t="shared" si="0"/>
        <v>1132971</v>
      </c>
      <c r="AM334" s="102">
        <f t="shared" si="0"/>
        <v>2727860.66</v>
      </c>
      <c r="AN334" s="102">
        <f t="shared" si="0"/>
        <v>3595456.7100000009</v>
      </c>
      <c r="AO334" s="102">
        <f t="shared" si="0"/>
        <v>1240697166.2200003</v>
      </c>
      <c r="AP334" s="305">
        <f t="shared" si="0"/>
        <v>470910607.76000023</v>
      </c>
      <c r="AQ334" s="324" t="s">
        <v>1120</v>
      </c>
      <c r="AR334" s="313"/>
      <c r="AS334" s="313"/>
      <c r="AT334" s="313"/>
      <c r="AU334" s="313"/>
      <c r="AV334" s="313"/>
      <c r="AW334" s="313"/>
      <c r="AX334" s="313"/>
      <c r="AY334" s="313"/>
      <c r="AZ334" s="313"/>
      <c r="BA334" s="313"/>
      <c r="BB334" s="313"/>
      <c r="BC334" s="313"/>
      <c r="BD334" s="313"/>
      <c r="BE334" s="313"/>
      <c r="BF334" s="313"/>
      <c r="BG334" s="313"/>
      <c r="BH334" s="313"/>
      <c r="BI334" s="313"/>
      <c r="BJ334" s="313"/>
      <c r="BK334" s="313"/>
      <c r="BL334" s="313"/>
      <c r="BM334" s="313"/>
      <c r="BN334" s="313"/>
      <c r="BO334" s="313"/>
      <c r="BP334" s="313"/>
      <c r="BQ334" s="313"/>
      <c r="BR334" s="313"/>
      <c r="BS334" s="313"/>
      <c r="BT334" s="313"/>
      <c r="BU334" s="313"/>
      <c r="BV334" s="313"/>
      <c r="BW334" s="313"/>
      <c r="BX334" s="313"/>
      <c r="BY334" s="313"/>
      <c r="BZ334" s="313"/>
      <c r="CA334" s="313"/>
      <c r="CB334" s="313"/>
      <c r="CC334" s="313"/>
      <c r="CD334" s="313"/>
      <c r="CE334" s="313"/>
      <c r="CF334" s="313"/>
      <c r="CG334" s="313"/>
      <c r="CH334" s="313"/>
      <c r="CI334" s="313"/>
      <c r="CJ334" s="313"/>
      <c r="CK334" s="313"/>
      <c r="CL334" s="313"/>
      <c r="CM334" s="313"/>
      <c r="CN334" s="313"/>
      <c r="CO334" s="313"/>
      <c r="CP334" s="313"/>
      <c r="CQ334" s="313"/>
      <c r="CR334" s="313"/>
      <c r="CS334" s="313"/>
      <c r="CT334" s="313"/>
      <c r="CU334" s="313"/>
      <c r="CV334" s="313"/>
      <c r="CW334" s="313"/>
      <c r="CX334" s="313"/>
      <c r="CY334" s="313"/>
      <c r="CZ334" s="313"/>
      <c r="DA334" s="313"/>
      <c r="DB334" s="313"/>
      <c r="DC334" s="313"/>
      <c r="DD334" s="313"/>
      <c r="DE334" s="313"/>
      <c r="DF334" s="313"/>
      <c r="DG334" s="313"/>
      <c r="DH334" s="313"/>
      <c r="DI334" s="313"/>
      <c r="DJ334" s="313"/>
      <c r="DK334" s="313"/>
      <c r="DL334" s="313"/>
      <c r="DM334" s="313"/>
      <c r="DN334" s="313"/>
      <c r="DO334" s="313"/>
      <c r="DP334" s="313"/>
      <c r="DQ334" s="313"/>
      <c r="DR334" s="313"/>
      <c r="DS334" s="313"/>
      <c r="DT334" s="313"/>
      <c r="DU334" s="313"/>
      <c r="DV334" s="313"/>
      <c r="DW334" s="313"/>
      <c r="DX334" s="313"/>
      <c r="DY334" s="313"/>
      <c r="DZ334" s="313"/>
      <c r="EA334" s="313"/>
      <c r="EB334" s="313"/>
      <c r="EC334" s="313"/>
      <c r="ED334" s="313"/>
      <c r="EE334" s="313"/>
      <c r="EF334" s="313"/>
      <c r="EG334" s="313"/>
      <c r="EH334" s="313"/>
      <c r="EI334" s="313"/>
      <c r="EJ334" s="313"/>
      <c r="EK334" s="313"/>
      <c r="EL334" s="313"/>
      <c r="EM334" s="313"/>
      <c r="EN334" s="313"/>
      <c r="EO334" s="313"/>
      <c r="EP334" s="313"/>
      <c r="EQ334" s="313"/>
      <c r="ER334" s="313"/>
      <c r="ES334" s="313"/>
      <c r="ET334" s="313"/>
      <c r="EU334" s="313"/>
      <c r="EV334" s="313"/>
      <c r="EW334" s="313"/>
      <c r="EX334" s="313"/>
      <c r="EY334" s="313"/>
      <c r="EZ334" s="313"/>
      <c r="FA334" s="313"/>
      <c r="FB334" s="313"/>
      <c r="FC334" s="313"/>
      <c r="FD334" s="313"/>
      <c r="FE334" s="313"/>
    </row>
    <row r="335" spans="1:167" x14ac:dyDescent="0.2">
      <c r="A335">
        <v>328</v>
      </c>
      <c r="D335" s="326" t="s">
        <v>1104</v>
      </c>
      <c r="E335" s="327" t="s">
        <v>1106</v>
      </c>
      <c r="F335" s="328">
        <f>SUMIF($C$3:$C$333,$D335,F$3:F$333)</f>
        <v>4653639150</v>
      </c>
      <c r="G335" s="328">
        <f t="shared" ref="G335:AP339" si="1">SUMIF($C$3:$C$333,$D335,G$3:G$333)</f>
        <v>0</v>
      </c>
      <c r="H335" s="328">
        <f t="shared" si="1"/>
        <v>0</v>
      </c>
      <c r="I335" s="328">
        <f t="shared" si="1"/>
        <v>4653639150</v>
      </c>
      <c r="J335" s="328">
        <f t="shared" si="1"/>
        <v>24622455.780000001</v>
      </c>
      <c r="K335" s="328">
        <f t="shared" si="1"/>
        <v>0</v>
      </c>
      <c r="L335" s="328">
        <f t="shared" si="1"/>
        <v>0</v>
      </c>
      <c r="M335" s="328">
        <f t="shared" si="1"/>
        <v>24622455.780000001</v>
      </c>
      <c r="N335" s="328">
        <f t="shared" si="1"/>
        <v>14475326</v>
      </c>
      <c r="O335" s="328">
        <f t="shared" si="1"/>
        <v>0</v>
      </c>
      <c r="P335" s="328">
        <f t="shared" si="1"/>
        <v>0</v>
      </c>
      <c r="Q335" s="328">
        <f t="shared" si="1"/>
        <v>14475326</v>
      </c>
      <c r="R335" s="328">
        <f t="shared" si="1"/>
        <v>114963926.44</v>
      </c>
      <c r="S335" s="328">
        <f t="shared" si="1"/>
        <v>0</v>
      </c>
      <c r="T335" s="328">
        <f t="shared" si="1"/>
        <v>0</v>
      </c>
      <c r="U335" s="328">
        <f t="shared" si="1"/>
        <v>114963926.44</v>
      </c>
      <c r="V335" s="328">
        <f t="shared" si="1"/>
        <v>342268928.25</v>
      </c>
      <c r="W335" s="328">
        <f t="shared" si="1"/>
        <v>0</v>
      </c>
      <c r="X335" s="328">
        <f t="shared" si="1"/>
        <v>0</v>
      </c>
      <c r="Y335" s="328">
        <f t="shared" si="1"/>
        <v>342268928.25</v>
      </c>
      <c r="Z335" s="328">
        <f t="shared" si="1"/>
        <v>4157308514</v>
      </c>
      <c r="AA335" s="328">
        <f t="shared" si="1"/>
        <v>0</v>
      </c>
      <c r="AB335" s="328">
        <f t="shared" si="1"/>
        <v>0</v>
      </c>
      <c r="AC335" s="328">
        <f t="shared" si="1"/>
        <v>4157308514</v>
      </c>
      <c r="AD335" s="328">
        <f t="shared" si="1"/>
        <v>60284.38</v>
      </c>
      <c r="AE335" s="328">
        <f t="shared" si="1"/>
        <v>0</v>
      </c>
      <c r="AF335" s="328">
        <f t="shared" si="1"/>
        <v>0</v>
      </c>
      <c r="AG335" s="328">
        <f t="shared" si="1"/>
        <v>60284.38</v>
      </c>
      <c r="AH335" s="328">
        <f t="shared" si="1"/>
        <v>0</v>
      </c>
      <c r="AI335" s="328">
        <f t="shared" si="1"/>
        <v>0</v>
      </c>
      <c r="AJ335" s="328">
        <f t="shared" si="1"/>
        <v>0</v>
      </c>
      <c r="AK335" s="328">
        <f t="shared" si="1"/>
        <v>0</v>
      </c>
      <c r="AL335" s="328">
        <f t="shared" si="1"/>
        <v>0</v>
      </c>
      <c r="AM335" s="328">
        <f t="shared" si="1"/>
        <v>0</v>
      </c>
      <c r="AN335" s="328">
        <f t="shared" si="1"/>
        <v>60284.38</v>
      </c>
      <c r="AO335" s="328">
        <f t="shared" si="1"/>
        <v>192251470.90000001</v>
      </c>
      <c r="AP335" s="328">
        <f t="shared" si="1"/>
        <v>116990344</v>
      </c>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row>
    <row r="336" spans="1:167" x14ac:dyDescent="0.2">
      <c r="A336">
        <v>329</v>
      </c>
      <c r="D336" s="326" t="s">
        <v>1098</v>
      </c>
      <c r="E336" s="327" t="s">
        <v>1107</v>
      </c>
      <c r="F336" s="328">
        <f>SUMIF($C$3:$C$333,$D336,F$3:F$333)</f>
        <v>2005542179.5</v>
      </c>
      <c r="G336" s="328">
        <f t="shared" si="1"/>
        <v>0</v>
      </c>
      <c r="H336" s="328">
        <f t="shared" si="1"/>
        <v>404055</v>
      </c>
      <c r="I336" s="328">
        <f t="shared" si="1"/>
        <v>2005946234.5</v>
      </c>
      <c r="J336" s="328">
        <f t="shared" si="1"/>
        <v>15529035.880000001</v>
      </c>
      <c r="K336" s="328">
        <f t="shared" si="1"/>
        <v>0</v>
      </c>
      <c r="L336" s="328">
        <f t="shared" si="1"/>
        <v>0</v>
      </c>
      <c r="M336" s="328">
        <f t="shared" si="1"/>
        <v>15529035.880000001</v>
      </c>
      <c r="N336" s="328">
        <f t="shared" si="1"/>
        <v>12171329.34</v>
      </c>
      <c r="O336" s="328">
        <f t="shared" si="1"/>
        <v>0</v>
      </c>
      <c r="P336" s="328">
        <f t="shared" si="1"/>
        <v>0</v>
      </c>
      <c r="Q336" s="328">
        <f t="shared" si="1"/>
        <v>12171329.34</v>
      </c>
      <c r="R336" s="328">
        <f t="shared" si="1"/>
        <v>28979624.66</v>
      </c>
      <c r="S336" s="328">
        <f t="shared" si="1"/>
        <v>0</v>
      </c>
      <c r="T336" s="328">
        <f t="shared" si="1"/>
        <v>0</v>
      </c>
      <c r="U336" s="328">
        <f t="shared" si="1"/>
        <v>28979624.66</v>
      </c>
      <c r="V336" s="328">
        <f t="shared" si="1"/>
        <v>76010865.359999999</v>
      </c>
      <c r="W336" s="328">
        <f t="shared" si="1"/>
        <v>0</v>
      </c>
      <c r="X336" s="328">
        <f t="shared" si="1"/>
        <v>0</v>
      </c>
      <c r="Y336" s="328">
        <f t="shared" si="1"/>
        <v>76010865.359999999</v>
      </c>
      <c r="Z336" s="328">
        <f t="shared" si="1"/>
        <v>1872851327</v>
      </c>
      <c r="AA336" s="328">
        <f t="shared" si="1"/>
        <v>0</v>
      </c>
      <c r="AB336" s="328">
        <f t="shared" si="1"/>
        <v>404055</v>
      </c>
      <c r="AC336" s="328">
        <f t="shared" si="1"/>
        <v>1873255382</v>
      </c>
      <c r="AD336" s="328">
        <f t="shared" si="1"/>
        <v>0</v>
      </c>
      <c r="AE336" s="328">
        <f t="shared" si="1"/>
        <v>0</v>
      </c>
      <c r="AF336" s="328">
        <f t="shared" si="1"/>
        <v>0</v>
      </c>
      <c r="AG336" s="328">
        <f t="shared" si="1"/>
        <v>0</v>
      </c>
      <c r="AH336" s="328">
        <f t="shared" si="1"/>
        <v>0</v>
      </c>
      <c r="AI336" s="328">
        <f t="shared" si="1"/>
        <v>394</v>
      </c>
      <c r="AJ336" s="328">
        <f t="shared" si="1"/>
        <v>0</v>
      </c>
      <c r="AK336" s="328">
        <f t="shared" si="1"/>
        <v>230761</v>
      </c>
      <c r="AL336" s="328">
        <f t="shared" si="1"/>
        <v>0</v>
      </c>
      <c r="AM336" s="328">
        <f t="shared" si="1"/>
        <v>173688</v>
      </c>
      <c r="AN336" s="328">
        <f t="shared" si="1"/>
        <v>0</v>
      </c>
      <c r="AO336" s="328">
        <f t="shared" si="1"/>
        <v>144879330.12</v>
      </c>
      <c r="AP336" s="328">
        <f t="shared" si="1"/>
        <v>74645248.469999999</v>
      </c>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row>
    <row r="337" spans="1:167" x14ac:dyDescent="0.2">
      <c r="A337">
        <v>330</v>
      </c>
      <c r="D337" s="326" t="s">
        <v>1100</v>
      </c>
      <c r="E337" s="327" t="s">
        <v>1108</v>
      </c>
      <c r="F337" s="328">
        <f>SUMIF($C$3:$C$333,$D337,F$3:F$333)</f>
        <v>4041840562.3000002</v>
      </c>
      <c r="G337" s="328">
        <f t="shared" si="1"/>
        <v>8989197</v>
      </c>
      <c r="H337" s="328">
        <f t="shared" si="1"/>
        <v>42289032.079999998</v>
      </c>
      <c r="I337" s="328">
        <f t="shared" si="1"/>
        <v>4093118791.3000002</v>
      </c>
      <c r="J337" s="328">
        <f t="shared" si="1"/>
        <v>40339673.579999998</v>
      </c>
      <c r="K337" s="328">
        <f t="shared" si="1"/>
        <v>16038</v>
      </c>
      <c r="L337" s="328">
        <f t="shared" si="1"/>
        <v>162354</v>
      </c>
      <c r="M337" s="328">
        <f t="shared" si="1"/>
        <v>40518065.579999998</v>
      </c>
      <c r="N337" s="328">
        <f t="shared" si="1"/>
        <v>29759880.66</v>
      </c>
      <c r="O337" s="328">
        <f t="shared" si="1"/>
        <v>0</v>
      </c>
      <c r="P337" s="328">
        <f t="shared" si="1"/>
        <v>27346</v>
      </c>
      <c r="Q337" s="328">
        <f t="shared" si="1"/>
        <v>29787226.66</v>
      </c>
      <c r="R337" s="328">
        <f t="shared" si="1"/>
        <v>114355995.72</v>
      </c>
      <c r="S337" s="328">
        <f t="shared" si="1"/>
        <v>29284</v>
      </c>
      <c r="T337" s="328">
        <f t="shared" si="1"/>
        <v>469733</v>
      </c>
      <c r="U337" s="328">
        <f t="shared" si="1"/>
        <v>114855012.72</v>
      </c>
      <c r="V337" s="328">
        <f t="shared" si="1"/>
        <v>284643590.69999999</v>
      </c>
      <c r="W337" s="328">
        <f t="shared" si="1"/>
        <v>76928</v>
      </c>
      <c r="X337" s="328">
        <f t="shared" si="1"/>
        <v>1286673</v>
      </c>
      <c r="Y337" s="328">
        <f t="shared" si="1"/>
        <v>286007191.69999999</v>
      </c>
      <c r="Z337" s="328">
        <f t="shared" si="1"/>
        <v>3572741421</v>
      </c>
      <c r="AA337" s="328">
        <f t="shared" si="1"/>
        <v>8866947</v>
      </c>
      <c r="AB337" s="328">
        <f t="shared" si="1"/>
        <v>40342926</v>
      </c>
      <c r="AC337" s="328">
        <f t="shared" si="1"/>
        <v>3621951294</v>
      </c>
      <c r="AD337" s="328">
        <f t="shared" si="1"/>
        <v>188916</v>
      </c>
      <c r="AE337" s="328">
        <f t="shared" si="1"/>
        <v>0</v>
      </c>
      <c r="AF337" s="328">
        <f t="shared" si="1"/>
        <v>0</v>
      </c>
      <c r="AG337" s="328">
        <f t="shared" si="1"/>
        <v>188916</v>
      </c>
      <c r="AH337" s="328">
        <f t="shared" si="1"/>
        <v>40054</v>
      </c>
      <c r="AI337" s="328">
        <f t="shared" si="1"/>
        <v>9046</v>
      </c>
      <c r="AJ337" s="328">
        <f t="shared" si="1"/>
        <v>8331398</v>
      </c>
      <c r="AK337" s="328">
        <f t="shared" si="1"/>
        <v>47339689.359999999</v>
      </c>
      <c r="AL337" s="328">
        <f t="shared" si="1"/>
        <v>1132971</v>
      </c>
      <c r="AM337" s="328">
        <f t="shared" si="1"/>
        <v>1353286.88</v>
      </c>
      <c r="AN337" s="328">
        <f t="shared" si="1"/>
        <v>188916</v>
      </c>
      <c r="AO337" s="328">
        <f t="shared" si="1"/>
        <v>394134931.59000003</v>
      </c>
      <c r="AP337" s="328">
        <f t="shared" si="1"/>
        <v>105397082.56</v>
      </c>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row>
    <row r="338" spans="1:167" x14ac:dyDescent="0.2">
      <c r="A338">
        <v>331</v>
      </c>
      <c r="D338" s="326" t="s">
        <v>794</v>
      </c>
      <c r="E338" s="327" t="s">
        <v>1109</v>
      </c>
      <c r="F338" s="328">
        <f>SUMIF($C$3:$C$333,$D338,F$3:F$333)</f>
        <v>4582196875.0999994</v>
      </c>
      <c r="G338" s="328">
        <f t="shared" si="1"/>
        <v>5237731</v>
      </c>
      <c r="H338" s="328">
        <f t="shared" si="1"/>
        <v>16907270.440000001</v>
      </c>
      <c r="I338" s="328">
        <f t="shared" si="1"/>
        <v>4604341876.5</v>
      </c>
      <c r="J338" s="328">
        <f t="shared" si="1"/>
        <v>39805114.780000001</v>
      </c>
      <c r="K338" s="328">
        <f t="shared" si="1"/>
        <v>1070</v>
      </c>
      <c r="L338" s="328">
        <f t="shared" si="1"/>
        <v>21549</v>
      </c>
      <c r="M338" s="328">
        <f t="shared" si="1"/>
        <v>39827733.780000001</v>
      </c>
      <c r="N338" s="328">
        <f t="shared" si="1"/>
        <v>13066195.649999999</v>
      </c>
      <c r="O338" s="328">
        <f t="shared" si="1"/>
        <v>2742</v>
      </c>
      <c r="P338" s="328">
        <f t="shared" si="1"/>
        <v>18000</v>
      </c>
      <c r="Q338" s="328">
        <f t="shared" si="1"/>
        <v>13086937.649999999</v>
      </c>
      <c r="R338" s="328">
        <f t="shared" si="1"/>
        <v>88606819.769999996</v>
      </c>
      <c r="S338" s="328">
        <f t="shared" si="1"/>
        <v>71749</v>
      </c>
      <c r="T338" s="328">
        <f t="shared" si="1"/>
        <v>40000</v>
      </c>
      <c r="U338" s="328">
        <f t="shared" si="1"/>
        <v>88718568.769999996</v>
      </c>
      <c r="V338" s="328">
        <f t="shared" si="1"/>
        <v>231158275.15000001</v>
      </c>
      <c r="W338" s="328">
        <f t="shared" si="1"/>
        <v>198794</v>
      </c>
      <c r="X338" s="328">
        <f t="shared" si="1"/>
        <v>0</v>
      </c>
      <c r="Y338" s="328">
        <f t="shared" si="1"/>
        <v>231357069.15000001</v>
      </c>
      <c r="Z338" s="328">
        <f t="shared" si="1"/>
        <v>4209560473</v>
      </c>
      <c r="AA338" s="328">
        <f t="shared" si="1"/>
        <v>4963376</v>
      </c>
      <c r="AB338" s="328">
        <f t="shared" si="1"/>
        <v>16827722</v>
      </c>
      <c r="AC338" s="328">
        <f t="shared" si="1"/>
        <v>4231351571</v>
      </c>
      <c r="AD338" s="328">
        <f t="shared" si="1"/>
        <v>1652153.94</v>
      </c>
      <c r="AE338" s="328">
        <f t="shared" si="1"/>
        <v>0</v>
      </c>
      <c r="AF338" s="328">
        <f t="shared" si="1"/>
        <v>0</v>
      </c>
      <c r="AG338" s="328">
        <f t="shared" si="1"/>
        <v>1652153.94</v>
      </c>
      <c r="AH338" s="328">
        <f t="shared" si="1"/>
        <v>-34628</v>
      </c>
      <c r="AI338" s="328">
        <f t="shared" si="1"/>
        <v>65232.899999999994</v>
      </c>
      <c r="AJ338" s="328">
        <f t="shared" si="1"/>
        <v>5636338</v>
      </c>
      <c r="AK338" s="328">
        <f t="shared" si="1"/>
        <v>17624282</v>
      </c>
      <c r="AL338" s="328">
        <f t="shared" si="1"/>
        <v>0</v>
      </c>
      <c r="AM338" s="328">
        <f t="shared" si="1"/>
        <v>11720</v>
      </c>
      <c r="AN338" s="328">
        <f t="shared" si="1"/>
        <v>1652153.94</v>
      </c>
      <c r="AO338" s="328">
        <f t="shared" si="1"/>
        <v>241614940.84999996</v>
      </c>
      <c r="AP338" s="328">
        <f t="shared" si="1"/>
        <v>71660789.049999982</v>
      </c>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row>
    <row r="339" spans="1:167" x14ac:dyDescent="0.2">
      <c r="A339">
        <v>332</v>
      </c>
      <c r="D339" s="326" t="s">
        <v>1093</v>
      </c>
      <c r="E339" s="327" t="s">
        <v>1110</v>
      </c>
      <c r="F339" s="328">
        <f>SUMIF($C$3:$C$333,$D339,F$3:F$333)</f>
        <v>7313515513.9999981</v>
      </c>
      <c r="G339" s="328">
        <f t="shared" si="1"/>
        <v>0</v>
      </c>
      <c r="H339" s="328">
        <f t="shared" si="1"/>
        <v>14790522.92</v>
      </c>
      <c r="I339" s="328">
        <f t="shared" si="1"/>
        <v>7328306036.8999987</v>
      </c>
      <c r="J339" s="328">
        <f t="shared" si="1"/>
        <v>41428510.669999987</v>
      </c>
      <c r="K339" s="328">
        <f t="shared" si="1"/>
        <v>0</v>
      </c>
      <c r="L339" s="328">
        <f t="shared" si="1"/>
        <v>21935</v>
      </c>
      <c r="M339" s="328">
        <f t="shared" si="1"/>
        <v>41450445.669999987</v>
      </c>
      <c r="N339" s="328">
        <f t="shared" si="1"/>
        <v>20443034.870000001</v>
      </c>
      <c r="O339" s="328">
        <f t="shared" si="1"/>
        <v>0</v>
      </c>
      <c r="P339" s="328">
        <f t="shared" si="1"/>
        <v>490798</v>
      </c>
      <c r="Q339" s="328">
        <f t="shared" si="1"/>
        <v>20933832.870000001</v>
      </c>
      <c r="R339" s="328">
        <f t="shared" si="1"/>
        <v>131085135.06999999</v>
      </c>
      <c r="S339" s="328">
        <f t="shared" si="1"/>
        <v>0</v>
      </c>
      <c r="T339" s="328">
        <f t="shared" si="1"/>
        <v>31556</v>
      </c>
      <c r="U339" s="328">
        <f t="shared" si="1"/>
        <v>131116691.06999999</v>
      </c>
      <c r="V339" s="328">
        <f t="shared" si="1"/>
        <v>330413996.17000002</v>
      </c>
      <c r="W339" s="328">
        <f t="shared" si="1"/>
        <v>0</v>
      </c>
      <c r="X339" s="328">
        <f t="shared" si="1"/>
        <v>90118.26</v>
      </c>
      <c r="Y339" s="328">
        <f t="shared" si="1"/>
        <v>330504114.43000001</v>
      </c>
      <c r="Z339" s="328">
        <f t="shared" si="1"/>
        <v>6790144840</v>
      </c>
      <c r="AA339" s="328">
        <f t="shared" si="1"/>
        <v>0</v>
      </c>
      <c r="AB339" s="328">
        <f t="shared" si="1"/>
        <v>14156115</v>
      </c>
      <c r="AC339" s="328">
        <f t="shared" si="1"/>
        <v>6804300955</v>
      </c>
      <c r="AD339" s="328">
        <f t="shared" si="1"/>
        <v>1694102.39</v>
      </c>
      <c r="AE339" s="328">
        <f t="shared" si="1"/>
        <v>0</v>
      </c>
      <c r="AF339" s="328">
        <f t="shared" si="1"/>
        <v>0</v>
      </c>
      <c r="AG339" s="328">
        <f t="shared" si="1"/>
        <v>1694102.39</v>
      </c>
      <c r="AH339" s="328">
        <f t="shared" si="1"/>
        <v>0</v>
      </c>
      <c r="AI339" s="328">
        <f t="shared" si="1"/>
        <v>5378.7099999999919</v>
      </c>
      <c r="AJ339" s="328">
        <f t="shared" si="1"/>
        <v>0</v>
      </c>
      <c r="AK339" s="328">
        <f t="shared" si="1"/>
        <v>14255807.23</v>
      </c>
      <c r="AL339" s="328">
        <f t="shared" si="1"/>
        <v>0</v>
      </c>
      <c r="AM339" s="328">
        <f t="shared" si="1"/>
        <v>1189165.78</v>
      </c>
      <c r="AN339" s="328">
        <f t="shared" si="1"/>
        <v>1694102.39</v>
      </c>
      <c r="AO339" s="328">
        <f t="shared" si="1"/>
        <v>267816492.76000002</v>
      </c>
      <c r="AP339" s="328">
        <f t="shared" si="1"/>
        <v>102217143.67999996</v>
      </c>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row>
    <row r="340" spans="1:167" x14ac:dyDescent="0.2">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c r="AO340" s="111"/>
      <c r="AP340" s="111"/>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row>
    <row r="341" spans="1:167" x14ac:dyDescent="0.2">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row>
  </sheetData>
  <autoFilter ref="A7:FK339"/>
  <mergeCells count="41">
    <mergeCell ref="AH2:AI2"/>
    <mergeCell ref="Z2:AC2"/>
    <mergeCell ref="AD2:AG2"/>
    <mergeCell ref="AL2:AN2"/>
    <mergeCell ref="CC2:CF2"/>
    <mergeCell ref="BY2:CB2"/>
    <mergeCell ref="AQ2:AT2"/>
    <mergeCell ref="AU2:AX2"/>
    <mergeCell ref="AY2:BB2"/>
    <mergeCell ref="BC2:BF2"/>
    <mergeCell ref="BG2:BJ2"/>
    <mergeCell ref="BK2:BN2"/>
    <mergeCell ref="BO2:BR2"/>
    <mergeCell ref="BS2:BU2"/>
    <mergeCell ref="BV2:BX2"/>
    <mergeCell ref="AJ2:AK2"/>
    <mergeCell ref="CG2:CJ2"/>
    <mergeCell ref="CK2:CM2"/>
    <mergeCell ref="CN2:CP2"/>
    <mergeCell ref="DG2:DJ2"/>
    <mergeCell ref="CQ2:CT2"/>
    <mergeCell ref="CU2:CX2"/>
    <mergeCell ref="CY2:DB2"/>
    <mergeCell ref="DC2:DF2"/>
    <mergeCell ref="V2:Y2"/>
    <mergeCell ref="F2:I2"/>
    <mergeCell ref="J2:M2"/>
    <mergeCell ref="N2:Q2"/>
    <mergeCell ref="R2:U2"/>
    <mergeCell ref="EQ2:ES2"/>
    <mergeCell ref="ET2:EV2"/>
    <mergeCell ref="EW2:EZ2"/>
    <mergeCell ref="FA2:FD2"/>
    <mergeCell ref="DK2:DN2"/>
    <mergeCell ref="DO2:DR2"/>
    <mergeCell ref="DS2:DU2"/>
    <mergeCell ref="DV2:DX2"/>
    <mergeCell ref="DY2:EB2"/>
    <mergeCell ref="EE2:EH2"/>
    <mergeCell ref="EI2:EL2"/>
    <mergeCell ref="EM2:EP2"/>
  </mergeCells>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357"/>
  <sheetViews>
    <sheetView workbookViewId="0"/>
  </sheetViews>
  <sheetFormatPr defaultRowHeight="15" x14ac:dyDescent="0.2"/>
  <cols>
    <col min="2" max="2" width="8.42578125" style="26" customWidth="1"/>
    <col min="3" max="3" width="5.5703125" style="26" customWidth="1"/>
    <col min="4" max="4" width="8.140625" style="26" bestFit="1" customWidth="1"/>
    <col min="5" max="5" width="27" style="26" bestFit="1" customWidth="1"/>
    <col min="6" max="6" width="13.85546875" bestFit="1" customWidth="1"/>
    <col min="7" max="8" width="10.140625" bestFit="1" customWidth="1"/>
    <col min="9" max="9" width="13.85546875" bestFit="1" customWidth="1"/>
    <col min="10" max="10" width="11.140625" bestFit="1" customWidth="1"/>
    <col min="11" max="12" width="9.28515625" customWidth="1"/>
    <col min="13" max="14" width="11.140625" bestFit="1" customWidth="1"/>
    <col min="15" max="16" width="9.28515625" customWidth="1"/>
    <col min="17" max="17" width="11.140625" bestFit="1" customWidth="1"/>
    <col min="18" max="19" width="10.140625" bestFit="1" customWidth="1"/>
    <col min="20" max="20" width="13.85546875" bestFit="1" customWidth="1"/>
    <col min="21" max="21" width="9.28515625" customWidth="1"/>
    <col min="27" max="29" width="10.140625" bestFit="1" customWidth="1"/>
    <col min="82" max="82" width="9.7109375" bestFit="1" customWidth="1"/>
  </cols>
  <sheetData>
    <row r="1" spans="1:143" ht="37.9" customHeight="1" thickBot="1" x14ac:dyDescent="0.25">
      <c r="A1" s="337"/>
      <c r="B1" s="137"/>
      <c r="C1" s="33"/>
      <c r="D1" s="88"/>
      <c r="E1" s="124"/>
      <c r="F1" s="419" t="s">
        <v>1002</v>
      </c>
      <c r="G1" s="420"/>
      <c r="H1" s="420"/>
      <c r="I1" s="421"/>
      <c r="J1" s="419" t="s">
        <v>1003</v>
      </c>
      <c r="K1" s="420"/>
      <c r="L1" s="420"/>
      <c r="M1" s="421"/>
      <c r="N1" s="419" t="s">
        <v>1004</v>
      </c>
      <c r="O1" s="420"/>
      <c r="P1" s="420"/>
      <c r="Q1" s="421"/>
      <c r="R1" s="419" t="s">
        <v>1005</v>
      </c>
      <c r="S1" s="420"/>
      <c r="T1" s="420"/>
      <c r="U1" s="421"/>
      <c r="V1" s="419" t="s">
        <v>1006</v>
      </c>
      <c r="W1" s="420"/>
      <c r="X1" s="420"/>
      <c r="Y1" s="421"/>
      <c r="Z1" s="419" t="s">
        <v>1007</v>
      </c>
      <c r="AA1" s="420"/>
      <c r="AB1" s="420"/>
      <c r="AC1" s="421"/>
      <c r="AD1" s="428" t="s">
        <v>1008</v>
      </c>
      <c r="AE1" s="429"/>
      <c r="AF1" s="429"/>
      <c r="AG1" s="430"/>
      <c r="AH1" s="428" t="s">
        <v>1009</v>
      </c>
      <c r="AI1" s="429"/>
      <c r="AJ1" s="429"/>
      <c r="AK1" s="430"/>
      <c r="AL1" s="428" t="s">
        <v>1010</v>
      </c>
      <c r="AM1" s="429"/>
      <c r="AN1" s="429"/>
      <c r="AO1" s="430"/>
      <c r="AP1" s="432" t="s">
        <v>1011</v>
      </c>
      <c r="AQ1" s="433"/>
      <c r="AR1" s="433"/>
      <c r="AS1" s="434"/>
      <c r="AT1" s="428" t="s">
        <v>1012</v>
      </c>
      <c r="AU1" s="429"/>
      <c r="AV1" s="429"/>
      <c r="AW1" s="430"/>
      <c r="AX1" s="428" t="s">
        <v>1013</v>
      </c>
      <c r="AY1" s="429"/>
      <c r="AZ1" s="429"/>
      <c r="BA1" s="430"/>
      <c r="BB1" s="428" t="s">
        <v>1014</v>
      </c>
      <c r="BC1" s="429"/>
      <c r="BD1" s="429"/>
      <c r="BE1" s="430"/>
      <c r="BF1" s="428" t="s">
        <v>1015</v>
      </c>
      <c r="BG1" s="429"/>
      <c r="BH1" s="429"/>
      <c r="BI1" s="430"/>
      <c r="BJ1" s="428" t="s">
        <v>1016</v>
      </c>
      <c r="BK1" s="429"/>
      <c r="BL1" s="429"/>
      <c r="BM1" s="430"/>
      <c r="BN1" s="428" t="s">
        <v>1017</v>
      </c>
      <c r="BO1" s="429"/>
      <c r="BP1" s="429"/>
      <c r="BQ1" s="430"/>
      <c r="BR1" s="428" t="s">
        <v>1018</v>
      </c>
      <c r="BS1" s="429"/>
      <c r="BT1" s="429"/>
      <c r="BU1" s="430"/>
      <c r="BV1" s="428" t="s">
        <v>1019</v>
      </c>
      <c r="BW1" s="429"/>
      <c r="BX1" s="429"/>
      <c r="BY1" s="430"/>
      <c r="BZ1" s="428" t="s">
        <v>1020</v>
      </c>
      <c r="CA1" s="429"/>
      <c r="CB1" s="429"/>
      <c r="CC1" s="430"/>
      <c r="CD1" s="428" t="s">
        <v>1021</v>
      </c>
      <c r="CE1" s="429"/>
      <c r="CF1" s="429"/>
      <c r="CG1" s="430"/>
      <c r="CH1" s="428" t="s">
        <v>1022</v>
      </c>
      <c r="CI1" s="429"/>
      <c r="CJ1" s="429"/>
      <c r="CK1" s="430"/>
      <c r="CL1" s="428" t="s">
        <v>1023</v>
      </c>
      <c r="CM1" s="429"/>
      <c r="CN1" s="429"/>
      <c r="CO1" s="430"/>
      <c r="CP1" s="428" t="s">
        <v>1024</v>
      </c>
      <c r="CQ1" s="429"/>
      <c r="CR1" s="429"/>
      <c r="CS1" s="430"/>
      <c r="CT1" s="428" t="s">
        <v>1025</v>
      </c>
      <c r="CU1" s="429"/>
      <c r="CV1" s="429"/>
      <c r="CW1" s="430"/>
      <c r="CX1" s="428" t="s">
        <v>1026</v>
      </c>
      <c r="CY1" s="429"/>
      <c r="CZ1" s="429"/>
      <c r="DA1" s="430"/>
      <c r="DB1" s="428" t="s">
        <v>1027</v>
      </c>
      <c r="DC1" s="429"/>
      <c r="DD1" s="429"/>
      <c r="DE1" s="430"/>
      <c r="DF1" s="428" t="s">
        <v>1028</v>
      </c>
      <c r="DG1" s="429"/>
      <c r="DH1" s="429"/>
      <c r="DI1" s="430"/>
      <c r="DJ1" s="428" t="s">
        <v>1029</v>
      </c>
      <c r="DK1" s="429"/>
      <c r="DL1" s="429"/>
      <c r="DM1" s="430"/>
      <c r="DN1" s="428" t="s">
        <v>1030</v>
      </c>
      <c r="DO1" s="429"/>
      <c r="DP1" s="429"/>
      <c r="DQ1" s="430"/>
      <c r="DR1" s="428" t="s">
        <v>1031</v>
      </c>
      <c r="DS1" s="429"/>
      <c r="DT1" s="429"/>
      <c r="DU1" s="430"/>
      <c r="DV1" s="428" t="s">
        <v>704</v>
      </c>
      <c r="DW1" s="430"/>
      <c r="DX1" s="428" t="s">
        <v>1032</v>
      </c>
      <c r="DY1" s="429"/>
      <c r="DZ1" s="429"/>
      <c r="EA1" s="430"/>
      <c r="EB1" s="428" t="s">
        <v>1033</v>
      </c>
      <c r="EC1" s="429"/>
      <c r="ED1" s="429"/>
      <c r="EE1" s="430"/>
      <c r="EF1" s="428" t="s">
        <v>1034</v>
      </c>
      <c r="EG1" s="429"/>
      <c r="EH1" s="429"/>
      <c r="EI1" s="430"/>
      <c r="EJ1" s="428" t="s">
        <v>1035</v>
      </c>
      <c r="EK1" s="429"/>
      <c r="EL1" s="429"/>
      <c r="EM1" s="430"/>
    </row>
    <row r="2" spans="1:143" ht="13.5" thickTop="1" x14ac:dyDescent="0.2">
      <c r="A2" s="338">
        <v>1</v>
      </c>
      <c r="B2" s="35">
        <v>2</v>
      </c>
      <c r="C2" s="35">
        <v>3</v>
      </c>
      <c r="D2" s="342">
        <v>4</v>
      </c>
      <c r="E2" s="35">
        <v>5</v>
      </c>
      <c r="F2" s="35">
        <v>6</v>
      </c>
      <c r="G2" s="342">
        <v>7</v>
      </c>
      <c r="H2" s="35">
        <v>8</v>
      </c>
      <c r="I2" s="35">
        <v>9</v>
      </c>
      <c r="J2" s="342">
        <v>10</v>
      </c>
      <c r="K2" s="35">
        <v>11</v>
      </c>
      <c r="L2" s="35">
        <v>12</v>
      </c>
      <c r="M2" s="342">
        <v>13</v>
      </c>
      <c r="N2" s="35">
        <v>14</v>
      </c>
      <c r="O2" s="35">
        <v>15</v>
      </c>
      <c r="P2" s="342">
        <v>16</v>
      </c>
      <c r="Q2" s="35">
        <v>17</v>
      </c>
      <c r="R2" s="35">
        <v>18</v>
      </c>
      <c r="S2" s="342">
        <v>19</v>
      </c>
      <c r="T2" s="35">
        <v>20</v>
      </c>
      <c r="U2" s="35">
        <v>21</v>
      </c>
      <c r="V2" s="342">
        <v>22</v>
      </c>
      <c r="W2" s="35">
        <v>23</v>
      </c>
      <c r="X2" s="35">
        <v>24</v>
      </c>
      <c r="Y2" s="342">
        <v>25</v>
      </c>
      <c r="Z2" s="35">
        <v>26</v>
      </c>
      <c r="AA2" s="35">
        <v>27</v>
      </c>
      <c r="AB2" s="342">
        <v>28</v>
      </c>
      <c r="AC2" s="35">
        <v>29</v>
      </c>
      <c r="AD2" s="35">
        <v>30</v>
      </c>
      <c r="AE2" s="342">
        <v>31</v>
      </c>
      <c r="AF2" s="35">
        <v>32</v>
      </c>
      <c r="AG2" s="35">
        <v>33</v>
      </c>
      <c r="AH2" s="342">
        <v>34</v>
      </c>
      <c r="AI2" s="35">
        <v>35</v>
      </c>
      <c r="AJ2" s="35">
        <v>36</v>
      </c>
      <c r="AK2" s="342">
        <v>37</v>
      </c>
      <c r="AL2" s="35">
        <v>38</v>
      </c>
      <c r="AM2" s="35">
        <v>39</v>
      </c>
      <c r="AN2" s="342">
        <v>40</v>
      </c>
      <c r="AO2" s="35">
        <v>41</v>
      </c>
      <c r="AP2" s="35">
        <v>42</v>
      </c>
      <c r="AQ2" s="342">
        <v>43</v>
      </c>
      <c r="AR2" s="35">
        <v>44</v>
      </c>
      <c r="AS2" s="35">
        <v>45</v>
      </c>
      <c r="AT2" s="342">
        <v>46</v>
      </c>
      <c r="AU2" s="35">
        <v>47</v>
      </c>
      <c r="AV2" s="35">
        <v>48</v>
      </c>
      <c r="AW2" s="342">
        <v>49</v>
      </c>
      <c r="AX2" s="35">
        <v>50</v>
      </c>
      <c r="AY2" s="35">
        <v>51</v>
      </c>
      <c r="AZ2" s="342">
        <v>52</v>
      </c>
      <c r="BA2" s="35">
        <v>53</v>
      </c>
      <c r="BB2" s="35">
        <v>54</v>
      </c>
      <c r="BC2" s="342">
        <v>55</v>
      </c>
      <c r="BD2" s="35">
        <v>56</v>
      </c>
      <c r="BE2" s="35">
        <v>57</v>
      </c>
      <c r="BF2" s="342">
        <v>58</v>
      </c>
      <c r="BG2" s="35">
        <v>59</v>
      </c>
      <c r="BH2" s="35">
        <v>60</v>
      </c>
      <c r="BI2" s="342">
        <v>61</v>
      </c>
      <c r="BJ2" s="35">
        <v>62</v>
      </c>
      <c r="BK2" s="35">
        <v>63</v>
      </c>
      <c r="BL2" s="342">
        <v>64</v>
      </c>
      <c r="BM2" s="35">
        <v>65</v>
      </c>
      <c r="BN2" s="35">
        <v>66</v>
      </c>
      <c r="BO2" s="342">
        <v>67</v>
      </c>
      <c r="BP2" s="35">
        <v>68</v>
      </c>
      <c r="BQ2" s="35">
        <v>69</v>
      </c>
      <c r="BR2" s="342">
        <v>70</v>
      </c>
      <c r="BS2" s="35">
        <v>71</v>
      </c>
      <c r="BT2" s="35">
        <v>72</v>
      </c>
      <c r="BU2" s="342">
        <v>73</v>
      </c>
      <c r="BV2" s="35">
        <v>74</v>
      </c>
      <c r="BW2" s="35">
        <v>75</v>
      </c>
      <c r="BX2" s="342">
        <v>76</v>
      </c>
      <c r="BY2" s="35">
        <v>77</v>
      </c>
      <c r="BZ2" s="35">
        <v>78</v>
      </c>
      <c r="CA2" s="342">
        <v>79</v>
      </c>
      <c r="CB2" s="35">
        <v>80</v>
      </c>
      <c r="CC2" s="35">
        <v>81</v>
      </c>
      <c r="CD2" s="342">
        <v>82</v>
      </c>
      <c r="CE2" s="35">
        <v>83</v>
      </c>
      <c r="CF2" s="35">
        <v>84</v>
      </c>
      <c r="CG2" s="342">
        <v>85</v>
      </c>
      <c r="CH2" s="35">
        <v>86</v>
      </c>
      <c r="CI2" s="35">
        <v>87</v>
      </c>
      <c r="CJ2" s="342">
        <v>88</v>
      </c>
      <c r="CK2" s="35">
        <v>89</v>
      </c>
      <c r="CL2" s="35">
        <v>90</v>
      </c>
      <c r="CM2" s="342">
        <v>91</v>
      </c>
      <c r="CN2" s="35">
        <v>92</v>
      </c>
      <c r="CO2" s="35">
        <v>93</v>
      </c>
      <c r="CP2" s="342">
        <v>94</v>
      </c>
      <c r="CQ2" s="35">
        <v>95</v>
      </c>
      <c r="CR2" s="35">
        <v>96</v>
      </c>
      <c r="CS2" s="342">
        <v>97</v>
      </c>
      <c r="CT2" s="35">
        <v>98</v>
      </c>
      <c r="CU2" s="35">
        <v>99</v>
      </c>
      <c r="CV2" s="342">
        <v>100</v>
      </c>
      <c r="CW2" s="35">
        <v>101</v>
      </c>
      <c r="CX2" s="35">
        <v>102</v>
      </c>
      <c r="CY2" s="342">
        <v>103</v>
      </c>
      <c r="CZ2" s="35">
        <v>104</v>
      </c>
      <c r="DA2" s="35">
        <v>105</v>
      </c>
      <c r="DB2" s="342">
        <v>106</v>
      </c>
      <c r="DC2" s="35">
        <v>107</v>
      </c>
      <c r="DD2" s="35">
        <v>108</v>
      </c>
      <c r="DE2" s="342">
        <v>109</v>
      </c>
      <c r="DF2" s="35">
        <v>110</v>
      </c>
      <c r="DG2" s="35">
        <v>111</v>
      </c>
      <c r="DH2" s="342">
        <v>112</v>
      </c>
      <c r="DI2" s="35">
        <v>113</v>
      </c>
      <c r="DJ2" s="35">
        <v>114</v>
      </c>
      <c r="DK2" s="342">
        <v>115</v>
      </c>
      <c r="DL2" s="35">
        <v>116</v>
      </c>
      <c r="DM2" s="35">
        <v>117</v>
      </c>
      <c r="DN2" s="342">
        <v>118</v>
      </c>
      <c r="DO2" s="35">
        <v>119</v>
      </c>
      <c r="DP2" s="35">
        <v>120</v>
      </c>
      <c r="DQ2" s="342">
        <v>121</v>
      </c>
      <c r="DR2" s="35">
        <v>122</v>
      </c>
      <c r="DS2" s="35">
        <v>123</v>
      </c>
      <c r="DT2" s="342">
        <v>124</v>
      </c>
      <c r="DU2" s="35">
        <v>125</v>
      </c>
      <c r="DV2" s="35">
        <v>126</v>
      </c>
      <c r="DW2" s="342">
        <v>127</v>
      </c>
      <c r="DX2" s="35">
        <v>128</v>
      </c>
      <c r="DY2" s="35">
        <v>129</v>
      </c>
      <c r="DZ2" s="342">
        <v>130</v>
      </c>
      <c r="EA2" s="35">
        <v>131</v>
      </c>
      <c r="EB2" s="35">
        <v>132</v>
      </c>
      <c r="EC2" s="342">
        <v>133</v>
      </c>
      <c r="ED2" s="35">
        <v>134</v>
      </c>
      <c r="EE2" s="35">
        <v>135</v>
      </c>
      <c r="EF2" s="342">
        <v>136</v>
      </c>
      <c r="EG2" s="35">
        <v>137</v>
      </c>
      <c r="EH2" s="35">
        <v>138</v>
      </c>
      <c r="EI2" s="342">
        <v>139</v>
      </c>
      <c r="EJ2" s="35">
        <v>140</v>
      </c>
      <c r="EK2" s="35">
        <v>141</v>
      </c>
      <c r="EL2" s="342">
        <v>142</v>
      </c>
      <c r="EM2" s="35">
        <v>143</v>
      </c>
    </row>
    <row r="3" spans="1:143" ht="13.5" thickBot="1" x14ac:dyDescent="0.25">
      <c r="A3" s="338"/>
      <c r="B3" s="334"/>
      <c r="C3" s="37"/>
      <c r="D3" s="88"/>
      <c r="E3" s="88"/>
      <c r="F3" s="114"/>
      <c r="G3" s="115"/>
      <c r="H3" s="115"/>
      <c r="I3" s="116"/>
      <c r="J3" s="116"/>
      <c r="K3" s="116"/>
      <c r="L3" s="116"/>
      <c r="M3" s="116"/>
      <c r="N3" s="116"/>
      <c r="O3" s="116"/>
      <c r="P3" s="116"/>
      <c r="Q3" s="116"/>
      <c r="R3" s="116"/>
      <c r="S3" s="116"/>
      <c r="T3" s="117"/>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row>
    <row r="4" spans="1:143" s="125" customFormat="1" ht="13.5" thickBot="1" x14ac:dyDescent="0.25">
      <c r="A4" s="338"/>
      <c r="B4" s="112" t="s">
        <v>581</v>
      </c>
      <c r="C4" s="323" t="s">
        <v>1091</v>
      </c>
      <c r="D4" s="341" t="s">
        <v>1092</v>
      </c>
      <c r="E4" s="112" t="s">
        <v>580</v>
      </c>
      <c r="F4" s="127">
        <v>1</v>
      </c>
      <c r="G4" s="127">
        <v>2</v>
      </c>
      <c r="H4" s="127">
        <v>3</v>
      </c>
      <c r="I4" s="127">
        <v>4</v>
      </c>
      <c r="J4" s="127">
        <v>5</v>
      </c>
      <c r="K4" s="127">
        <v>6</v>
      </c>
      <c r="L4" s="127">
        <v>7</v>
      </c>
      <c r="M4" s="127">
        <v>8</v>
      </c>
      <c r="N4" s="127">
        <v>9</v>
      </c>
      <c r="O4" s="127">
        <v>10</v>
      </c>
      <c r="P4" s="127">
        <v>11</v>
      </c>
      <c r="Q4" s="127">
        <v>12</v>
      </c>
      <c r="R4" s="127">
        <v>13</v>
      </c>
      <c r="S4" s="127">
        <v>14</v>
      </c>
      <c r="T4" s="127">
        <v>15</v>
      </c>
      <c r="U4" s="127">
        <v>16</v>
      </c>
      <c r="V4" s="127">
        <v>17</v>
      </c>
      <c r="W4" s="127">
        <v>18</v>
      </c>
      <c r="X4" s="127">
        <v>19</v>
      </c>
      <c r="Y4" s="127">
        <v>20</v>
      </c>
      <c r="Z4" s="127">
        <v>21</v>
      </c>
      <c r="AA4" s="127">
        <v>22</v>
      </c>
      <c r="AB4" s="127">
        <v>23</v>
      </c>
      <c r="AC4" s="127">
        <v>24</v>
      </c>
      <c r="AD4" s="127">
        <v>25</v>
      </c>
      <c r="AE4" s="127">
        <v>26</v>
      </c>
      <c r="AF4" s="127">
        <v>27</v>
      </c>
      <c r="AG4" s="127">
        <v>28</v>
      </c>
      <c r="AH4" s="127">
        <v>29</v>
      </c>
      <c r="AI4" s="127">
        <v>30</v>
      </c>
      <c r="AJ4" s="127">
        <v>31</v>
      </c>
      <c r="AK4" s="127">
        <v>32</v>
      </c>
      <c r="AL4" s="127">
        <v>33</v>
      </c>
      <c r="AM4" s="127">
        <v>34</v>
      </c>
      <c r="AN4" s="127">
        <v>35</v>
      </c>
      <c r="AO4" s="127">
        <v>36</v>
      </c>
      <c r="AP4" s="127">
        <v>37</v>
      </c>
      <c r="AQ4" s="127">
        <v>38</v>
      </c>
      <c r="AR4" s="127">
        <v>39</v>
      </c>
      <c r="AS4" s="127">
        <v>40</v>
      </c>
      <c r="AT4" s="127">
        <v>41</v>
      </c>
      <c r="AU4" s="127">
        <v>42</v>
      </c>
      <c r="AV4" s="127">
        <v>43</v>
      </c>
      <c r="AW4" s="127">
        <v>44</v>
      </c>
      <c r="AX4" s="127">
        <v>45</v>
      </c>
      <c r="AY4" s="127">
        <v>46</v>
      </c>
      <c r="AZ4" s="127">
        <v>47</v>
      </c>
      <c r="BA4" s="127">
        <v>48</v>
      </c>
      <c r="BB4" s="127">
        <v>49</v>
      </c>
      <c r="BC4" s="127">
        <v>50</v>
      </c>
      <c r="BD4" s="127">
        <v>51</v>
      </c>
      <c r="BE4" s="127">
        <v>52</v>
      </c>
      <c r="BF4" s="127">
        <v>53</v>
      </c>
      <c r="BG4" s="127">
        <v>54</v>
      </c>
      <c r="BH4" s="127">
        <v>55</v>
      </c>
      <c r="BI4" s="127">
        <v>56</v>
      </c>
      <c r="BJ4" s="127">
        <v>57</v>
      </c>
      <c r="BK4" s="127">
        <v>58</v>
      </c>
      <c r="BL4" s="127">
        <v>59</v>
      </c>
      <c r="BM4" s="127">
        <v>60</v>
      </c>
      <c r="BN4" s="127">
        <v>61</v>
      </c>
      <c r="BO4" s="127">
        <v>62</v>
      </c>
      <c r="BP4" s="127">
        <v>63</v>
      </c>
      <c r="BQ4" s="127">
        <v>64</v>
      </c>
      <c r="BR4" s="127">
        <v>65</v>
      </c>
      <c r="BS4" s="127">
        <v>66</v>
      </c>
      <c r="BT4" s="127">
        <v>67</v>
      </c>
      <c r="BU4" s="127">
        <v>68</v>
      </c>
      <c r="BV4" s="127">
        <v>69</v>
      </c>
      <c r="BW4" s="127">
        <v>70</v>
      </c>
      <c r="BX4" s="127">
        <v>71</v>
      </c>
      <c r="BY4" s="127">
        <v>72</v>
      </c>
      <c r="BZ4" s="127">
        <v>73</v>
      </c>
      <c r="CA4" s="127">
        <v>74</v>
      </c>
      <c r="CB4" s="127">
        <v>75</v>
      </c>
      <c r="CC4" s="127">
        <v>76</v>
      </c>
      <c r="CD4" s="127">
        <v>77</v>
      </c>
      <c r="CE4" s="127">
        <v>78</v>
      </c>
      <c r="CF4" s="127">
        <v>79</v>
      </c>
      <c r="CG4" s="127">
        <v>80</v>
      </c>
      <c r="CH4" s="127">
        <v>81</v>
      </c>
      <c r="CI4" s="127">
        <v>82</v>
      </c>
      <c r="CJ4" s="127">
        <v>83</v>
      </c>
      <c r="CK4" s="127">
        <v>84</v>
      </c>
      <c r="CL4" s="127">
        <v>85</v>
      </c>
      <c r="CM4" s="127">
        <v>86</v>
      </c>
      <c r="CN4" s="127">
        <v>87</v>
      </c>
      <c r="CO4" s="127">
        <v>88</v>
      </c>
      <c r="CP4" s="127">
        <v>89</v>
      </c>
      <c r="CQ4" s="127">
        <v>90</v>
      </c>
      <c r="CR4" s="127">
        <v>91</v>
      </c>
      <c r="CS4" s="127">
        <v>92</v>
      </c>
      <c r="CT4" s="127">
        <v>93</v>
      </c>
      <c r="CU4" s="127">
        <v>94</v>
      </c>
      <c r="CV4" s="127">
        <v>95</v>
      </c>
      <c r="CW4" s="127">
        <v>96</v>
      </c>
      <c r="CX4" s="127">
        <v>97</v>
      </c>
      <c r="CY4" s="127">
        <v>98</v>
      </c>
      <c r="CZ4" s="127">
        <v>99</v>
      </c>
      <c r="DA4" s="127">
        <v>100</v>
      </c>
      <c r="DB4" s="127">
        <v>101</v>
      </c>
      <c r="DC4" s="127">
        <v>102</v>
      </c>
      <c r="DD4" s="127">
        <v>103</v>
      </c>
      <c r="DE4" s="127">
        <v>104</v>
      </c>
      <c r="DF4" s="127">
        <v>105</v>
      </c>
      <c r="DG4" s="127">
        <v>106</v>
      </c>
      <c r="DH4" s="127">
        <v>107</v>
      </c>
      <c r="DI4" s="127">
        <v>108</v>
      </c>
      <c r="DJ4" s="127">
        <v>109</v>
      </c>
      <c r="DK4" s="127">
        <v>110</v>
      </c>
      <c r="DL4" s="127">
        <v>111</v>
      </c>
      <c r="DM4" s="127">
        <v>112</v>
      </c>
      <c r="DN4" s="127">
        <v>113</v>
      </c>
      <c r="DO4" s="127">
        <v>114</v>
      </c>
      <c r="DP4" s="127">
        <v>115</v>
      </c>
      <c r="DQ4" s="127">
        <v>116</v>
      </c>
      <c r="DR4" s="127">
        <v>117</v>
      </c>
      <c r="DS4" s="127">
        <v>118</v>
      </c>
      <c r="DT4" s="127">
        <v>119</v>
      </c>
      <c r="DU4" s="127">
        <v>120</v>
      </c>
      <c r="DV4" s="127">
        <v>121</v>
      </c>
      <c r="DW4" s="127">
        <v>122</v>
      </c>
      <c r="DX4" s="127">
        <v>123</v>
      </c>
      <c r="DY4" s="127">
        <v>124</v>
      </c>
      <c r="DZ4" s="127">
        <v>125</v>
      </c>
      <c r="EA4" s="127">
        <v>126</v>
      </c>
      <c r="EB4" s="127">
        <v>127</v>
      </c>
      <c r="EC4" s="127">
        <v>128</v>
      </c>
      <c r="ED4" s="127">
        <v>129</v>
      </c>
      <c r="EE4" s="127">
        <v>130</v>
      </c>
      <c r="EF4" s="127">
        <v>131</v>
      </c>
      <c r="EG4" s="127">
        <v>132</v>
      </c>
      <c r="EH4" s="127">
        <v>133</v>
      </c>
      <c r="EI4" s="127">
        <v>134</v>
      </c>
      <c r="EJ4" s="127">
        <v>135</v>
      </c>
      <c r="EK4" s="127">
        <v>136</v>
      </c>
      <c r="EL4" s="127">
        <v>137</v>
      </c>
      <c r="EM4" s="127">
        <v>138</v>
      </c>
    </row>
    <row r="5" spans="1:143" s="125" customFormat="1" ht="13.5" thickBot="1" x14ac:dyDescent="0.25">
      <c r="A5" s="339"/>
      <c r="B5" s="335"/>
      <c r="C5" s="113"/>
      <c r="D5" s="91"/>
      <c r="E5" s="113"/>
      <c r="F5" s="127">
        <v>1</v>
      </c>
      <c r="G5" s="127">
        <v>2</v>
      </c>
      <c r="H5" s="127">
        <v>3</v>
      </c>
      <c r="I5" s="127">
        <v>4</v>
      </c>
      <c r="J5" s="127">
        <v>1</v>
      </c>
      <c r="K5" s="127">
        <v>2</v>
      </c>
      <c r="L5" s="127">
        <v>3</v>
      </c>
      <c r="M5" s="127">
        <v>4</v>
      </c>
      <c r="N5" s="127">
        <v>1</v>
      </c>
      <c r="O5" s="127">
        <v>2</v>
      </c>
      <c r="P5" s="127">
        <v>3</v>
      </c>
      <c r="Q5" s="127">
        <v>4</v>
      </c>
      <c r="R5" s="127">
        <v>1</v>
      </c>
      <c r="S5" s="127">
        <v>2</v>
      </c>
      <c r="T5" s="127">
        <v>3</v>
      </c>
      <c r="U5" s="127">
        <v>4</v>
      </c>
      <c r="V5" s="127">
        <v>1</v>
      </c>
      <c r="W5" s="127">
        <v>2</v>
      </c>
      <c r="X5" s="127">
        <v>3</v>
      </c>
      <c r="Y5" s="127">
        <v>4</v>
      </c>
      <c r="Z5" s="127">
        <v>1</v>
      </c>
      <c r="AA5" s="127">
        <v>2</v>
      </c>
      <c r="AB5" s="127">
        <v>3</v>
      </c>
      <c r="AC5" s="127">
        <v>4</v>
      </c>
      <c r="AD5" s="127">
        <v>1</v>
      </c>
      <c r="AE5" s="127">
        <v>2</v>
      </c>
      <c r="AF5" s="127">
        <v>3</v>
      </c>
      <c r="AG5" s="127">
        <v>4</v>
      </c>
      <c r="AH5" s="127">
        <v>1</v>
      </c>
      <c r="AI5" s="127">
        <v>2</v>
      </c>
      <c r="AJ5" s="127">
        <v>3</v>
      </c>
      <c r="AK5" s="127">
        <v>4</v>
      </c>
      <c r="AL5" s="127">
        <v>1</v>
      </c>
      <c r="AM5" s="127">
        <v>2</v>
      </c>
      <c r="AN5" s="127">
        <v>3</v>
      </c>
      <c r="AO5" s="127">
        <v>4</v>
      </c>
      <c r="AP5" s="127">
        <v>1</v>
      </c>
      <c r="AQ5" s="127">
        <v>2</v>
      </c>
      <c r="AR5" s="127">
        <v>3</v>
      </c>
      <c r="AS5" s="127">
        <v>4</v>
      </c>
      <c r="AT5" s="127">
        <v>1</v>
      </c>
      <c r="AU5" s="127">
        <v>2</v>
      </c>
      <c r="AV5" s="127">
        <v>3</v>
      </c>
      <c r="AW5" s="127">
        <v>4</v>
      </c>
      <c r="AX5" s="127">
        <v>1</v>
      </c>
      <c r="AY5" s="127">
        <v>2</v>
      </c>
      <c r="AZ5" s="127">
        <v>3</v>
      </c>
      <c r="BA5" s="127">
        <v>4</v>
      </c>
      <c r="BB5" s="127">
        <v>1</v>
      </c>
      <c r="BC5" s="127">
        <v>2</v>
      </c>
      <c r="BD5" s="127">
        <v>3</v>
      </c>
      <c r="BE5" s="127">
        <v>4</v>
      </c>
      <c r="BF5" s="127">
        <v>1</v>
      </c>
      <c r="BG5" s="127">
        <v>2</v>
      </c>
      <c r="BH5" s="127">
        <v>3</v>
      </c>
      <c r="BI5" s="127">
        <v>4</v>
      </c>
      <c r="BJ5" s="127">
        <v>1</v>
      </c>
      <c r="BK5" s="127">
        <v>2</v>
      </c>
      <c r="BL5" s="127">
        <v>3</v>
      </c>
      <c r="BM5" s="127">
        <v>4</v>
      </c>
      <c r="BN5" s="127">
        <v>1</v>
      </c>
      <c r="BO5" s="127">
        <v>2</v>
      </c>
      <c r="BP5" s="127">
        <v>3</v>
      </c>
      <c r="BQ5" s="127">
        <v>4</v>
      </c>
      <c r="BR5" s="127">
        <v>1</v>
      </c>
      <c r="BS5" s="127">
        <v>2</v>
      </c>
      <c r="BT5" s="127">
        <v>3</v>
      </c>
      <c r="BU5" s="127">
        <v>4</v>
      </c>
      <c r="BV5" s="127">
        <v>1</v>
      </c>
      <c r="BW5" s="127">
        <v>2</v>
      </c>
      <c r="BX5" s="127">
        <v>3</v>
      </c>
      <c r="BY5" s="127">
        <v>4</v>
      </c>
      <c r="BZ5" s="127">
        <v>1</v>
      </c>
      <c r="CA5" s="127">
        <v>2</v>
      </c>
      <c r="CB5" s="127">
        <v>3</v>
      </c>
      <c r="CC5" s="127">
        <v>4</v>
      </c>
      <c r="CD5" s="127">
        <v>1</v>
      </c>
      <c r="CE5" s="127">
        <v>2</v>
      </c>
      <c r="CF5" s="127">
        <v>3</v>
      </c>
      <c r="CG5" s="127">
        <v>4</v>
      </c>
      <c r="CH5" s="127">
        <v>1</v>
      </c>
      <c r="CI5" s="127">
        <v>2</v>
      </c>
      <c r="CJ5" s="127">
        <v>3</v>
      </c>
      <c r="CK5" s="127">
        <v>4</v>
      </c>
      <c r="CL5" s="127">
        <v>1</v>
      </c>
      <c r="CM5" s="127">
        <v>2</v>
      </c>
      <c r="CN5" s="127">
        <v>3</v>
      </c>
      <c r="CO5" s="127">
        <v>4</v>
      </c>
      <c r="CP5" s="127">
        <v>1</v>
      </c>
      <c r="CQ5" s="127">
        <v>2</v>
      </c>
      <c r="CR5" s="127">
        <v>3</v>
      </c>
      <c r="CS5" s="127">
        <v>4</v>
      </c>
      <c r="CT5" s="127">
        <v>1</v>
      </c>
      <c r="CU5" s="127">
        <v>2</v>
      </c>
      <c r="CV5" s="127">
        <v>3</v>
      </c>
      <c r="CW5" s="127">
        <v>4</v>
      </c>
      <c r="CX5" s="127">
        <v>1</v>
      </c>
      <c r="CY5" s="127">
        <v>2</v>
      </c>
      <c r="CZ5" s="127">
        <v>3</v>
      </c>
      <c r="DA5" s="127">
        <v>4</v>
      </c>
      <c r="DB5" s="127">
        <v>1</v>
      </c>
      <c r="DC5" s="127">
        <v>2</v>
      </c>
      <c r="DD5" s="127">
        <v>3</v>
      </c>
      <c r="DE5" s="127">
        <v>4</v>
      </c>
      <c r="DF5" s="127">
        <v>1</v>
      </c>
      <c r="DG5" s="127">
        <v>2</v>
      </c>
      <c r="DH5" s="127">
        <v>3</v>
      </c>
      <c r="DI5" s="127">
        <v>4</v>
      </c>
      <c r="DJ5" s="127">
        <v>1</v>
      </c>
      <c r="DK5" s="127">
        <v>2</v>
      </c>
      <c r="DL5" s="127">
        <v>3</v>
      </c>
      <c r="DM5" s="127">
        <v>4</v>
      </c>
      <c r="DN5" s="127">
        <v>1</v>
      </c>
      <c r="DO5" s="127">
        <v>2</v>
      </c>
      <c r="DP5" s="127">
        <v>3</v>
      </c>
      <c r="DQ5" s="127">
        <v>4</v>
      </c>
      <c r="DR5" s="127">
        <v>1</v>
      </c>
      <c r="DS5" s="127">
        <v>2</v>
      </c>
      <c r="DT5" s="127">
        <v>3</v>
      </c>
      <c r="DU5" s="127">
        <v>4</v>
      </c>
      <c r="DV5" s="128">
        <v>1</v>
      </c>
      <c r="DW5" s="128">
        <v>2</v>
      </c>
      <c r="DX5" s="127">
        <v>1</v>
      </c>
      <c r="DY5" s="127">
        <v>2</v>
      </c>
      <c r="DZ5" s="127">
        <v>3</v>
      </c>
      <c r="EA5" s="127">
        <v>4</v>
      </c>
      <c r="EB5" s="127">
        <v>1</v>
      </c>
      <c r="EC5" s="127">
        <v>2</v>
      </c>
      <c r="ED5" s="127">
        <v>3</v>
      </c>
      <c r="EE5" s="127">
        <v>4</v>
      </c>
      <c r="EF5" s="127">
        <v>1</v>
      </c>
      <c r="EG5" s="127">
        <v>2</v>
      </c>
      <c r="EH5" s="127">
        <v>3</v>
      </c>
      <c r="EI5" s="127">
        <v>4</v>
      </c>
      <c r="EJ5" s="127">
        <v>1</v>
      </c>
      <c r="EK5" s="127">
        <v>2</v>
      </c>
      <c r="EL5" s="127">
        <v>3</v>
      </c>
      <c r="EM5" s="127">
        <v>4</v>
      </c>
    </row>
    <row r="6" spans="1:143" ht="13.5" thickBot="1" x14ac:dyDescent="0.25">
      <c r="A6" s="77"/>
      <c r="B6" s="77"/>
      <c r="C6" s="78"/>
      <c r="D6" s="85"/>
      <c r="E6" s="329"/>
      <c r="F6" s="119"/>
      <c r="G6" s="120"/>
      <c r="H6" s="120"/>
      <c r="I6" s="121"/>
      <c r="J6" s="122"/>
      <c r="K6" s="121"/>
      <c r="L6" s="121"/>
      <c r="M6" s="121"/>
      <c r="N6" s="121"/>
      <c r="O6" s="121"/>
      <c r="P6" s="121"/>
      <c r="Q6" s="121"/>
      <c r="R6" s="121"/>
      <c r="S6" s="121"/>
      <c r="T6" s="121"/>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row>
    <row r="7" spans="1:143" ht="12.75" x14ac:dyDescent="0.2">
      <c r="A7" s="446">
        <v>1</v>
      </c>
      <c r="B7" s="447" t="s">
        <v>583</v>
      </c>
      <c r="C7" s="448" t="s">
        <v>1093</v>
      </c>
      <c r="D7" s="449" t="s">
        <v>1094</v>
      </c>
      <c r="E7" s="450" t="s">
        <v>582</v>
      </c>
      <c r="F7" s="451">
        <v>599451</v>
      </c>
      <c r="G7" s="451">
        <v>0</v>
      </c>
      <c r="H7" s="451">
        <v>0</v>
      </c>
      <c r="I7" s="451">
        <v>599451</v>
      </c>
      <c r="J7" s="451">
        <v>-1878</v>
      </c>
      <c r="K7" s="451">
        <v>0</v>
      </c>
      <c r="L7" s="451">
        <v>0</v>
      </c>
      <c r="M7" s="451">
        <v>-1878</v>
      </c>
      <c r="N7" s="451">
        <v>2161</v>
      </c>
      <c r="O7" s="451">
        <v>0</v>
      </c>
      <c r="P7" s="451">
        <v>0</v>
      </c>
      <c r="Q7" s="451">
        <v>2161</v>
      </c>
      <c r="R7" s="451">
        <v>13217</v>
      </c>
      <c r="S7" s="451">
        <v>0</v>
      </c>
      <c r="T7" s="451">
        <v>0</v>
      </c>
      <c r="U7" s="451">
        <v>13217</v>
      </c>
      <c r="V7" s="451">
        <v>1109848</v>
      </c>
      <c r="W7" s="451">
        <v>0</v>
      </c>
      <c r="X7" s="451">
        <v>0</v>
      </c>
      <c r="Y7" s="451">
        <v>1109848</v>
      </c>
      <c r="Z7" s="451">
        <v>70828</v>
      </c>
      <c r="AA7" s="451">
        <v>0</v>
      </c>
      <c r="AB7" s="451">
        <v>0</v>
      </c>
      <c r="AC7" s="451">
        <v>70828</v>
      </c>
      <c r="AD7" s="451">
        <v>316008</v>
      </c>
      <c r="AE7" s="451">
        <v>0</v>
      </c>
      <c r="AF7" s="451">
        <v>0</v>
      </c>
      <c r="AG7" s="451">
        <v>316008</v>
      </c>
      <c r="AH7" s="451">
        <v>-1107</v>
      </c>
      <c r="AI7" s="451">
        <v>0</v>
      </c>
      <c r="AJ7" s="451">
        <v>0</v>
      </c>
      <c r="AK7" s="451">
        <v>-1107</v>
      </c>
      <c r="AL7" s="451">
        <v>1227603</v>
      </c>
      <c r="AM7" s="451">
        <v>0</v>
      </c>
      <c r="AN7" s="451">
        <v>0</v>
      </c>
      <c r="AO7" s="451">
        <v>1227603</v>
      </c>
      <c r="AP7" s="451">
        <v>4866</v>
      </c>
      <c r="AQ7" s="451">
        <v>0</v>
      </c>
      <c r="AR7" s="451">
        <v>0</v>
      </c>
      <c r="AS7" s="451">
        <v>4866</v>
      </c>
      <c r="AT7" s="451">
        <v>63163</v>
      </c>
      <c r="AU7" s="451">
        <v>0</v>
      </c>
      <c r="AV7" s="451">
        <v>0</v>
      </c>
      <c r="AW7" s="451">
        <v>63163</v>
      </c>
      <c r="AX7" s="451">
        <v>0</v>
      </c>
      <c r="AY7" s="451">
        <v>0</v>
      </c>
      <c r="AZ7" s="451">
        <v>0</v>
      </c>
      <c r="BA7" s="451">
        <v>0</v>
      </c>
      <c r="BB7" s="451">
        <v>0</v>
      </c>
      <c r="BC7" s="451">
        <v>0</v>
      </c>
      <c r="BD7" s="451">
        <v>0</v>
      </c>
      <c r="BE7" s="451">
        <v>0</v>
      </c>
      <c r="BF7" s="451">
        <v>0</v>
      </c>
      <c r="BG7" s="451">
        <v>0</v>
      </c>
      <c r="BH7" s="451">
        <v>0</v>
      </c>
      <c r="BI7" s="451">
        <v>0</v>
      </c>
      <c r="BJ7" s="451">
        <v>30523</v>
      </c>
      <c r="BK7" s="451">
        <v>0</v>
      </c>
      <c r="BL7" s="451">
        <v>0</v>
      </c>
      <c r="BM7" s="451">
        <v>30523</v>
      </c>
      <c r="BN7" s="451">
        <v>78</v>
      </c>
      <c r="BO7" s="451">
        <v>0</v>
      </c>
      <c r="BP7" s="451">
        <v>0</v>
      </c>
      <c r="BQ7" s="451">
        <v>78</v>
      </c>
      <c r="BR7" s="451">
        <v>337285</v>
      </c>
      <c r="BS7" s="451">
        <v>0</v>
      </c>
      <c r="BT7" s="451">
        <v>0</v>
      </c>
      <c r="BU7" s="451">
        <v>337285</v>
      </c>
      <c r="BV7" s="451">
        <v>-81375</v>
      </c>
      <c r="BW7" s="451">
        <v>0</v>
      </c>
      <c r="BX7" s="451">
        <v>0</v>
      </c>
      <c r="BY7" s="451">
        <v>-81375</v>
      </c>
      <c r="BZ7" s="451">
        <v>29918</v>
      </c>
      <c r="CA7" s="451">
        <v>0</v>
      </c>
      <c r="CB7" s="451">
        <v>0</v>
      </c>
      <c r="CC7" s="451">
        <v>29918</v>
      </c>
      <c r="CD7" s="451">
        <v>273</v>
      </c>
      <c r="CE7" s="451">
        <v>0</v>
      </c>
      <c r="CF7" s="451">
        <v>0</v>
      </c>
      <c r="CG7" s="451">
        <v>273</v>
      </c>
      <c r="CH7" s="451">
        <v>2055</v>
      </c>
      <c r="CI7" s="451">
        <v>0</v>
      </c>
      <c r="CJ7" s="451">
        <v>0</v>
      </c>
      <c r="CK7" s="451">
        <v>2055</v>
      </c>
      <c r="CL7" s="451">
        <v>0</v>
      </c>
      <c r="CM7" s="451">
        <v>0</v>
      </c>
      <c r="CN7" s="451">
        <v>0</v>
      </c>
      <c r="CO7" s="451">
        <v>0</v>
      </c>
      <c r="CP7" s="451">
        <v>0</v>
      </c>
      <c r="CQ7" s="451">
        <v>0</v>
      </c>
      <c r="CR7" s="451">
        <v>0</v>
      </c>
      <c r="CS7" s="451">
        <v>0</v>
      </c>
      <c r="CT7" s="451">
        <v>0</v>
      </c>
      <c r="CU7" s="451">
        <v>0</v>
      </c>
      <c r="CV7" s="451">
        <v>0</v>
      </c>
      <c r="CW7" s="451">
        <v>0</v>
      </c>
      <c r="CX7" s="451">
        <v>0</v>
      </c>
      <c r="CY7" s="451">
        <v>0</v>
      </c>
      <c r="CZ7" s="451">
        <v>0</v>
      </c>
      <c r="DA7" s="451">
        <v>0</v>
      </c>
      <c r="DB7" s="451">
        <v>0</v>
      </c>
      <c r="DC7" s="451">
        <v>0</v>
      </c>
      <c r="DD7" s="451">
        <v>0</v>
      </c>
      <c r="DE7" s="451">
        <v>0</v>
      </c>
      <c r="DF7" s="451">
        <v>0</v>
      </c>
      <c r="DG7" s="451">
        <v>0</v>
      </c>
      <c r="DH7" s="451">
        <v>0</v>
      </c>
      <c r="DI7" s="451">
        <v>0</v>
      </c>
      <c r="DJ7" s="451">
        <v>0</v>
      </c>
      <c r="DK7" s="451">
        <v>0</v>
      </c>
      <c r="DL7" s="451">
        <v>0</v>
      </c>
      <c r="DM7" s="451">
        <v>0</v>
      </c>
      <c r="DN7" s="451">
        <v>0</v>
      </c>
      <c r="DO7" s="451">
        <v>0</v>
      </c>
      <c r="DP7" s="451">
        <v>0</v>
      </c>
      <c r="DQ7" s="451">
        <v>0</v>
      </c>
      <c r="DR7" s="451">
        <v>0</v>
      </c>
      <c r="DS7" s="451">
        <v>0</v>
      </c>
      <c r="DT7" s="451">
        <v>0</v>
      </c>
      <c r="DU7" s="451">
        <v>0</v>
      </c>
      <c r="DV7" s="451">
        <v>0</v>
      </c>
      <c r="DW7" s="451">
        <v>0</v>
      </c>
      <c r="DX7" s="451">
        <v>0</v>
      </c>
      <c r="DY7" s="451">
        <v>0</v>
      </c>
      <c r="DZ7" s="451">
        <v>0</v>
      </c>
      <c r="EA7" s="451">
        <v>0</v>
      </c>
      <c r="EB7" s="451">
        <v>0</v>
      </c>
      <c r="EC7" s="451">
        <v>0</v>
      </c>
      <c r="ED7" s="451">
        <v>0</v>
      </c>
      <c r="EE7" s="451">
        <v>0</v>
      </c>
      <c r="EF7" s="451">
        <v>0</v>
      </c>
      <c r="EG7" s="451">
        <v>0</v>
      </c>
      <c r="EH7" s="451">
        <v>0</v>
      </c>
      <c r="EI7" s="451">
        <v>0</v>
      </c>
      <c r="EJ7" s="451">
        <v>0</v>
      </c>
      <c r="EK7" s="451">
        <v>0</v>
      </c>
      <c r="EL7" s="451">
        <v>0</v>
      </c>
      <c r="EM7" s="451">
        <v>0</v>
      </c>
    </row>
    <row r="8" spans="1:143" ht="12.75" x14ac:dyDescent="0.2">
      <c r="A8" s="446">
        <v>2</v>
      </c>
      <c r="B8" s="447" t="s">
        <v>585</v>
      </c>
      <c r="C8" s="448" t="s">
        <v>1093</v>
      </c>
      <c r="D8" s="449" t="s">
        <v>1095</v>
      </c>
      <c r="E8" s="450" t="s">
        <v>584</v>
      </c>
      <c r="F8" s="451">
        <v>163719</v>
      </c>
      <c r="G8" s="451">
        <v>0</v>
      </c>
      <c r="H8" s="451">
        <v>0</v>
      </c>
      <c r="I8" s="451">
        <v>163719</v>
      </c>
      <c r="J8" s="451">
        <v>-201838</v>
      </c>
      <c r="K8" s="451">
        <v>0</v>
      </c>
      <c r="L8" s="451">
        <v>0</v>
      </c>
      <c r="M8" s="451">
        <v>-201838</v>
      </c>
      <c r="N8" s="451">
        <v>11169</v>
      </c>
      <c r="O8" s="451">
        <v>0</v>
      </c>
      <c r="P8" s="451">
        <v>0</v>
      </c>
      <c r="Q8" s="451">
        <v>11169</v>
      </c>
      <c r="R8" s="451">
        <v>30000</v>
      </c>
      <c r="S8" s="451">
        <v>0</v>
      </c>
      <c r="T8" s="451">
        <v>0</v>
      </c>
      <c r="U8" s="451">
        <v>30000</v>
      </c>
      <c r="V8" s="451">
        <v>3068600</v>
      </c>
      <c r="W8" s="451">
        <v>0</v>
      </c>
      <c r="X8" s="451">
        <v>0</v>
      </c>
      <c r="Y8" s="451">
        <v>3068600</v>
      </c>
      <c r="Z8" s="451">
        <v>203115</v>
      </c>
      <c r="AA8" s="451">
        <v>0</v>
      </c>
      <c r="AB8" s="451">
        <v>0</v>
      </c>
      <c r="AC8" s="451">
        <v>203115</v>
      </c>
      <c r="AD8" s="451">
        <v>484244</v>
      </c>
      <c r="AE8" s="451">
        <v>0</v>
      </c>
      <c r="AF8" s="451">
        <v>0</v>
      </c>
      <c r="AG8" s="451">
        <v>484244</v>
      </c>
      <c r="AH8" s="451">
        <v>-9832</v>
      </c>
      <c r="AI8" s="451">
        <v>0</v>
      </c>
      <c r="AJ8" s="451">
        <v>0</v>
      </c>
      <c r="AK8" s="451">
        <v>-9832</v>
      </c>
      <c r="AL8" s="451">
        <v>1476151</v>
      </c>
      <c r="AM8" s="451">
        <v>0</v>
      </c>
      <c r="AN8" s="451">
        <v>0</v>
      </c>
      <c r="AO8" s="451">
        <v>1476151</v>
      </c>
      <c r="AP8" s="451">
        <v>-17596</v>
      </c>
      <c r="AQ8" s="451">
        <v>0</v>
      </c>
      <c r="AR8" s="451">
        <v>0</v>
      </c>
      <c r="AS8" s="451">
        <v>-17596</v>
      </c>
      <c r="AT8" s="451">
        <v>64263</v>
      </c>
      <c r="AU8" s="451">
        <v>0</v>
      </c>
      <c r="AV8" s="451">
        <v>0</v>
      </c>
      <c r="AW8" s="451">
        <v>64263</v>
      </c>
      <c r="AX8" s="451">
        <v>0</v>
      </c>
      <c r="AY8" s="451">
        <v>0</v>
      </c>
      <c r="AZ8" s="451">
        <v>0</v>
      </c>
      <c r="BA8" s="451">
        <v>0</v>
      </c>
      <c r="BB8" s="451">
        <v>35649</v>
      </c>
      <c r="BC8" s="451">
        <v>0</v>
      </c>
      <c r="BD8" s="451">
        <v>0</v>
      </c>
      <c r="BE8" s="451">
        <v>35649</v>
      </c>
      <c r="BF8" s="451">
        <v>1761</v>
      </c>
      <c r="BG8" s="451">
        <v>0</v>
      </c>
      <c r="BH8" s="451">
        <v>0</v>
      </c>
      <c r="BI8" s="451">
        <v>1761</v>
      </c>
      <c r="BJ8" s="451">
        <v>298</v>
      </c>
      <c r="BK8" s="451">
        <v>0</v>
      </c>
      <c r="BL8" s="451">
        <v>0</v>
      </c>
      <c r="BM8" s="451">
        <v>298</v>
      </c>
      <c r="BN8" s="451">
        <v>5204</v>
      </c>
      <c r="BO8" s="451">
        <v>0</v>
      </c>
      <c r="BP8" s="451">
        <v>0</v>
      </c>
      <c r="BQ8" s="451">
        <v>5204</v>
      </c>
      <c r="BR8" s="451">
        <v>939028</v>
      </c>
      <c r="BS8" s="451">
        <v>0</v>
      </c>
      <c r="BT8" s="451">
        <v>0</v>
      </c>
      <c r="BU8" s="451">
        <v>939028</v>
      </c>
      <c r="BV8" s="451">
        <v>-20842</v>
      </c>
      <c r="BW8" s="451">
        <v>0</v>
      </c>
      <c r="BX8" s="451">
        <v>0</v>
      </c>
      <c r="BY8" s="451">
        <v>-20842</v>
      </c>
      <c r="BZ8" s="451">
        <v>113036</v>
      </c>
      <c r="CA8" s="451">
        <v>0</v>
      </c>
      <c r="CB8" s="451">
        <v>0</v>
      </c>
      <c r="CC8" s="451">
        <v>113036</v>
      </c>
      <c r="CD8" s="451">
        <v>-6476</v>
      </c>
      <c r="CE8" s="451">
        <v>0</v>
      </c>
      <c r="CF8" s="451">
        <v>0</v>
      </c>
      <c r="CG8" s="451">
        <v>-6476</v>
      </c>
      <c r="CH8" s="451">
        <v>77302</v>
      </c>
      <c r="CI8" s="451">
        <v>0</v>
      </c>
      <c r="CJ8" s="451">
        <v>0</v>
      </c>
      <c r="CK8" s="451">
        <v>77302</v>
      </c>
      <c r="CL8" s="451">
        <v>0</v>
      </c>
      <c r="CM8" s="451">
        <v>0</v>
      </c>
      <c r="CN8" s="451">
        <v>0</v>
      </c>
      <c r="CO8" s="451">
        <v>0</v>
      </c>
      <c r="CP8" s="451">
        <v>1178</v>
      </c>
      <c r="CQ8" s="451">
        <v>0</v>
      </c>
      <c r="CR8" s="451">
        <v>0</v>
      </c>
      <c r="CS8" s="451">
        <v>1178</v>
      </c>
      <c r="CT8" s="451">
        <v>0</v>
      </c>
      <c r="CU8" s="451">
        <v>0</v>
      </c>
      <c r="CV8" s="451">
        <v>0</v>
      </c>
      <c r="CW8" s="451">
        <v>0</v>
      </c>
      <c r="CX8" s="451">
        <v>2049</v>
      </c>
      <c r="CY8" s="451">
        <v>0</v>
      </c>
      <c r="CZ8" s="451">
        <v>0</v>
      </c>
      <c r="DA8" s="451">
        <v>2049</v>
      </c>
      <c r="DB8" s="451">
        <v>0</v>
      </c>
      <c r="DC8" s="451">
        <v>0</v>
      </c>
      <c r="DD8" s="451">
        <v>0</v>
      </c>
      <c r="DE8" s="451">
        <v>0</v>
      </c>
      <c r="DF8" s="451">
        <v>0</v>
      </c>
      <c r="DG8" s="451">
        <v>0</v>
      </c>
      <c r="DH8" s="451">
        <v>0</v>
      </c>
      <c r="DI8" s="451">
        <v>0</v>
      </c>
      <c r="DJ8" s="451">
        <v>0</v>
      </c>
      <c r="DK8" s="451">
        <v>0</v>
      </c>
      <c r="DL8" s="451">
        <v>0</v>
      </c>
      <c r="DM8" s="451">
        <v>0</v>
      </c>
      <c r="DN8" s="451">
        <v>0</v>
      </c>
      <c r="DO8" s="451">
        <v>0</v>
      </c>
      <c r="DP8" s="451">
        <v>0</v>
      </c>
      <c r="DQ8" s="451">
        <v>0</v>
      </c>
      <c r="DR8" s="451">
        <v>0</v>
      </c>
      <c r="DS8" s="451">
        <v>0</v>
      </c>
      <c r="DT8" s="451">
        <v>0</v>
      </c>
      <c r="DU8" s="451">
        <v>0</v>
      </c>
      <c r="DV8" s="451">
        <v>0</v>
      </c>
      <c r="DW8" s="451">
        <v>0</v>
      </c>
      <c r="DX8" s="451">
        <v>0</v>
      </c>
      <c r="DY8" s="451">
        <v>0</v>
      </c>
      <c r="DZ8" s="451">
        <v>0</v>
      </c>
      <c r="EA8" s="451">
        <v>0</v>
      </c>
      <c r="EB8" s="451">
        <v>0</v>
      </c>
      <c r="EC8" s="451">
        <v>0</v>
      </c>
      <c r="ED8" s="451">
        <v>0</v>
      </c>
      <c r="EE8" s="451">
        <v>0</v>
      </c>
      <c r="EF8" s="451">
        <v>0</v>
      </c>
      <c r="EG8" s="451">
        <v>0</v>
      </c>
      <c r="EH8" s="451">
        <v>0</v>
      </c>
      <c r="EI8" s="451">
        <v>0</v>
      </c>
      <c r="EJ8" s="451">
        <v>0</v>
      </c>
      <c r="EK8" s="451">
        <v>0</v>
      </c>
      <c r="EL8" s="451">
        <v>0</v>
      </c>
      <c r="EM8" s="451">
        <v>0</v>
      </c>
    </row>
    <row r="9" spans="1:143" ht="12.75" x14ac:dyDescent="0.2">
      <c r="A9" s="446">
        <v>3</v>
      </c>
      <c r="B9" s="447" t="s">
        <v>587</v>
      </c>
      <c r="C9" s="448" t="s">
        <v>1093</v>
      </c>
      <c r="D9" s="449" t="s">
        <v>1096</v>
      </c>
      <c r="E9" s="450" t="s">
        <v>586</v>
      </c>
      <c r="F9" s="451">
        <v>90336</v>
      </c>
      <c r="G9" s="451">
        <v>0</v>
      </c>
      <c r="H9" s="451">
        <v>0</v>
      </c>
      <c r="I9" s="451">
        <v>90336</v>
      </c>
      <c r="J9" s="451">
        <v>-33960</v>
      </c>
      <c r="K9" s="451">
        <v>0</v>
      </c>
      <c r="L9" s="451">
        <v>0</v>
      </c>
      <c r="M9" s="451">
        <v>-33960</v>
      </c>
      <c r="N9" s="451">
        <v>62340</v>
      </c>
      <c r="O9" s="451">
        <v>0</v>
      </c>
      <c r="P9" s="451">
        <v>0</v>
      </c>
      <c r="Q9" s="451">
        <v>62340</v>
      </c>
      <c r="R9" s="451">
        <v>34585</v>
      </c>
      <c r="S9" s="451">
        <v>0</v>
      </c>
      <c r="T9" s="451">
        <v>0</v>
      </c>
      <c r="U9" s="451">
        <v>34585</v>
      </c>
      <c r="V9" s="451">
        <v>2493335</v>
      </c>
      <c r="W9" s="451">
        <v>0</v>
      </c>
      <c r="X9" s="451">
        <v>0</v>
      </c>
      <c r="Y9" s="451">
        <v>2493335</v>
      </c>
      <c r="Z9" s="451">
        <v>38578</v>
      </c>
      <c r="AA9" s="451">
        <v>0</v>
      </c>
      <c r="AB9" s="451">
        <v>0</v>
      </c>
      <c r="AC9" s="451">
        <v>38578</v>
      </c>
      <c r="AD9" s="451">
        <v>578599</v>
      </c>
      <c r="AE9" s="451">
        <v>0</v>
      </c>
      <c r="AF9" s="451">
        <v>0</v>
      </c>
      <c r="AG9" s="451">
        <v>578599</v>
      </c>
      <c r="AH9" s="451">
        <v>-7955</v>
      </c>
      <c r="AI9" s="451">
        <v>0</v>
      </c>
      <c r="AJ9" s="451">
        <v>0</v>
      </c>
      <c r="AK9" s="451">
        <v>-7955</v>
      </c>
      <c r="AL9" s="451">
        <v>1588345</v>
      </c>
      <c r="AM9" s="451">
        <v>0</v>
      </c>
      <c r="AN9" s="451">
        <v>0</v>
      </c>
      <c r="AO9" s="451">
        <v>1588345</v>
      </c>
      <c r="AP9" s="451">
        <v>11330</v>
      </c>
      <c r="AQ9" s="451">
        <v>0</v>
      </c>
      <c r="AR9" s="451">
        <v>0</v>
      </c>
      <c r="AS9" s="451">
        <v>11330</v>
      </c>
      <c r="AT9" s="451">
        <v>39752</v>
      </c>
      <c r="AU9" s="451">
        <v>0</v>
      </c>
      <c r="AV9" s="451">
        <v>0</v>
      </c>
      <c r="AW9" s="451">
        <v>39752</v>
      </c>
      <c r="AX9" s="451">
        <v>0</v>
      </c>
      <c r="AY9" s="451">
        <v>0</v>
      </c>
      <c r="AZ9" s="451">
        <v>0</v>
      </c>
      <c r="BA9" s="451">
        <v>0</v>
      </c>
      <c r="BB9" s="451">
        <v>20291</v>
      </c>
      <c r="BC9" s="451">
        <v>0</v>
      </c>
      <c r="BD9" s="451">
        <v>0</v>
      </c>
      <c r="BE9" s="451">
        <v>20291</v>
      </c>
      <c r="BF9" s="451">
        <v>1065</v>
      </c>
      <c r="BG9" s="451">
        <v>0</v>
      </c>
      <c r="BH9" s="451">
        <v>0</v>
      </c>
      <c r="BI9" s="451">
        <v>1065</v>
      </c>
      <c r="BJ9" s="451">
        <v>138626</v>
      </c>
      <c r="BK9" s="451">
        <v>0</v>
      </c>
      <c r="BL9" s="451">
        <v>0</v>
      </c>
      <c r="BM9" s="451">
        <v>138626</v>
      </c>
      <c r="BN9" s="451">
        <v>1448</v>
      </c>
      <c r="BO9" s="451">
        <v>0</v>
      </c>
      <c r="BP9" s="451">
        <v>0</v>
      </c>
      <c r="BQ9" s="451">
        <v>1448</v>
      </c>
      <c r="BR9" s="451">
        <v>1369021</v>
      </c>
      <c r="BS9" s="451">
        <v>0</v>
      </c>
      <c r="BT9" s="451">
        <v>0</v>
      </c>
      <c r="BU9" s="451">
        <v>1369021</v>
      </c>
      <c r="BV9" s="451">
        <v>-54085</v>
      </c>
      <c r="BW9" s="451">
        <v>0</v>
      </c>
      <c r="BX9" s="451">
        <v>0</v>
      </c>
      <c r="BY9" s="451">
        <v>-54085</v>
      </c>
      <c r="BZ9" s="451">
        <v>41725</v>
      </c>
      <c r="CA9" s="451">
        <v>0</v>
      </c>
      <c r="CB9" s="451">
        <v>0</v>
      </c>
      <c r="CC9" s="451">
        <v>41725</v>
      </c>
      <c r="CD9" s="451">
        <v>357</v>
      </c>
      <c r="CE9" s="451">
        <v>0</v>
      </c>
      <c r="CF9" s="451">
        <v>0</v>
      </c>
      <c r="CG9" s="451">
        <v>357</v>
      </c>
      <c r="CH9" s="451">
        <v>64082</v>
      </c>
      <c r="CI9" s="451">
        <v>0</v>
      </c>
      <c r="CJ9" s="451">
        <v>0</v>
      </c>
      <c r="CK9" s="451">
        <v>64082</v>
      </c>
      <c r="CL9" s="451">
        <v>0</v>
      </c>
      <c r="CM9" s="451">
        <v>0</v>
      </c>
      <c r="CN9" s="451">
        <v>0</v>
      </c>
      <c r="CO9" s="451">
        <v>0</v>
      </c>
      <c r="CP9" s="451">
        <v>0</v>
      </c>
      <c r="CQ9" s="451">
        <v>0</v>
      </c>
      <c r="CR9" s="451">
        <v>0</v>
      </c>
      <c r="CS9" s="451">
        <v>0</v>
      </c>
      <c r="CT9" s="451">
        <v>0</v>
      </c>
      <c r="CU9" s="451">
        <v>0</v>
      </c>
      <c r="CV9" s="451">
        <v>0</v>
      </c>
      <c r="CW9" s="451">
        <v>0</v>
      </c>
      <c r="CX9" s="451">
        <v>20291</v>
      </c>
      <c r="CY9" s="451">
        <v>0</v>
      </c>
      <c r="CZ9" s="451">
        <v>0</v>
      </c>
      <c r="DA9" s="451">
        <v>20291</v>
      </c>
      <c r="DB9" s="451">
        <v>1065</v>
      </c>
      <c r="DC9" s="451">
        <v>0</v>
      </c>
      <c r="DD9" s="451">
        <v>0</v>
      </c>
      <c r="DE9" s="451">
        <v>1065</v>
      </c>
      <c r="DF9" s="451">
        <v>2042</v>
      </c>
      <c r="DG9" s="451">
        <v>0</v>
      </c>
      <c r="DH9" s="451">
        <v>0</v>
      </c>
      <c r="DI9" s="451">
        <v>2042</v>
      </c>
      <c r="DJ9" s="451">
        <v>0</v>
      </c>
      <c r="DK9" s="451">
        <v>0</v>
      </c>
      <c r="DL9" s="451">
        <v>0</v>
      </c>
      <c r="DM9" s="451">
        <v>0</v>
      </c>
      <c r="DN9" s="451">
        <v>0</v>
      </c>
      <c r="DO9" s="451">
        <v>0</v>
      </c>
      <c r="DP9" s="451">
        <v>0</v>
      </c>
      <c r="DQ9" s="451">
        <v>0</v>
      </c>
      <c r="DR9" s="451">
        <v>0</v>
      </c>
      <c r="DS9" s="451">
        <v>0</v>
      </c>
      <c r="DT9" s="451">
        <v>0</v>
      </c>
      <c r="DU9" s="451">
        <v>0</v>
      </c>
      <c r="DV9" s="451">
        <v>0</v>
      </c>
      <c r="DW9" s="451">
        <v>0</v>
      </c>
      <c r="DX9" s="451">
        <v>0</v>
      </c>
      <c r="DY9" s="451">
        <v>0</v>
      </c>
      <c r="DZ9" s="451">
        <v>0</v>
      </c>
      <c r="EA9" s="451">
        <v>0</v>
      </c>
      <c r="EB9" s="451">
        <v>0</v>
      </c>
      <c r="EC9" s="451">
        <v>0</v>
      </c>
      <c r="ED9" s="451">
        <v>0</v>
      </c>
      <c r="EE9" s="451">
        <v>0</v>
      </c>
      <c r="EF9" s="451">
        <v>0</v>
      </c>
      <c r="EG9" s="451">
        <v>0</v>
      </c>
      <c r="EH9" s="451">
        <v>0</v>
      </c>
      <c r="EI9" s="451">
        <v>0</v>
      </c>
      <c r="EJ9" s="451">
        <v>0</v>
      </c>
      <c r="EK9" s="451">
        <v>0</v>
      </c>
      <c r="EL9" s="451">
        <v>0</v>
      </c>
      <c r="EM9" s="451">
        <v>0</v>
      </c>
    </row>
    <row r="10" spans="1:143" ht="12.75" x14ac:dyDescent="0.2">
      <c r="A10" s="446">
        <v>4</v>
      </c>
      <c r="B10" s="447" t="s">
        <v>589</v>
      </c>
      <c r="C10" s="448" t="s">
        <v>1093</v>
      </c>
      <c r="D10" s="449" t="s">
        <v>1094</v>
      </c>
      <c r="E10" s="450" t="s">
        <v>588</v>
      </c>
      <c r="F10" s="451">
        <v>74952.67</v>
      </c>
      <c r="G10" s="451">
        <v>0</v>
      </c>
      <c r="H10" s="451">
        <v>0</v>
      </c>
      <c r="I10" s="451">
        <v>74952.67</v>
      </c>
      <c r="J10" s="451">
        <v>-84351.48</v>
      </c>
      <c r="K10" s="451">
        <v>0</v>
      </c>
      <c r="L10" s="451">
        <v>0</v>
      </c>
      <c r="M10" s="451">
        <v>-84351.48</v>
      </c>
      <c r="N10" s="451">
        <v>40631.480000000003</v>
      </c>
      <c r="O10" s="451">
        <v>0</v>
      </c>
      <c r="P10" s="451">
        <v>0</v>
      </c>
      <c r="Q10" s="451">
        <v>40631.480000000003</v>
      </c>
      <c r="R10" s="451">
        <v>143820.74</v>
      </c>
      <c r="S10" s="451">
        <v>0</v>
      </c>
      <c r="T10" s="451">
        <v>0</v>
      </c>
      <c r="U10" s="451">
        <v>143820.74</v>
      </c>
      <c r="V10" s="451">
        <v>2981063.67</v>
      </c>
      <c r="W10" s="451">
        <v>0</v>
      </c>
      <c r="X10" s="451">
        <v>0</v>
      </c>
      <c r="Y10" s="451">
        <v>2981063.67</v>
      </c>
      <c r="Z10" s="451">
        <v>120480.99</v>
      </c>
      <c r="AA10" s="451">
        <v>0</v>
      </c>
      <c r="AB10" s="451">
        <v>0</v>
      </c>
      <c r="AC10" s="451">
        <v>120480.99</v>
      </c>
      <c r="AD10" s="451">
        <v>596495.18000000005</v>
      </c>
      <c r="AE10" s="451">
        <v>0</v>
      </c>
      <c r="AF10" s="451">
        <v>0</v>
      </c>
      <c r="AG10" s="451">
        <v>596495.18000000005</v>
      </c>
      <c r="AH10" s="451">
        <v>4276.84</v>
      </c>
      <c r="AI10" s="451">
        <v>0</v>
      </c>
      <c r="AJ10" s="451">
        <v>0</v>
      </c>
      <c r="AK10" s="451">
        <v>4276.84</v>
      </c>
      <c r="AL10" s="451">
        <v>2343522.7999999998</v>
      </c>
      <c r="AM10" s="451">
        <v>0</v>
      </c>
      <c r="AN10" s="451">
        <v>0</v>
      </c>
      <c r="AO10" s="451">
        <v>2343522.7999999998</v>
      </c>
      <c r="AP10" s="451">
        <v>54526.41</v>
      </c>
      <c r="AQ10" s="451">
        <v>0</v>
      </c>
      <c r="AR10" s="451">
        <v>0</v>
      </c>
      <c r="AS10" s="451">
        <v>54526.41</v>
      </c>
      <c r="AT10" s="451">
        <v>79804.13</v>
      </c>
      <c r="AU10" s="451">
        <v>0</v>
      </c>
      <c r="AV10" s="451">
        <v>0</v>
      </c>
      <c r="AW10" s="451">
        <v>79804.13</v>
      </c>
      <c r="AX10" s="451">
        <v>0</v>
      </c>
      <c r="AY10" s="451">
        <v>0</v>
      </c>
      <c r="AZ10" s="451">
        <v>0</v>
      </c>
      <c r="BA10" s="451">
        <v>0</v>
      </c>
      <c r="BB10" s="451">
        <v>7170.99</v>
      </c>
      <c r="BC10" s="451">
        <v>0</v>
      </c>
      <c r="BD10" s="451">
        <v>0</v>
      </c>
      <c r="BE10" s="451">
        <v>7170.99</v>
      </c>
      <c r="BF10" s="451">
        <v>0</v>
      </c>
      <c r="BG10" s="451">
        <v>0</v>
      </c>
      <c r="BH10" s="451">
        <v>0</v>
      </c>
      <c r="BI10" s="451">
        <v>0</v>
      </c>
      <c r="BJ10" s="451">
        <v>879.29</v>
      </c>
      <c r="BK10" s="451">
        <v>0</v>
      </c>
      <c r="BL10" s="451">
        <v>0</v>
      </c>
      <c r="BM10" s="451">
        <v>879.29</v>
      </c>
      <c r="BN10" s="451">
        <v>12024.03</v>
      </c>
      <c r="BO10" s="451">
        <v>0</v>
      </c>
      <c r="BP10" s="451">
        <v>0</v>
      </c>
      <c r="BQ10" s="451">
        <v>12024.03</v>
      </c>
      <c r="BR10" s="451">
        <v>741002.84</v>
      </c>
      <c r="BS10" s="451">
        <v>0</v>
      </c>
      <c r="BT10" s="451">
        <v>0</v>
      </c>
      <c r="BU10" s="451">
        <v>741002.84</v>
      </c>
      <c r="BV10" s="451">
        <v>180847.51</v>
      </c>
      <c r="BW10" s="451">
        <v>0</v>
      </c>
      <c r="BX10" s="451">
        <v>0</v>
      </c>
      <c r="BY10" s="451">
        <v>180847.51</v>
      </c>
      <c r="BZ10" s="451">
        <v>96300.93</v>
      </c>
      <c r="CA10" s="451">
        <v>0</v>
      </c>
      <c r="CB10" s="451">
        <v>0</v>
      </c>
      <c r="CC10" s="451">
        <v>96300.93</v>
      </c>
      <c r="CD10" s="451">
        <v>244.87</v>
      </c>
      <c r="CE10" s="451">
        <v>0</v>
      </c>
      <c r="CF10" s="451">
        <v>0</v>
      </c>
      <c r="CG10" s="451">
        <v>244.87</v>
      </c>
      <c r="CH10" s="451">
        <v>13567.41</v>
      </c>
      <c r="CI10" s="451">
        <v>0</v>
      </c>
      <c r="CJ10" s="451">
        <v>0</v>
      </c>
      <c r="CK10" s="451">
        <v>13567.41</v>
      </c>
      <c r="CL10" s="451">
        <v>598.72</v>
      </c>
      <c r="CM10" s="451">
        <v>0</v>
      </c>
      <c r="CN10" s="451">
        <v>0</v>
      </c>
      <c r="CO10" s="451">
        <v>598.72</v>
      </c>
      <c r="CP10" s="451">
        <v>566.6</v>
      </c>
      <c r="CQ10" s="451">
        <v>0</v>
      </c>
      <c r="CR10" s="451">
        <v>0</v>
      </c>
      <c r="CS10" s="451">
        <v>566.6</v>
      </c>
      <c r="CT10" s="451">
        <v>0</v>
      </c>
      <c r="CU10" s="451">
        <v>0</v>
      </c>
      <c r="CV10" s="451">
        <v>0</v>
      </c>
      <c r="CW10" s="451">
        <v>0</v>
      </c>
      <c r="CX10" s="451">
        <v>3820.98</v>
      </c>
      <c r="CY10" s="451">
        <v>0</v>
      </c>
      <c r="CZ10" s="451">
        <v>0</v>
      </c>
      <c r="DA10" s="451">
        <v>3820.98</v>
      </c>
      <c r="DB10" s="451">
        <v>0</v>
      </c>
      <c r="DC10" s="451">
        <v>0</v>
      </c>
      <c r="DD10" s="451">
        <v>0</v>
      </c>
      <c r="DE10" s="451">
        <v>0</v>
      </c>
      <c r="DF10" s="451">
        <v>0</v>
      </c>
      <c r="DG10" s="451">
        <v>0</v>
      </c>
      <c r="DH10" s="451">
        <v>0</v>
      </c>
      <c r="DI10" s="451">
        <v>0</v>
      </c>
      <c r="DJ10" s="451">
        <v>0</v>
      </c>
      <c r="DK10" s="451">
        <v>0</v>
      </c>
      <c r="DL10" s="451">
        <v>0</v>
      </c>
      <c r="DM10" s="451">
        <v>0</v>
      </c>
      <c r="DN10" s="451">
        <v>0</v>
      </c>
      <c r="DO10" s="451">
        <v>0</v>
      </c>
      <c r="DP10" s="451">
        <v>0</v>
      </c>
      <c r="DQ10" s="451">
        <v>0</v>
      </c>
      <c r="DR10" s="451">
        <v>0</v>
      </c>
      <c r="DS10" s="451">
        <v>0</v>
      </c>
      <c r="DT10" s="451">
        <v>0</v>
      </c>
      <c r="DU10" s="451">
        <v>0</v>
      </c>
      <c r="DV10" s="451">
        <v>0</v>
      </c>
      <c r="DW10" s="451">
        <v>0</v>
      </c>
      <c r="DX10" s="451">
        <v>0</v>
      </c>
      <c r="DY10" s="451">
        <v>0</v>
      </c>
      <c r="DZ10" s="451">
        <v>0</v>
      </c>
      <c r="EA10" s="451">
        <v>0</v>
      </c>
      <c r="EB10" s="451">
        <v>0</v>
      </c>
      <c r="EC10" s="451">
        <v>0</v>
      </c>
      <c r="ED10" s="451">
        <v>0</v>
      </c>
      <c r="EE10" s="451">
        <v>0</v>
      </c>
      <c r="EF10" s="451">
        <v>6402</v>
      </c>
      <c r="EG10" s="451">
        <v>0</v>
      </c>
      <c r="EH10" s="451">
        <v>0</v>
      </c>
      <c r="EI10" s="451">
        <v>6402</v>
      </c>
      <c r="EJ10" s="451">
        <v>463</v>
      </c>
      <c r="EK10" s="451">
        <v>0</v>
      </c>
      <c r="EL10" s="451">
        <v>0</v>
      </c>
      <c r="EM10" s="451">
        <v>463</v>
      </c>
    </row>
    <row r="11" spans="1:143" ht="12.75" x14ac:dyDescent="0.2">
      <c r="A11" s="446">
        <v>5</v>
      </c>
      <c r="B11" s="447" t="s">
        <v>591</v>
      </c>
      <c r="C11" s="448" t="s">
        <v>1093</v>
      </c>
      <c r="D11" s="449" t="s">
        <v>1096</v>
      </c>
      <c r="E11" s="450" t="s">
        <v>590</v>
      </c>
      <c r="F11" s="451">
        <v>88906</v>
      </c>
      <c r="G11" s="451">
        <v>0</v>
      </c>
      <c r="H11" s="451">
        <v>0</v>
      </c>
      <c r="I11" s="451">
        <v>88906</v>
      </c>
      <c r="J11" s="451">
        <v>-90831</v>
      </c>
      <c r="K11" s="451">
        <v>0</v>
      </c>
      <c r="L11" s="451">
        <v>0</v>
      </c>
      <c r="M11" s="451">
        <v>-90831</v>
      </c>
      <c r="N11" s="451">
        <v>94627</v>
      </c>
      <c r="O11" s="451">
        <v>0</v>
      </c>
      <c r="P11" s="451">
        <v>0</v>
      </c>
      <c r="Q11" s="451">
        <v>94627</v>
      </c>
      <c r="R11" s="451">
        <v>53835</v>
      </c>
      <c r="S11" s="451">
        <v>0</v>
      </c>
      <c r="T11" s="451">
        <v>0</v>
      </c>
      <c r="U11" s="451">
        <v>53835</v>
      </c>
      <c r="V11" s="451">
        <v>1711788</v>
      </c>
      <c r="W11" s="451">
        <v>0</v>
      </c>
      <c r="X11" s="451">
        <v>0</v>
      </c>
      <c r="Y11" s="451">
        <v>1711788</v>
      </c>
      <c r="Z11" s="451">
        <v>52316</v>
      </c>
      <c r="AA11" s="451">
        <v>0</v>
      </c>
      <c r="AB11" s="451">
        <v>0</v>
      </c>
      <c r="AC11" s="451">
        <v>52316</v>
      </c>
      <c r="AD11" s="451">
        <v>614242</v>
      </c>
      <c r="AE11" s="451">
        <v>0</v>
      </c>
      <c r="AF11" s="451">
        <v>0</v>
      </c>
      <c r="AG11" s="451">
        <v>614242</v>
      </c>
      <c r="AH11" s="451">
        <v>-2398</v>
      </c>
      <c r="AI11" s="451">
        <v>0</v>
      </c>
      <c r="AJ11" s="451">
        <v>0</v>
      </c>
      <c r="AK11" s="451">
        <v>-2398</v>
      </c>
      <c r="AL11" s="451">
        <v>1424109</v>
      </c>
      <c r="AM11" s="451">
        <v>0</v>
      </c>
      <c r="AN11" s="451">
        <v>0</v>
      </c>
      <c r="AO11" s="451">
        <v>1424109</v>
      </c>
      <c r="AP11" s="451">
        <v>217262</v>
      </c>
      <c r="AQ11" s="451">
        <v>0</v>
      </c>
      <c r="AR11" s="451">
        <v>0</v>
      </c>
      <c r="AS11" s="451">
        <v>217262</v>
      </c>
      <c r="AT11" s="451">
        <v>4220</v>
      </c>
      <c r="AU11" s="451">
        <v>0</v>
      </c>
      <c r="AV11" s="451">
        <v>0</v>
      </c>
      <c r="AW11" s="451">
        <v>4220</v>
      </c>
      <c r="AX11" s="451">
        <v>0</v>
      </c>
      <c r="AY11" s="451">
        <v>0</v>
      </c>
      <c r="AZ11" s="451">
        <v>0</v>
      </c>
      <c r="BA11" s="451">
        <v>0</v>
      </c>
      <c r="BB11" s="451">
        <v>13430</v>
      </c>
      <c r="BC11" s="451">
        <v>0</v>
      </c>
      <c r="BD11" s="451">
        <v>0</v>
      </c>
      <c r="BE11" s="451">
        <v>13430</v>
      </c>
      <c r="BF11" s="451">
        <v>460</v>
      </c>
      <c r="BG11" s="451">
        <v>0</v>
      </c>
      <c r="BH11" s="451">
        <v>0</v>
      </c>
      <c r="BI11" s="451">
        <v>460</v>
      </c>
      <c r="BJ11" s="451">
        <v>0</v>
      </c>
      <c r="BK11" s="451">
        <v>0</v>
      </c>
      <c r="BL11" s="451">
        <v>0</v>
      </c>
      <c r="BM11" s="451">
        <v>0</v>
      </c>
      <c r="BN11" s="451">
        <v>44570</v>
      </c>
      <c r="BO11" s="451">
        <v>0</v>
      </c>
      <c r="BP11" s="451">
        <v>0</v>
      </c>
      <c r="BQ11" s="451">
        <v>44570</v>
      </c>
      <c r="BR11" s="451">
        <v>770019</v>
      </c>
      <c r="BS11" s="451">
        <v>0</v>
      </c>
      <c r="BT11" s="451">
        <v>0</v>
      </c>
      <c r="BU11" s="451">
        <v>770019</v>
      </c>
      <c r="BV11" s="451">
        <v>-16805</v>
      </c>
      <c r="BW11" s="451">
        <v>0</v>
      </c>
      <c r="BX11" s="451">
        <v>0</v>
      </c>
      <c r="BY11" s="451">
        <v>-16805</v>
      </c>
      <c r="BZ11" s="451">
        <v>135067</v>
      </c>
      <c r="CA11" s="451">
        <v>0</v>
      </c>
      <c r="CB11" s="451">
        <v>0</v>
      </c>
      <c r="CC11" s="451">
        <v>135067</v>
      </c>
      <c r="CD11" s="451">
        <v>299</v>
      </c>
      <c r="CE11" s="451">
        <v>0</v>
      </c>
      <c r="CF11" s="451">
        <v>0</v>
      </c>
      <c r="CG11" s="451">
        <v>299</v>
      </c>
      <c r="CH11" s="451">
        <v>44109</v>
      </c>
      <c r="CI11" s="451">
        <v>0</v>
      </c>
      <c r="CJ11" s="451">
        <v>0</v>
      </c>
      <c r="CK11" s="451">
        <v>44109</v>
      </c>
      <c r="CL11" s="451">
        <v>0</v>
      </c>
      <c r="CM11" s="451">
        <v>0</v>
      </c>
      <c r="CN11" s="451">
        <v>0</v>
      </c>
      <c r="CO11" s="451">
        <v>0</v>
      </c>
      <c r="CP11" s="451">
        <v>0</v>
      </c>
      <c r="CQ11" s="451">
        <v>0</v>
      </c>
      <c r="CR11" s="451">
        <v>0</v>
      </c>
      <c r="CS11" s="451">
        <v>0</v>
      </c>
      <c r="CT11" s="451">
        <v>0</v>
      </c>
      <c r="CU11" s="451">
        <v>0</v>
      </c>
      <c r="CV11" s="451">
        <v>0</v>
      </c>
      <c r="CW11" s="451">
        <v>0</v>
      </c>
      <c r="CX11" s="451">
        <v>7518</v>
      </c>
      <c r="CY11" s="451">
        <v>0</v>
      </c>
      <c r="CZ11" s="451">
        <v>0</v>
      </c>
      <c r="DA11" s="451">
        <v>7518</v>
      </c>
      <c r="DB11" s="451">
        <v>460</v>
      </c>
      <c r="DC11" s="451">
        <v>0</v>
      </c>
      <c r="DD11" s="451">
        <v>0</v>
      </c>
      <c r="DE11" s="451">
        <v>460</v>
      </c>
      <c r="DF11" s="451">
        <v>3381</v>
      </c>
      <c r="DG11" s="451">
        <v>0</v>
      </c>
      <c r="DH11" s="451">
        <v>0</v>
      </c>
      <c r="DI11" s="451">
        <v>3381</v>
      </c>
      <c r="DJ11" s="451">
        <v>0</v>
      </c>
      <c r="DK11" s="451">
        <v>0</v>
      </c>
      <c r="DL11" s="451">
        <v>0</v>
      </c>
      <c r="DM11" s="451">
        <v>0</v>
      </c>
      <c r="DN11" s="451">
        <v>0</v>
      </c>
      <c r="DO11" s="451">
        <v>0</v>
      </c>
      <c r="DP11" s="451">
        <v>0</v>
      </c>
      <c r="DQ11" s="451">
        <v>0</v>
      </c>
      <c r="DR11" s="451">
        <v>0</v>
      </c>
      <c r="DS11" s="451">
        <v>0</v>
      </c>
      <c r="DT11" s="451">
        <v>0</v>
      </c>
      <c r="DU11" s="451">
        <v>0</v>
      </c>
      <c r="DV11" s="451">
        <v>0</v>
      </c>
      <c r="DW11" s="451">
        <v>0</v>
      </c>
      <c r="DX11" s="451">
        <v>0</v>
      </c>
      <c r="DY11" s="451">
        <v>0</v>
      </c>
      <c r="DZ11" s="451">
        <v>0</v>
      </c>
      <c r="EA11" s="451">
        <v>0</v>
      </c>
      <c r="EB11" s="451">
        <v>0</v>
      </c>
      <c r="EC11" s="451">
        <v>0</v>
      </c>
      <c r="ED11" s="451">
        <v>0</v>
      </c>
      <c r="EE11" s="451">
        <v>0</v>
      </c>
      <c r="EF11" s="451">
        <v>0</v>
      </c>
      <c r="EG11" s="451">
        <v>0</v>
      </c>
      <c r="EH11" s="451">
        <v>0</v>
      </c>
      <c r="EI11" s="451">
        <v>0</v>
      </c>
      <c r="EJ11" s="451">
        <v>0</v>
      </c>
      <c r="EK11" s="451">
        <v>0</v>
      </c>
      <c r="EL11" s="451">
        <v>0</v>
      </c>
      <c r="EM11" s="451">
        <v>0</v>
      </c>
    </row>
    <row r="12" spans="1:143" ht="12.75" x14ac:dyDescent="0.2">
      <c r="A12" s="446">
        <v>6</v>
      </c>
      <c r="B12" s="447" t="s">
        <v>593</v>
      </c>
      <c r="C12" s="448" t="s">
        <v>1093</v>
      </c>
      <c r="D12" s="449" t="s">
        <v>1094</v>
      </c>
      <c r="E12" s="450" t="s">
        <v>592</v>
      </c>
      <c r="F12" s="451">
        <v>103280</v>
      </c>
      <c r="G12" s="451">
        <v>0</v>
      </c>
      <c r="H12" s="451">
        <v>0</v>
      </c>
      <c r="I12" s="451">
        <v>103280</v>
      </c>
      <c r="J12" s="451">
        <v>195926</v>
      </c>
      <c r="K12" s="451">
        <v>0</v>
      </c>
      <c r="L12" s="451">
        <v>0</v>
      </c>
      <c r="M12" s="451">
        <v>195926</v>
      </c>
      <c r="N12" s="451">
        <v>43652</v>
      </c>
      <c r="O12" s="451">
        <v>0</v>
      </c>
      <c r="P12" s="451">
        <v>0</v>
      </c>
      <c r="Q12" s="451">
        <v>43652</v>
      </c>
      <c r="R12" s="451">
        <v>57996</v>
      </c>
      <c r="S12" s="451">
        <v>0</v>
      </c>
      <c r="T12" s="451">
        <v>0</v>
      </c>
      <c r="U12" s="451">
        <v>57996</v>
      </c>
      <c r="V12" s="451">
        <v>2351526</v>
      </c>
      <c r="W12" s="451">
        <v>0</v>
      </c>
      <c r="X12" s="451">
        <v>0</v>
      </c>
      <c r="Y12" s="451">
        <v>2351526</v>
      </c>
      <c r="Z12" s="451">
        <v>173407</v>
      </c>
      <c r="AA12" s="451">
        <v>0</v>
      </c>
      <c r="AB12" s="451">
        <v>0</v>
      </c>
      <c r="AC12" s="451">
        <v>173407</v>
      </c>
      <c r="AD12" s="451">
        <v>888365</v>
      </c>
      <c r="AE12" s="451">
        <v>0</v>
      </c>
      <c r="AF12" s="451">
        <v>0</v>
      </c>
      <c r="AG12" s="451">
        <v>888365</v>
      </c>
      <c r="AH12" s="451">
        <v>14800</v>
      </c>
      <c r="AI12" s="451">
        <v>0</v>
      </c>
      <c r="AJ12" s="451">
        <v>0</v>
      </c>
      <c r="AK12" s="451">
        <v>14800</v>
      </c>
      <c r="AL12" s="451">
        <v>2974952</v>
      </c>
      <c r="AM12" s="451">
        <v>0</v>
      </c>
      <c r="AN12" s="451">
        <v>0</v>
      </c>
      <c r="AO12" s="451">
        <v>2974952</v>
      </c>
      <c r="AP12" s="451">
        <v>23160</v>
      </c>
      <c r="AQ12" s="451">
        <v>0</v>
      </c>
      <c r="AR12" s="451">
        <v>0</v>
      </c>
      <c r="AS12" s="451">
        <v>23160</v>
      </c>
      <c r="AT12" s="451">
        <v>84654</v>
      </c>
      <c r="AU12" s="451">
        <v>0</v>
      </c>
      <c r="AV12" s="451">
        <v>0</v>
      </c>
      <c r="AW12" s="451">
        <v>84654</v>
      </c>
      <c r="AX12" s="451">
        <v>14941</v>
      </c>
      <c r="AY12" s="451">
        <v>0</v>
      </c>
      <c r="AZ12" s="451">
        <v>0</v>
      </c>
      <c r="BA12" s="451">
        <v>14941</v>
      </c>
      <c r="BB12" s="451">
        <v>36554</v>
      </c>
      <c r="BC12" s="451">
        <v>0</v>
      </c>
      <c r="BD12" s="451">
        <v>0</v>
      </c>
      <c r="BE12" s="451">
        <v>36554</v>
      </c>
      <c r="BF12" s="451">
        <v>0</v>
      </c>
      <c r="BG12" s="451">
        <v>0</v>
      </c>
      <c r="BH12" s="451">
        <v>0</v>
      </c>
      <c r="BI12" s="451">
        <v>0</v>
      </c>
      <c r="BJ12" s="451">
        <v>53113</v>
      </c>
      <c r="BK12" s="451">
        <v>0</v>
      </c>
      <c r="BL12" s="451">
        <v>0</v>
      </c>
      <c r="BM12" s="451">
        <v>53113</v>
      </c>
      <c r="BN12" s="451">
        <v>18307</v>
      </c>
      <c r="BO12" s="451">
        <v>0</v>
      </c>
      <c r="BP12" s="451">
        <v>0</v>
      </c>
      <c r="BQ12" s="451">
        <v>18307</v>
      </c>
      <c r="BR12" s="451">
        <v>1894888</v>
      </c>
      <c r="BS12" s="451">
        <v>0</v>
      </c>
      <c r="BT12" s="451">
        <v>0</v>
      </c>
      <c r="BU12" s="451">
        <v>1894888</v>
      </c>
      <c r="BV12" s="451">
        <v>80218</v>
      </c>
      <c r="BW12" s="451">
        <v>0</v>
      </c>
      <c r="BX12" s="451">
        <v>0</v>
      </c>
      <c r="BY12" s="451">
        <v>80218</v>
      </c>
      <c r="BZ12" s="451">
        <v>168438</v>
      </c>
      <c r="CA12" s="451">
        <v>0</v>
      </c>
      <c r="CB12" s="451">
        <v>0</v>
      </c>
      <c r="CC12" s="451">
        <v>168438</v>
      </c>
      <c r="CD12" s="451">
        <v>-3772</v>
      </c>
      <c r="CE12" s="451">
        <v>0</v>
      </c>
      <c r="CF12" s="451">
        <v>0</v>
      </c>
      <c r="CG12" s="451">
        <v>-3772</v>
      </c>
      <c r="CH12" s="451">
        <v>99341</v>
      </c>
      <c r="CI12" s="451">
        <v>0</v>
      </c>
      <c r="CJ12" s="451">
        <v>0</v>
      </c>
      <c r="CK12" s="451">
        <v>99341</v>
      </c>
      <c r="CL12" s="451">
        <v>5249</v>
      </c>
      <c r="CM12" s="451">
        <v>0</v>
      </c>
      <c r="CN12" s="451">
        <v>0</v>
      </c>
      <c r="CO12" s="451">
        <v>5249</v>
      </c>
      <c r="CP12" s="451">
        <v>13830</v>
      </c>
      <c r="CQ12" s="451">
        <v>0</v>
      </c>
      <c r="CR12" s="451">
        <v>0</v>
      </c>
      <c r="CS12" s="451">
        <v>13830</v>
      </c>
      <c r="CT12" s="451">
        <v>0</v>
      </c>
      <c r="CU12" s="451">
        <v>0</v>
      </c>
      <c r="CV12" s="451">
        <v>0</v>
      </c>
      <c r="CW12" s="451">
        <v>0</v>
      </c>
      <c r="CX12" s="451">
        <v>14364</v>
      </c>
      <c r="CY12" s="451">
        <v>0</v>
      </c>
      <c r="CZ12" s="451">
        <v>0</v>
      </c>
      <c r="DA12" s="451">
        <v>14364</v>
      </c>
      <c r="DB12" s="451">
        <v>0</v>
      </c>
      <c r="DC12" s="451">
        <v>0</v>
      </c>
      <c r="DD12" s="451">
        <v>0</v>
      </c>
      <c r="DE12" s="451">
        <v>0</v>
      </c>
      <c r="DF12" s="451">
        <v>49484</v>
      </c>
      <c r="DG12" s="451">
        <v>0</v>
      </c>
      <c r="DH12" s="451">
        <v>0</v>
      </c>
      <c r="DI12" s="451">
        <v>49484</v>
      </c>
      <c r="DJ12" s="451">
        <v>-392</v>
      </c>
      <c r="DK12" s="451">
        <v>0</v>
      </c>
      <c r="DL12" s="451">
        <v>0</v>
      </c>
      <c r="DM12" s="451">
        <v>-392</v>
      </c>
      <c r="DN12" s="451">
        <v>0</v>
      </c>
      <c r="DO12" s="451">
        <v>0</v>
      </c>
      <c r="DP12" s="451">
        <v>0</v>
      </c>
      <c r="DQ12" s="451">
        <v>0</v>
      </c>
      <c r="DR12" s="451">
        <v>0</v>
      </c>
      <c r="DS12" s="451">
        <v>0</v>
      </c>
      <c r="DT12" s="451">
        <v>0</v>
      </c>
      <c r="DU12" s="451">
        <v>0</v>
      </c>
      <c r="DV12" s="451">
        <v>0</v>
      </c>
      <c r="DW12" s="451">
        <v>0</v>
      </c>
      <c r="DX12" s="451">
        <v>0</v>
      </c>
      <c r="DY12" s="451">
        <v>0</v>
      </c>
      <c r="DZ12" s="451">
        <v>0</v>
      </c>
      <c r="EA12" s="451">
        <v>0</v>
      </c>
      <c r="EB12" s="451">
        <v>0</v>
      </c>
      <c r="EC12" s="451">
        <v>0</v>
      </c>
      <c r="ED12" s="451">
        <v>0</v>
      </c>
      <c r="EE12" s="451">
        <v>0</v>
      </c>
      <c r="EF12" s="451">
        <v>0</v>
      </c>
      <c r="EG12" s="451">
        <v>0</v>
      </c>
      <c r="EH12" s="451">
        <v>0</v>
      </c>
      <c r="EI12" s="451">
        <v>0</v>
      </c>
      <c r="EJ12" s="451">
        <v>0</v>
      </c>
      <c r="EK12" s="451">
        <v>0</v>
      </c>
      <c r="EL12" s="451">
        <v>0</v>
      </c>
      <c r="EM12" s="451">
        <v>0</v>
      </c>
    </row>
    <row r="13" spans="1:143" ht="12.75" x14ac:dyDescent="0.2">
      <c r="A13" s="446">
        <v>7</v>
      </c>
      <c r="B13" s="447" t="s">
        <v>595</v>
      </c>
      <c r="C13" s="448" t="s">
        <v>1093</v>
      </c>
      <c r="D13" s="449" t="s">
        <v>1094</v>
      </c>
      <c r="E13" s="450" t="s">
        <v>594</v>
      </c>
      <c r="F13" s="451">
        <v>58559</v>
      </c>
      <c r="G13" s="451">
        <v>0</v>
      </c>
      <c r="H13" s="451">
        <v>0</v>
      </c>
      <c r="I13" s="451">
        <v>58559</v>
      </c>
      <c r="J13" s="451">
        <v>172739</v>
      </c>
      <c r="K13" s="451">
        <v>0</v>
      </c>
      <c r="L13" s="451">
        <v>0</v>
      </c>
      <c r="M13" s="451">
        <v>172739</v>
      </c>
      <c r="N13" s="451">
        <v>98282.08</v>
      </c>
      <c r="O13" s="451">
        <v>0</v>
      </c>
      <c r="P13" s="451">
        <v>0</v>
      </c>
      <c r="Q13" s="451">
        <v>98282.08</v>
      </c>
      <c r="R13" s="451">
        <v>-107838</v>
      </c>
      <c r="S13" s="451">
        <v>0</v>
      </c>
      <c r="T13" s="451">
        <v>0</v>
      </c>
      <c r="U13" s="451">
        <v>-107838</v>
      </c>
      <c r="V13" s="451">
        <v>2930953</v>
      </c>
      <c r="W13" s="451">
        <v>0</v>
      </c>
      <c r="X13" s="451">
        <v>0</v>
      </c>
      <c r="Y13" s="451">
        <v>2930953</v>
      </c>
      <c r="Z13" s="451">
        <v>139064</v>
      </c>
      <c r="AA13" s="451">
        <v>0</v>
      </c>
      <c r="AB13" s="451">
        <v>0</v>
      </c>
      <c r="AC13" s="451">
        <v>139064</v>
      </c>
      <c r="AD13" s="451">
        <v>947449.45</v>
      </c>
      <c r="AE13" s="451">
        <v>0</v>
      </c>
      <c r="AF13" s="451">
        <v>0</v>
      </c>
      <c r="AG13" s="451">
        <v>947449.45</v>
      </c>
      <c r="AH13" s="451">
        <v>-18290.259999999998</v>
      </c>
      <c r="AI13" s="451">
        <v>0</v>
      </c>
      <c r="AJ13" s="451">
        <v>0</v>
      </c>
      <c r="AK13" s="451">
        <v>-18290.259999999998</v>
      </c>
      <c r="AL13" s="451">
        <v>3804849.75</v>
      </c>
      <c r="AM13" s="451">
        <v>0</v>
      </c>
      <c r="AN13" s="451">
        <v>0</v>
      </c>
      <c r="AO13" s="451">
        <v>3804849.75</v>
      </c>
      <c r="AP13" s="451">
        <v>-88737.51</v>
      </c>
      <c r="AQ13" s="451">
        <v>0</v>
      </c>
      <c r="AR13" s="451">
        <v>0</v>
      </c>
      <c r="AS13" s="451">
        <v>-88737.51</v>
      </c>
      <c r="AT13" s="451">
        <v>27485.68</v>
      </c>
      <c r="AU13" s="451">
        <v>0</v>
      </c>
      <c r="AV13" s="451">
        <v>0</v>
      </c>
      <c r="AW13" s="451">
        <v>27485.68</v>
      </c>
      <c r="AX13" s="451">
        <v>2346</v>
      </c>
      <c r="AY13" s="451">
        <v>0</v>
      </c>
      <c r="AZ13" s="451">
        <v>0</v>
      </c>
      <c r="BA13" s="451">
        <v>2346</v>
      </c>
      <c r="BB13" s="451">
        <v>55279.46</v>
      </c>
      <c r="BC13" s="451">
        <v>0</v>
      </c>
      <c r="BD13" s="451">
        <v>0</v>
      </c>
      <c r="BE13" s="451">
        <v>55279.46</v>
      </c>
      <c r="BF13" s="451">
        <v>17641</v>
      </c>
      <c r="BG13" s="451">
        <v>0</v>
      </c>
      <c r="BH13" s="451">
        <v>0</v>
      </c>
      <c r="BI13" s="451">
        <v>17641</v>
      </c>
      <c r="BJ13" s="451">
        <v>23344</v>
      </c>
      <c r="BK13" s="451">
        <v>0</v>
      </c>
      <c r="BL13" s="451">
        <v>0</v>
      </c>
      <c r="BM13" s="451">
        <v>23344</v>
      </c>
      <c r="BN13" s="451">
        <v>66167.240000000005</v>
      </c>
      <c r="BO13" s="451">
        <v>0</v>
      </c>
      <c r="BP13" s="451">
        <v>0</v>
      </c>
      <c r="BQ13" s="451">
        <v>66167.240000000005</v>
      </c>
      <c r="BR13" s="451">
        <v>3134446</v>
      </c>
      <c r="BS13" s="451">
        <v>0</v>
      </c>
      <c r="BT13" s="451">
        <v>0</v>
      </c>
      <c r="BU13" s="451">
        <v>3134446</v>
      </c>
      <c r="BV13" s="451">
        <v>112035</v>
      </c>
      <c r="BW13" s="451">
        <v>0</v>
      </c>
      <c r="BX13" s="451">
        <v>0</v>
      </c>
      <c r="BY13" s="451">
        <v>112035</v>
      </c>
      <c r="BZ13" s="451">
        <v>133954</v>
      </c>
      <c r="CA13" s="451">
        <v>0</v>
      </c>
      <c r="CB13" s="451">
        <v>0</v>
      </c>
      <c r="CC13" s="451">
        <v>133954</v>
      </c>
      <c r="CD13" s="451">
        <v>-1336</v>
      </c>
      <c r="CE13" s="451">
        <v>0</v>
      </c>
      <c r="CF13" s="451">
        <v>0</v>
      </c>
      <c r="CG13" s="451">
        <v>-1336</v>
      </c>
      <c r="CH13" s="451">
        <v>138467</v>
      </c>
      <c r="CI13" s="451">
        <v>0</v>
      </c>
      <c r="CJ13" s="451">
        <v>0</v>
      </c>
      <c r="CK13" s="451">
        <v>138467</v>
      </c>
      <c r="CL13" s="451">
        <v>-5849</v>
      </c>
      <c r="CM13" s="451">
        <v>0</v>
      </c>
      <c r="CN13" s="451">
        <v>0</v>
      </c>
      <c r="CO13" s="451">
        <v>-5849</v>
      </c>
      <c r="CP13" s="451">
        <v>2138</v>
      </c>
      <c r="CQ13" s="451">
        <v>0</v>
      </c>
      <c r="CR13" s="451">
        <v>0</v>
      </c>
      <c r="CS13" s="451">
        <v>2138</v>
      </c>
      <c r="CT13" s="451">
        <v>586</v>
      </c>
      <c r="CU13" s="451">
        <v>0</v>
      </c>
      <c r="CV13" s="451">
        <v>0</v>
      </c>
      <c r="CW13" s="451">
        <v>586</v>
      </c>
      <c r="CX13" s="451">
        <v>0</v>
      </c>
      <c r="CY13" s="451">
        <v>0</v>
      </c>
      <c r="CZ13" s="451">
        <v>0</v>
      </c>
      <c r="DA13" s="451">
        <v>0</v>
      </c>
      <c r="DB13" s="451">
        <v>0</v>
      </c>
      <c r="DC13" s="451">
        <v>0</v>
      </c>
      <c r="DD13" s="451">
        <v>0</v>
      </c>
      <c r="DE13" s="451">
        <v>0</v>
      </c>
      <c r="DF13" s="451">
        <v>0</v>
      </c>
      <c r="DG13" s="451">
        <v>0</v>
      </c>
      <c r="DH13" s="451">
        <v>0</v>
      </c>
      <c r="DI13" s="451">
        <v>0</v>
      </c>
      <c r="DJ13" s="451">
        <v>0</v>
      </c>
      <c r="DK13" s="451">
        <v>0</v>
      </c>
      <c r="DL13" s="451">
        <v>0</v>
      </c>
      <c r="DM13" s="451">
        <v>0</v>
      </c>
      <c r="DN13" s="451">
        <v>0</v>
      </c>
      <c r="DO13" s="451">
        <v>0</v>
      </c>
      <c r="DP13" s="451">
        <v>0</v>
      </c>
      <c r="DQ13" s="451">
        <v>0</v>
      </c>
      <c r="DR13" s="451">
        <v>0</v>
      </c>
      <c r="DS13" s="451">
        <v>0</v>
      </c>
      <c r="DT13" s="451">
        <v>0</v>
      </c>
      <c r="DU13" s="451">
        <v>0</v>
      </c>
      <c r="DV13" s="451">
        <v>0</v>
      </c>
      <c r="DW13" s="451">
        <v>0</v>
      </c>
      <c r="DX13" s="451">
        <v>0</v>
      </c>
      <c r="DY13" s="451">
        <v>0</v>
      </c>
      <c r="DZ13" s="451">
        <v>0</v>
      </c>
      <c r="EA13" s="451">
        <v>0</v>
      </c>
      <c r="EB13" s="451">
        <v>0</v>
      </c>
      <c r="EC13" s="451">
        <v>0</v>
      </c>
      <c r="ED13" s="451">
        <v>0</v>
      </c>
      <c r="EE13" s="451">
        <v>0</v>
      </c>
      <c r="EF13" s="451">
        <v>2058</v>
      </c>
      <c r="EG13" s="451">
        <v>0</v>
      </c>
      <c r="EH13" s="451">
        <v>0</v>
      </c>
      <c r="EI13" s="451">
        <v>2058</v>
      </c>
      <c r="EJ13" s="451">
        <v>817</v>
      </c>
      <c r="EK13" s="451">
        <v>0</v>
      </c>
      <c r="EL13" s="451">
        <v>0</v>
      </c>
      <c r="EM13" s="451">
        <v>817</v>
      </c>
    </row>
    <row r="14" spans="1:143" ht="12.75" x14ac:dyDescent="0.2">
      <c r="A14" s="446">
        <v>8</v>
      </c>
      <c r="B14" s="447" t="s">
        <v>597</v>
      </c>
      <c r="C14" s="448" t="s">
        <v>1093</v>
      </c>
      <c r="D14" s="449" t="s">
        <v>1097</v>
      </c>
      <c r="E14" s="450" t="s">
        <v>596</v>
      </c>
      <c r="F14" s="451">
        <v>95973.35</v>
      </c>
      <c r="G14" s="451">
        <v>0</v>
      </c>
      <c r="H14" s="451">
        <v>0</v>
      </c>
      <c r="I14" s="451">
        <v>95973.35</v>
      </c>
      <c r="J14" s="451">
        <v>-11953.41</v>
      </c>
      <c r="K14" s="451">
        <v>0</v>
      </c>
      <c r="L14" s="451">
        <v>0</v>
      </c>
      <c r="M14" s="451">
        <v>-11953.41</v>
      </c>
      <c r="N14" s="451">
        <v>25361.21</v>
      </c>
      <c r="O14" s="451">
        <v>0</v>
      </c>
      <c r="P14" s="451">
        <v>0</v>
      </c>
      <c r="Q14" s="451">
        <v>25361.21</v>
      </c>
      <c r="R14" s="451">
        <v>113441.54</v>
      </c>
      <c r="S14" s="451">
        <v>0</v>
      </c>
      <c r="T14" s="451">
        <v>0</v>
      </c>
      <c r="U14" s="451">
        <v>113441.54</v>
      </c>
      <c r="V14" s="451">
        <v>2007250.18</v>
      </c>
      <c r="W14" s="451">
        <v>0</v>
      </c>
      <c r="X14" s="451">
        <v>0</v>
      </c>
      <c r="Y14" s="451">
        <v>2007250.18</v>
      </c>
      <c r="Z14" s="451">
        <v>112861.64</v>
      </c>
      <c r="AA14" s="451">
        <v>0</v>
      </c>
      <c r="AB14" s="451">
        <v>0</v>
      </c>
      <c r="AC14" s="451">
        <v>112861.64</v>
      </c>
      <c r="AD14" s="451">
        <v>432985.58</v>
      </c>
      <c r="AE14" s="451">
        <v>0</v>
      </c>
      <c r="AF14" s="451">
        <v>0</v>
      </c>
      <c r="AG14" s="451">
        <v>432985.58</v>
      </c>
      <c r="AH14" s="451">
        <v>3677.17</v>
      </c>
      <c r="AI14" s="451">
        <v>0</v>
      </c>
      <c r="AJ14" s="451">
        <v>0</v>
      </c>
      <c r="AK14" s="451">
        <v>3677.17</v>
      </c>
      <c r="AL14" s="451">
        <v>1672140.31</v>
      </c>
      <c r="AM14" s="451">
        <v>0</v>
      </c>
      <c r="AN14" s="451">
        <v>0</v>
      </c>
      <c r="AO14" s="451">
        <v>1672140.31</v>
      </c>
      <c r="AP14" s="451">
        <v>50072.54</v>
      </c>
      <c r="AQ14" s="451">
        <v>0</v>
      </c>
      <c r="AR14" s="451">
        <v>0</v>
      </c>
      <c r="AS14" s="451">
        <v>50072.54</v>
      </c>
      <c r="AT14" s="451">
        <v>51357.72</v>
      </c>
      <c r="AU14" s="451">
        <v>0</v>
      </c>
      <c r="AV14" s="451">
        <v>0</v>
      </c>
      <c r="AW14" s="451">
        <v>51357.72</v>
      </c>
      <c r="AX14" s="451">
        <v>0</v>
      </c>
      <c r="AY14" s="451">
        <v>0</v>
      </c>
      <c r="AZ14" s="451">
        <v>0</v>
      </c>
      <c r="BA14" s="451">
        <v>0</v>
      </c>
      <c r="BB14" s="451">
        <v>90840.92</v>
      </c>
      <c r="BC14" s="451">
        <v>0</v>
      </c>
      <c r="BD14" s="451">
        <v>0</v>
      </c>
      <c r="BE14" s="451">
        <v>90840.92</v>
      </c>
      <c r="BF14" s="451">
        <v>-41.38</v>
      </c>
      <c r="BG14" s="451">
        <v>0</v>
      </c>
      <c r="BH14" s="451">
        <v>0</v>
      </c>
      <c r="BI14" s="451">
        <v>-41.38</v>
      </c>
      <c r="BJ14" s="451">
        <v>0</v>
      </c>
      <c r="BK14" s="451">
        <v>0</v>
      </c>
      <c r="BL14" s="451">
        <v>0</v>
      </c>
      <c r="BM14" s="451">
        <v>0</v>
      </c>
      <c r="BN14" s="451">
        <v>0</v>
      </c>
      <c r="BO14" s="451">
        <v>0</v>
      </c>
      <c r="BP14" s="451">
        <v>0</v>
      </c>
      <c r="BQ14" s="451">
        <v>0</v>
      </c>
      <c r="BR14" s="451">
        <v>865579.25</v>
      </c>
      <c r="BS14" s="451">
        <v>0</v>
      </c>
      <c r="BT14" s="451">
        <v>0</v>
      </c>
      <c r="BU14" s="451">
        <v>865579.25</v>
      </c>
      <c r="BV14" s="451">
        <v>1521.22</v>
      </c>
      <c r="BW14" s="451">
        <v>0</v>
      </c>
      <c r="BX14" s="451">
        <v>0</v>
      </c>
      <c r="BY14" s="451">
        <v>1521.22</v>
      </c>
      <c r="BZ14" s="451">
        <v>43227.72</v>
      </c>
      <c r="CA14" s="451">
        <v>0</v>
      </c>
      <c r="CB14" s="451">
        <v>0</v>
      </c>
      <c r="CC14" s="451">
        <v>43227.72</v>
      </c>
      <c r="CD14" s="451">
        <v>1221.6400000000001</v>
      </c>
      <c r="CE14" s="451">
        <v>0</v>
      </c>
      <c r="CF14" s="451">
        <v>0</v>
      </c>
      <c r="CG14" s="451">
        <v>1221.6400000000001</v>
      </c>
      <c r="CH14" s="451">
        <v>9373.51</v>
      </c>
      <c r="CI14" s="451">
        <v>0</v>
      </c>
      <c r="CJ14" s="451">
        <v>0</v>
      </c>
      <c r="CK14" s="451">
        <v>9373.51</v>
      </c>
      <c r="CL14" s="451">
        <v>1703.24</v>
      </c>
      <c r="CM14" s="451">
        <v>0</v>
      </c>
      <c r="CN14" s="451">
        <v>0</v>
      </c>
      <c r="CO14" s="451">
        <v>1703.24</v>
      </c>
      <c r="CP14" s="451">
        <v>6754.16</v>
      </c>
      <c r="CQ14" s="451">
        <v>0</v>
      </c>
      <c r="CR14" s="451">
        <v>0</v>
      </c>
      <c r="CS14" s="451">
        <v>6754.16</v>
      </c>
      <c r="CT14" s="451">
        <v>0</v>
      </c>
      <c r="CU14" s="451">
        <v>0</v>
      </c>
      <c r="CV14" s="451">
        <v>0</v>
      </c>
      <c r="CW14" s="451">
        <v>0</v>
      </c>
      <c r="CX14" s="451">
        <v>73982.25</v>
      </c>
      <c r="CY14" s="451">
        <v>0</v>
      </c>
      <c r="CZ14" s="451">
        <v>0</v>
      </c>
      <c r="DA14" s="451">
        <v>73982.25</v>
      </c>
      <c r="DB14" s="451">
        <v>-573.45000000000005</v>
      </c>
      <c r="DC14" s="451">
        <v>0</v>
      </c>
      <c r="DD14" s="451">
        <v>0</v>
      </c>
      <c r="DE14" s="451">
        <v>-573.45000000000005</v>
      </c>
      <c r="DF14" s="451">
        <v>18655.560000000001</v>
      </c>
      <c r="DG14" s="451">
        <v>0</v>
      </c>
      <c r="DH14" s="451">
        <v>0</v>
      </c>
      <c r="DI14" s="451">
        <v>18655.560000000001</v>
      </c>
      <c r="DJ14" s="451">
        <v>-331.79</v>
      </c>
      <c r="DK14" s="451">
        <v>0</v>
      </c>
      <c r="DL14" s="451">
        <v>0</v>
      </c>
      <c r="DM14" s="451">
        <v>-331.79</v>
      </c>
      <c r="DN14" s="451">
        <v>0</v>
      </c>
      <c r="DO14" s="451">
        <v>0</v>
      </c>
      <c r="DP14" s="451">
        <v>0</v>
      </c>
      <c r="DQ14" s="451">
        <v>0</v>
      </c>
      <c r="DR14" s="451">
        <v>0</v>
      </c>
      <c r="DS14" s="451">
        <v>0</v>
      </c>
      <c r="DT14" s="451">
        <v>0</v>
      </c>
      <c r="DU14" s="451">
        <v>0</v>
      </c>
      <c r="DV14" s="451">
        <v>0</v>
      </c>
      <c r="DW14" s="451">
        <v>0</v>
      </c>
      <c r="DX14" s="451">
        <v>0</v>
      </c>
      <c r="DY14" s="451">
        <v>0</v>
      </c>
      <c r="DZ14" s="451">
        <v>0</v>
      </c>
      <c r="EA14" s="451">
        <v>0</v>
      </c>
      <c r="EB14" s="451">
        <v>162.59</v>
      </c>
      <c r="EC14" s="451">
        <v>0</v>
      </c>
      <c r="ED14" s="451">
        <v>0</v>
      </c>
      <c r="EE14" s="451">
        <v>162.59</v>
      </c>
      <c r="EF14" s="451">
        <v>0</v>
      </c>
      <c r="EG14" s="451">
        <v>0</v>
      </c>
      <c r="EH14" s="451">
        <v>0</v>
      </c>
      <c r="EI14" s="451">
        <v>0</v>
      </c>
      <c r="EJ14" s="451">
        <v>0</v>
      </c>
      <c r="EK14" s="451">
        <v>0</v>
      </c>
      <c r="EL14" s="451">
        <v>0</v>
      </c>
      <c r="EM14" s="451">
        <v>0</v>
      </c>
    </row>
    <row r="15" spans="1:143" ht="12.75" x14ac:dyDescent="0.2">
      <c r="A15" s="446">
        <v>9</v>
      </c>
      <c r="B15" s="447" t="s">
        <v>599</v>
      </c>
      <c r="C15" s="448" t="s">
        <v>1098</v>
      </c>
      <c r="D15" s="449" t="s">
        <v>1099</v>
      </c>
      <c r="E15" s="450" t="s">
        <v>708</v>
      </c>
      <c r="F15" s="451">
        <v>1420230</v>
      </c>
      <c r="G15" s="451">
        <v>0</v>
      </c>
      <c r="H15" s="451">
        <v>0</v>
      </c>
      <c r="I15" s="451">
        <v>1420230</v>
      </c>
      <c r="J15" s="451">
        <v>181052</v>
      </c>
      <c r="K15" s="451">
        <v>0</v>
      </c>
      <c r="L15" s="451">
        <v>0</v>
      </c>
      <c r="M15" s="451">
        <v>181052</v>
      </c>
      <c r="N15" s="451">
        <v>50476</v>
      </c>
      <c r="O15" s="451">
        <v>0</v>
      </c>
      <c r="P15" s="451">
        <v>0</v>
      </c>
      <c r="Q15" s="451">
        <v>50476</v>
      </c>
      <c r="R15" s="451">
        <v>336686</v>
      </c>
      <c r="S15" s="451">
        <v>0</v>
      </c>
      <c r="T15" s="451">
        <v>0</v>
      </c>
      <c r="U15" s="451">
        <v>336686</v>
      </c>
      <c r="V15" s="451">
        <v>2249382</v>
      </c>
      <c r="W15" s="451">
        <v>0</v>
      </c>
      <c r="X15" s="451">
        <v>0</v>
      </c>
      <c r="Y15" s="451">
        <v>2249382</v>
      </c>
      <c r="Z15" s="451">
        <v>95295</v>
      </c>
      <c r="AA15" s="451">
        <v>0</v>
      </c>
      <c r="AB15" s="451">
        <v>0</v>
      </c>
      <c r="AC15" s="451">
        <v>95295</v>
      </c>
      <c r="AD15" s="451">
        <v>1111670</v>
      </c>
      <c r="AE15" s="451">
        <v>0</v>
      </c>
      <c r="AF15" s="451">
        <v>0</v>
      </c>
      <c r="AG15" s="451">
        <v>1111670</v>
      </c>
      <c r="AH15" s="451">
        <v>11012</v>
      </c>
      <c r="AI15" s="451">
        <v>0</v>
      </c>
      <c r="AJ15" s="451">
        <v>0</v>
      </c>
      <c r="AK15" s="451">
        <v>11012</v>
      </c>
      <c r="AL15" s="451">
        <v>2732185</v>
      </c>
      <c r="AM15" s="451">
        <v>0</v>
      </c>
      <c r="AN15" s="451">
        <v>0</v>
      </c>
      <c r="AO15" s="451">
        <v>2732185</v>
      </c>
      <c r="AP15" s="451">
        <v>184932</v>
      </c>
      <c r="AQ15" s="451">
        <v>0</v>
      </c>
      <c r="AR15" s="451">
        <v>0</v>
      </c>
      <c r="AS15" s="451">
        <v>184932</v>
      </c>
      <c r="AT15" s="451">
        <v>29955</v>
      </c>
      <c r="AU15" s="451">
        <v>0</v>
      </c>
      <c r="AV15" s="451">
        <v>0</v>
      </c>
      <c r="AW15" s="451">
        <v>29955</v>
      </c>
      <c r="AX15" s="451">
        <v>0</v>
      </c>
      <c r="AY15" s="451">
        <v>0</v>
      </c>
      <c r="AZ15" s="451">
        <v>0</v>
      </c>
      <c r="BA15" s="451">
        <v>0</v>
      </c>
      <c r="BB15" s="451">
        <v>0</v>
      </c>
      <c r="BC15" s="451">
        <v>0</v>
      </c>
      <c r="BD15" s="451">
        <v>0</v>
      </c>
      <c r="BE15" s="451">
        <v>0</v>
      </c>
      <c r="BF15" s="451">
        <v>0</v>
      </c>
      <c r="BG15" s="451">
        <v>0</v>
      </c>
      <c r="BH15" s="451">
        <v>0</v>
      </c>
      <c r="BI15" s="451">
        <v>0</v>
      </c>
      <c r="BJ15" s="451">
        <v>488902</v>
      </c>
      <c r="BK15" s="451">
        <v>0</v>
      </c>
      <c r="BL15" s="451">
        <v>0</v>
      </c>
      <c r="BM15" s="451">
        <v>488902</v>
      </c>
      <c r="BN15" s="451">
        <v>85338</v>
      </c>
      <c r="BO15" s="451">
        <v>0</v>
      </c>
      <c r="BP15" s="451">
        <v>0</v>
      </c>
      <c r="BQ15" s="451">
        <v>85338</v>
      </c>
      <c r="BR15" s="451">
        <v>3180427</v>
      </c>
      <c r="BS15" s="451">
        <v>0</v>
      </c>
      <c r="BT15" s="451">
        <v>0</v>
      </c>
      <c r="BU15" s="451">
        <v>3180427</v>
      </c>
      <c r="BV15" s="451">
        <v>165052</v>
      </c>
      <c r="BW15" s="451">
        <v>0</v>
      </c>
      <c r="BX15" s="451">
        <v>0</v>
      </c>
      <c r="BY15" s="451">
        <v>165052</v>
      </c>
      <c r="BZ15" s="451">
        <v>269228</v>
      </c>
      <c r="CA15" s="451">
        <v>0</v>
      </c>
      <c r="CB15" s="451">
        <v>0</v>
      </c>
      <c r="CC15" s="451">
        <v>269228</v>
      </c>
      <c r="CD15" s="451">
        <v>30414</v>
      </c>
      <c r="CE15" s="451">
        <v>0</v>
      </c>
      <c r="CF15" s="451">
        <v>0</v>
      </c>
      <c r="CG15" s="451">
        <v>30414</v>
      </c>
      <c r="CH15" s="451">
        <v>35759</v>
      </c>
      <c r="CI15" s="451">
        <v>0</v>
      </c>
      <c r="CJ15" s="451">
        <v>0</v>
      </c>
      <c r="CK15" s="451">
        <v>35759</v>
      </c>
      <c r="CL15" s="451">
        <v>8117</v>
      </c>
      <c r="CM15" s="451">
        <v>0</v>
      </c>
      <c r="CN15" s="451">
        <v>0</v>
      </c>
      <c r="CO15" s="451">
        <v>8117</v>
      </c>
      <c r="CP15" s="451">
        <v>7489</v>
      </c>
      <c r="CQ15" s="451">
        <v>0</v>
      </c>
      <c r="CR15" s="451">
        <v>0</v>
      </c>
      <c r="CS15" s="451">
        <v>7489</v>
      </c>
      <c r="CT15" s="451">
        <v>0</v>
      </c>
      <c r="CU15" s="451">
        <v>0</v>
      </c>
      <c r="CV15" s="451">
        <v>0</v>
      </c>
      <c r="CW15" s="451">
        <v>0</v>
      </c>
      <c r="CX15" s="451">
        <v>0</v>
      </c>
      <c r="CY15" s="451">
        <v>0</v>
      </c>
      <c r="CZ15" s="451">
        <v>0</v>
      </c>
      <c r="DA15" s="451">
        <v>0</v>
      </c>
      <c r="DB15" s="451">
        <v>0</v>
      </c>
      <c r="DC15" s="451">
        <v>0</v>
      </c>
      <c r="DD15" s="451">
        <v>0</v>
      </c>
      <c r="DE15" s="451">
        <v>0</v>
      </c>
      <c r="DF15" s="451">
        <v>0</v>
      </c>
      <c r="DG15" s="451">
        <v>0</v>
      </c>
      <c r="DH15" s="451">
        <v>0</v>
      </c>
      <c r="DI15" s="451">
        <v>0</v>
      </c>
      <c r="DJ15" s="451">
        <v>0</v>
      </c>
      <c r="DK15" s="451">
        <v>0</v>
      </c>
      <c r="DL15" s="451">
        <v>0</v>
      </c>
      <c r="DM15" s="451">
        <v>0</v>
      </c>
      <c r="DN15" s="451">
        <v>0</v>
      </c>
      <c r="DO15" s="451">
        <v>0</v>
      </c>
      <c r="DP15" s="451">
        <v>0</v>
      </c>
      <c r="DQ15" s="451">
        <v>0</v>
      </c>
      <c r="DR15" s="451">
        <v>0</v>
      </c>
      <c r="DS15" s="451">
        <v>0</v>
      </c>
      <c r="DT15" s="451">
        <v>0</v>
      </c>
      <c r="DU15" s="451">
        <v>0</v>
      </c>
      <c r="DV15" s="451">
        <v>0</v>
      </c>
      <c r="DW15" s="451">
        <v>0</v>
      </c>
      <c r="DX15" s="451">
        <v>0</v>
      </c>
      <c r="DY15" s="451">
        <v>0</v>
      </c>
      <c r="DZ15" s="451">
        <v>0</v>
      </c>
      <c r="EA15" s="451">
        <v>0</v>
      </c>
      <c r="EB15" s="451">
        <v>0</v>
      </c>
      <c r="EC15" s="451">
        <v>0</v>
      </c>
      <c r="ED15" s="451">
        <v>0</v>
      </c>
      <c r="EE15" s="451">
        <v>0</v>
      </c>
      <c r="EF15" s="451">
        <v>0</v>
      </c>
      <c r="EG15" s="451">
        <v>0</v>
      </c>
      <c r="EH15" s="451">
        <v>0</v>
      </c>
      <c r="EI15" s="451">
        <v>0</v>
      </c>
      <c r="EJ15" s="451">
        <v>0</v>
      </c>
      <c r="EK15" s="451">
        <v>0</v>
      </c>
      <c r="EL15" s="451">
        <v>0</v>
      </c>
      <c r="EM15" s="451">
        <v>0</v>
      </c>
    </row>
    <row r="16" spans="1:143" ht="12.75" x14ac:dyDescent="0.2">
      <c r="A16" s="446">
        <v>10</v>
      </c>
      <c r="B16" s="447" t="s">
        <v>601</v>
      </c>
      <c r="C16" s="448" t="s">
        <v>1098</v>
      </c>
      <c r="D16" s="449" t="s">
        <v>1099</v>
      </c>
      <c r="E16" s="450" t="s">
        <v>600</v>
      </c>
      <c r="F16" s="451">
        <v>581218.62</v>
      </c>
      <c r="G16" s="451">
        <v>0</v>
      </c>
      <c r="H16" s="451">
        <v>0</v>
      </c>
      <c r="I16" s="451">
        <v>581218.62</v>
      </c>
      <c r="J16" s="451">
        <v>-554127.74</v>
      </c>
      <c r="K16" s="451">
        <v>0</v>
      </c>
      <c r="L16" s="451">
        <v>0</v>
      </c>
      <c r="M16" s="451">
        <v>-554127.74</v>
      </c>
      <c r="N16" s="451">
        <v>59277.22</v>
      </c>
      <c r="O16" s="451">
        <v>0</v>
      </c>
      <c r="P16" s="451">
        <v>0</v>
      </c>
      <c r="Q16" s="451">
        <v>59277.22</v>
      </c>
      <c r="R16" s="451">
        <v>1184831.1499999999</v>
      </c>
      <c r="S16" s="451">
        <v>0</v>
      </c>
      <c r="T16" s="451">
        <v>0</v>
      </c>
      <c r="U16" s="451">
        <v>1184831.1499999999</v>
      </c>
      <c r="V16" s="451">
        <v>3330314.67</v>
      </c>
      <c r="W16" s="451">
        <v>0</v>
      </c>
      <c r="X16" s="451">
        <v>0</v>
      </c>
      <c r="Y16" s="451">
        <v>3330314.67</v>
      </c>
      <c r="Z16" s="451">
        <v>256195.54</v>
      </c>
      <c r="AA16" s="451">
        <v>0</v>
      </c>
      <c r="AB16" s="451">
        <v>0</v>
      </c>
      <c r="AC16" s="451">
        <v>256195.54</v>
      </c>
      <c r="AD16" s="451">
        <v>2042302.32</v>
      </c>
      <c r="AE16" s="451">
        <v>0</v>
      </c>
      <c r="AF16" s="451">
        <v>0</v>
      </c>
      <c r="AG16" s="451">
        <v>2042302.32</v>
      </c>
      <c r="AH16" s="451">
        <v>-47336.03</v>
      </c>
      <c r="AI16" s="451">
        <v>0</v>
      </c>
      <c r="AJ16" s="451">
        <v>0</v>
      </c>
      <c r="AK16" s="451">
        <v>-47336.03</v>
      </c>
      <c r="AL16" s="451">
        <v>10416288.199999999</v>
      </c>
      <c r="AM16" s="451">
        <v>0</v>
      </c>
      <c r="AN16" s="451">
        <v>0</v>
      </c>
      <c r="AO16" s="451">
        <v>10416288.199999999</v>
      </c>
      <c r="AP16" s="451">
        <v>104130.3</v>
      </c>
      <c r="AQ16" s="451">
        <v>0</v>
      </c>
      <c r="AR16" s="451">
        <v>0</v>
      </c>
      <c r="AS16" s="451">
        <v>104130.3</v>
      </c>
      <c r="AT16" s="451">
        <v>210134.39</v>
      </c>
      <c r="AU16" s="451">
        <v>0</v>
      </c>
      <c r="AV16" s="451">
        <v>0</v>
      </c>
      <c r="AW16" s="451">
        <v>210134.39</v>
      </c>
      <c r="AX16" s="451">
        <v>-34548.42</v>
      </c>
      <c r="AY16" s="451">
        <v>0</v>
      </c>
      <c r="AZ16" s="451">
        <v>0</v>
      </c>
      <c r="BA16" s="451">
        <v>-34548.42</v>
      </c>
      <c r="BB16" s="451">
        <v>0</v>
      </c>
      <c r="BC16" s="451">
        <v>0</v>
      </c>
      <c r="BD16" s="451">
        <v>0</v>
      </c>
      <c r="BE16" s="451">
        <v>0</v>
      </c>
      <c r="BF16" s="451">
        <v>0</v>
      </c>
      <c r="BG16" s="451">
        <v>0</v>
      </c>
      <c r="BH16" s="451">
        <v>0</v>
      </c>
      <c r="BI16" s="451">
        <v>0</v>
      </c>
      <c r="BJ16" s="451">
        <v>1539.43</v>
      </c>
      <c r="BK16" s="451">
        <v>0</v>
      </c>
      <c r="BL16" s="451">
        <v>0</v>
      </c>
      <c r="BM16" s="451">
        <v>1539.43</v>
      </c>
      <c r="BN16" s="451">
        <v>-4448.66</v>
      </c>
      <c r="BO16" s="451">
        <v>0</v>
      </c>
      <c r="BP16" s="451">
        <v>0</v>
      </c>
      <c r="BQ16" s="451">
        <v>-4448.66</v>
      </c>
      <c r="BR16" s="451">
        <v>2549053.66</v>
      </c>
      <c r="BS16" s="451">
        <v>0</v>
      </c>
      <c r="BT16" s="451">
        <v>0</v>
      </c>
      <c r="BU16" s="451">
        <v>2549053.66</v>
      </c>
      <c r="BV16" s="451">
        <v>228562.55</v>
      </c>
      <c r="BW16" s="451">
        <v>0</v>
      </c>
      <c r="BX16" s="451">
        <v>0</v>
      </c>
      <c r="BY16" s="451">
        <v>228562.55</v>
      </c>
      <c r="BZ16" s="451">
        <v>785118.53</v>
      </c>
      <c r="CA16" s="451">
        <v>0</v>
      </c>
      <c r="CB16" s="451">
        <v>0</v>
      </c>
      <c r="CC16" s="451">
        <v>785118.53</v>
      </c>
      <c r="CD16" s="451">
        <v>-92.85</v>
      </c>
      <c r="CE16" s="451">
        <v>0</v>
      </c>
      <c r="CF16" s="451">
        <v>0</v>
      </c>
      <c r="CG16" s="451">
        <v>-92.85</v>
      </c>
      <c r="CH16" s="451">
        <v>100190.41</v>
      </c>
      <c r="CI16" s="451">
        <v>0</v>
      </c>
      <c r="CJ16" s="451">
        <v>0</v>
      </c>
      <c r="CK16" s="451">
        <v>100190.41</v>
      </c>
      <c r="CL16" s="451">
        <v>0</v>
      </c>
      <c r="CM16" s="451">
        <v>0</v>
      </c>
      <c r="CN16" s="451">
        <v>0</v>
      </c>
      <c r="CO16" s="451">
        <v>0</v>
      </c>
      <c r="CP16" s="451">
        <v>0</v>
      </c>
      <c r="CQ16" s="451">
        <v>0</v>
      </c>
      <c r="CR16" s="451">
        <v>0</v>
      </c>
      <c r="CS16" s="451">
        <v>0</v>
      </c>
      <c r="CT16" s="451">
        <v>0</v>
      </c>
      <c r="CU16" s="451">
        <v>0</v>
      </c>
      <c r="CV16" s="451">
        <v>0</v>
      </c>
      <c r="CW16" s="451">
        <v>0</v>
      </c>
      <c r="CX16" s="451">
        <v>0</v>
      </c>
      <c r="CY16" s="451">
        <v>0</v>
      </c>
      <c r="CZ16" s="451">
        <v>0</v>
      </c>
      <c r="DA16" s="451">
        <v>0</v>
      </c>
      <c r="DB16" s="451">
        <v>0</v>
      </c>
      <c r="DC16" s="451">
        <v>0</v>
      </c>
      <c r="DD16" s="451">
        <v>0</v>
      </c>
      <c r="DE16" s="451">
        <v>0</v>
      </c>
      <c r="DF16" s="451">
        <v>0</v>
      </c>
      <c r="DG16" s="451">
        <v>0</v>
      </c>
      <c r="DH16" s="451">
        <v>0</v>
      </c>
      <c r="DI16" s="451">
        <v>0</v>
      </c>
      <c r="DJ16" s="451">
        <v>0</v>
      </c>
      <c r="DK16" s="451">
        <v>0</v>
      </c>
      <c r="DL16" s="451">
        <v>0</v>
      </c>
      <c r="DM16" s="451">
        <v>0</v>
      </c>
      <c r="DN16" s="451">
        <v>0</v>
      </c>
      <c r="DO16" s="451">
        <v>0</v>
      </c>
      <c r="DP16" s="451">
        <v>0</v>
      </c>
      <c r="DQ16" s="451">
        <v>0</v>
      </c>
      <c r="DR16" s="451">
        <v>0</v>
      </c>
      <c r="DS16" s="451">
        <v>0</v>
      </c>
      <c r="DT16" s="451">
        <v>0</v>
      </c>
      <c r="DU16" s="451">
        <v>0</v>
      </c>
      <c r="DV16" s="451">
        <v>0</v>
      </c>
      <c r="DW16" s="451">
        <v>0</v>
      </c>
      <c r="DX16" s="451">
        <v>0</v>
      </c>
      <c r="DY16" s="451">
        <v>0</v>
      </c>
      <c r="DZ16" s="451">
        <v>0</v>
      </c>
      <c r="EA16" s="451">
        <v>0</v>
      </c>
      <c r="EB16" s="451">
        <v>0</v>
      </c>
      <c r="EC16" s="451">
        <v>0</v>
      </c>
      <c r="ED16" s="451">
        <v>0</v>
      </c>
      <c r="EE16" s="451">
        <v>0</v>
      </c>
      <c r="EF16" s="451">
        <v>0</v>
      </c>
      <c r="EG16" s="451">
        <v>0</v>
      </c>
      <c r="EH16" s="451">
        <v>0</v>
      </c>
      <c r="EI16" s="451">
        <v>0</v>
      </c>
      <c r="EJ16" s="451">
        <v>0</v>
      </c>
      <c r="EK16" s="451">
        <v>0</v>
      </c>
      <c r="EL16" s="451">
        <v>0</v>
      </c>
      <c r="EM16" s="451">
        <v>0</v>
      </c>
    </row>
    <row r="17" spans="1:143" ht="12.75" x14ac:dyDescent="0.2">
      <c r="A17" s="446">
        <v>11</v>
      </c>
      <c r="B17" s="447" t="s">
        <v>603</v>
      </c>
      <c r="C17" s="448" t="s">
        <v>1100</v>
      </c>
      <c r="D17" s="449" t="s">
        <v>1101</v>
      </c>
      <c r="E17" s="450" t="s">
        <v>602</v>
      </c>
      <c r="F17" s="451">
        <v>144383</v>
      </c>
      <c r="G17" s="451">
        <v>0</v>
      </c>
      <c r="H17" s="451">
        <v>0</v>
      </c>
      <c r="I17" s="451">
        <v>144383</v>
      </c>
      <c r="J17" s="451">
        <v>-251655</v>
      </c>
      <c r="K17" s="451">
        <v>0</v>
      </c>
      <c r="L17" s="451">
        <v>0</v>
      </c>
      <c r="M17" s="451">
        <v>-251655</v>
      </c>
      <c r="N17" s="451">
        <v>49134</v>
      </c>
      <c r="O17" s="451">
        <v>0</v>
      </c>
      <c r="P17" s="451">
        <v>0</v>
      </c>
      <c r="Q17" s="451">
        <v>49134</v>
      </c>
      <c r="R17" s="451">
        <v>314548</v>
      </c>
      <c r="S17" s="451">
        <v>0</v>
      </c>
      <c r="T17" s="451">
        <v>0</v>
      </c>
      <c r="U17" s="451">
        <v>314548</v>
      </c>
      <c r="V17" s="451">
        <v>4447494</v>
      </c>
      <c r="W17" s="451">
        <v>0</v>
      </c>
      <c r="X17" s="451">
        <v>0</v>
      </c>
      <c r="Y17" s="451">
        <v>4447494</v>
      </c>
      <c r="Z17" s="451">
        <v>209625</v>
      </c>
      <c r="AA17" s="451">
        <v>0</v>
      </c>
      <c r="AB17" s="451">
        <v>0</v>
      </c>
      <c r="AC17" s="451">
        <v>209625</v>
      </c>
      <c r="AD17" s="451">
        <v>997770</v>
      </c>
      <c r="AE17" s="451">
        <v>0</v>
      </c>
      <c r="AF17" s="451">
        <v>7020</v>
      </c>
      <c r="AG17" s="451">
        <v>1004790</v>
      </c>
      <c r="AH17" s="451">
        <v>40103</v>
      </c>
      <c r="AI17" s="451">
        <v>0</v>
      </c>
      <c r="AJ17" s="451">
        <v>0</v>
      </c>
      <c r="AK17" s="451">
        <v>40103</v>
      </c>
      <c r="AL17" s="451">
        <v>2979927</v>
      </c>
      <c r="AM17" s="451">
        <v>0</v>
      </c>
      <c r="AN17" s="451">
        <v>0</v>
      </c>
      <c r="AO17" s="451">
        <v>2979927</v>
      </c>
      <c r="AP17" s="451">
        <v>-49193</v>
      </c>
      <c r="AQ17" s="451">
        <v>0</v>
      </c>
      <c r="AR17" s="451">
        <v>0</v>
      </c>
      <c r="AS17" s="451">
        <v>-49193</v>
      </c>
      <c r="AT17" s="451">
        <v>53572</v>
      </c>
      <c r="AU17" s="451">
        <v>0</v>
      </c>
      <c r="AV17" s="451">
        <v>0</v>
      </c>
      <c r="AW17" s="451">
        <v>53572</v>
      </c>
      <c r="AX17" s="451">
        <v>0</v>
      </c>
      <c r="AY17" s="451">
        <v>0</v>
      </c>
      <c r="AZ17" s="451">
        <v>0</v>
      </c>
      <c r="BA17" s="451">
        <v>0</v>
      </c>
      <c r="BB17" s="451">
        <v>6750</v>
      </c>
      <c r="BC17" s="451">
        <v>0</v>
      </c>
      <c r="BD17" s="451">
        <v>0</v>
      </c>
      <c r="BE17" s="451">
        <v>6750</v>
      </c>
      <c r="BF17" s="451">
        <v>0</v>
      </c>
      <c r="BG17" s="451">
        <v>0</v>
      </c>
      <c r="BH17" s="451">
        <v>0</v>
      </c>
      <c r="BI17" s="451">
        <v>0</v>
      </c>
      <c r="BJ17" s="451">
        <v>36674</v>
      </c>
      <c r="BK17" s="451">
        <v>0</v>
      </c>
      <c r="BL17" s="451">
        <v>3946</v>
      </c>
      <c r="BM17" s="451">
        <v>40620</v>
      </c>
      <c r="BN17" s="451">
        <v>5567</v>
      </c>
      <c r="BO17" s="451">
        <v>0</v>
      </c>
      <c r="BP17" s="451">
        <v>0</v>
      </c>
      <c r="BQ17" s="451">
        <v>5567</v>
      </c>
      <c r="BR17" s="451">
        <v>2014458</v>
      </c>
      <c r="BS17" s="451">
        <v>0</v>
      </c>
      <c r="BT17" s="451">
        <v>0</v>
      </c>
      <c r="BU17" s="451">
        <v>2014458</v>
      </c>
      <c r="BV17" s="451">
        <v>25108</v>
      </c>
      <c r="BW17" s="451">
        <v>0</v>
      </c>
      <c r="BX17" s="451">
        <v>0</v>
      </c>
      <c r="BY17" s="451">
        <v>25108</v>
      </c>
      <c r="BZ17" s="451">
        <v>162507</v>
      </c>
      <c r="CA17" s="451">
        <v>0</v>
      </c>
      <c r="CB17" s="451">
        <v>0</v>
      </c>
      <c r="CC17" s="451">
        <v>162507</v>
      </c>
      <c r="CD17" s="451">
        <v>691</v>
      </c>
      <c r="CE17" s="451">
        <v>0</v>
      </c>
      <c r="CF17" s="451">
        <v>0</v>
      </c>
      <c r="CG17" s="451">
        <v>691</v>
      </c>
      <c r="CH17" s="451">
        <v>37327</v>
      </c>
      <c r="CI17" s="451">
        <v>0</v>
      </c>
      <c r="CJ17" s="451">
        <v>0</v>
      </c>
      <c r="CK17" s="451">
        <v>37327</v>
      </c>
      <c r="CL17" s="451">
        <v>-1141</v>
      </c>
      <c r="CM17" s="451">
        <v>0</v>
      </c>
      <c r="CN17" s="451">
        <v>0</v>
      </c>
      <c r="CO17" s="451">
        <v>-1141</v>
      </c>
      <c r="CP17" s="451">
        <v>0</v>
      </c>
      <c r="CQ17" s="451">
        <v>0</v>
      </c>
      <c r="CR17" s="451">
        <v>0</v>
      </c>
      <c r="CS17" s="451">
        <v>0</v>
      </c>
      <c r="CT17" s="451">
        <v>0</v>
      </c>
      <c r="CU17" s="451">
        <v>0</v>
      </c>
      <c r="CV17" s="451">
        <v>0</v>
      </c>
      <c r="CW17" s="451">
        <v>0</v>
      </c>
      <c r="CX17" s="451">
        <v>2532</v>
      </c>
      <c r="CY17" s="451">
        <v>0</v>
      </c>
      <c r="CZ17" s="451">
        <v>0</v>
      </c>
      <c r="DA17" s="451">
        <v>2532</v>
      </c>
      <c r="DB17" s="451">
        <v>0</v>
      </c>
      <c r="DC17" s="451">
        <v>0</v>
      </c>
      <c r="DD17" s="451">
        <v>0</v>
      </c>
      <c r="DE17" s="451">
        <v>0</v>
      </c>
      <c r="DF17" s="451">
        <v>0</v>
      </c>
      <c r="DG17" s="451">
        <v>0</v>
      </c>
      <c r="DH17" s="451">
        <v>0</v>
      </c>
      <c r="DI17" s="451">
        <v>0</v>
      </c>
      <c r="DJ17" s="451">
        <v>0</v>
      </c>
      <c r="DK17" s="451">
        <v>0</v>
      </c>
      <c r="DL17" s="451">
        <v>0</v>
      </c>
      <c r="DM17" s="451">
        <v>0</v>
      </c>
      <c r="DN17" s="451">
        <v>0</v>
      </c>
      <c r="DO17" s="451">
        <v>0</v>
      </c>
      <c r="DP17" s="451">
        <v>-55000</v>
      </c>
      <c r="DQ17" s="451">
        <v>-55000</v>
      </c>
      <c r="DR17" s="451">
        <v>0</v>
      </c>
      <c r="DS17" s="451">
        <v>0</v>
      </c>
      <c r="DT17" s="451">
        <v>0</v>
      </c>
      <c r="DU17" s="451">
        <v>0</v>
      </c>
      <c r="DV17" s="451">
        <v>55000</v>
      </c>
      <c r="DW17" s="451">
        <v>0</v>
      </c>
      <c r="DX17" s="451">
        <v>0</v>
      </c>
      <c r="DY17" s="451">
        <v>0</v>
      </c>
      <c r="DZ17" s="451">
        <v>0</v>
      </c>
      <c r="EA17" s="451">
        <v>0</v>
      </c>
      <c r="EB17" s="451">
        <v>0</v>
      </c>
      <c r="EC17" s="451">
        <v>0</v>
      </c>
      <c r="ED17" s="451">
        <v>0</v>
      </c>
      <c r="EE17" s="451">
        <v>0</v>
      </c>
      <c r="EF17" s="451">
        <v>-44384</v>
      </c>
      <c r="EG17" s="451">
        <v>0</v>
      </c>
      <c r="EH17" s="451">
        <v>0</v>
      </c>
      <c r="EI17" s="451">
        <v>-44384</v>
      </c>
      <c r="EJ17" s="451">
        <v>-6184</v>
      </c>
      <c r="EK17" s="451">
        <v>0</v>
      </c>
      <c r="EL17" s="451">
        <v>0</v>
      </c>
      <c r="EM17" s="451">
        <v>-6184</v>
      </c>
    </row>
    <row r="18" spans="1:143" ht="12.75" x14ac:dyDescent="0.2">
      <c r="A18" s="446">
        <v>12</v>
      </c>
      <c r="B18" s="447" t="s">
        <v>605</v>
      </c>
      <c r="C18" s="448" t="s">
        <v>1093</v>
      </c>
      <c r="D18" s="449" t="s">
        <v>1095</v>
      </c>
      <c r="E18" s="450" t="s">
        <v>604</v>
      </c>
      <c r="F18" s="451">
        <v>277524</v>
      </c>
      <c r="G18" s="451">
        <v>0</v>
      </c>
      <c r="H18" s="451">
        <v>0</v>
      </c>
      <c r="I18" s="451">
        <v>277524</v>
      </c>
      <c r="J18" s="451">
        <v>-51566</v>
      </c>
      <c r="K18" s="451">
        <v>0</v>
      </c>
      <c r="L18" s="451">
        <v>0</v>
      </c>
      <c r="M18" s="451">
        <v>-51566</v>
      </c>
      <c r="N18" s="451">
        <v>15764</v>
      </c>
      <c r="O18" s="451">
        <v>0</v>
      </c>
      <c r="P18" s="451">
        <v>0</v>
      </c>
      <c r="Q18" s="451">
        <v>15764</v>
      </c>
      <c r="R18" s="451">
        <v>102668</v>
      </c>
      <c r="S18" s="451">
        <v>0</v>
      </c>
      <c r="T18" s="451">
        <v>0</v>
      </c>
      <c r="U18" s="451">
        <v>102668</v>
      </c>
      <c r="V18" s="451">
        <v>1273843</v>
      </c>
      <c r="W18" s="451">
        <v>0</v>
      </c>
      <c r="X18" s="451">
        <v>0</v>
      </c>
      <c r="Y18" s="451">
        <v>1273843</v>
      </c>
      <c r="Z18" s="451">
        <v>73904</v>
      </c>
      <c r="AA18" s="451">
        <v>0</v>
      </c>
      <c r="AB18" s="451">
        <v>0</v>
      </c>
      <c r="AC18" s="451">
        <v>73904</v>
      </c>
      <c r="AD18" s="451">
        <v>456342</v>
      </c>
      <c r="AE18" s="451">
        <v>0</v>
      </c>
      <c r="AF18" s="451">
        <v>0</v>
      </c>
      <c r="AG18" s="451">
        <v>456342</v>
      </c>
      <c r="AH18" s="451">
        <v>10042</v>
      </c>
      <c r="AI18" s="451">
        <v>0</v>
      </c>
      <c r="AJ18" s="451">
        <v>0</v>
      </c>
      <c r="AK18" s="451">
        <v>10042</v>
      </c>
      <c r="AL18" s="451">
        <v>1259511</v>
      </c>
      <c r="AM18" s="451">
        <v>0</v>
      </c>
      <c r="AN18" s="451">
        <v>0</v>
      </c>
      <c r="AO18" s="451">
        <v>1259511</v>
      </c>
      <c r="AP18" s="451">
        <v>8085</v>
      </c>
      <c r="AQ18" s="451">
        <v>0</v>
      </c>
      <c r="AR18" s="451">
        <v>0</v>
      </c>
      <c r="AS18" s="451">
        <v>8085</v>
      </c>
      <c r="AT18" s="451">
        <v>88467</v>
      </c>
      <c r="AU18" s="451">
        <v>0</v>
      </c>
      <c r="AV18" s="451">
        <v>0</v>
      </c>
      <c r="AW18" s="451">
        <v>88467</v>
      </c>
      <c r="AX18" s="451">
        <v>0</v>
      </c>
      <c r="AY18" s="451">
        <v>0</v>
      </c>
      <c r="AZ18" s="451">
        <v>0</v>
      </c>
      <c r="BA18" s="451">
        <v>0</v>
      </c>
      <c r="BB18" s="451">
        <v>199</v>
      </c>
      <c r="BC18" s="451">
        <v>0</v>
      </c>
      <c r="BD18" s="451">
        <v>0</v>
      </c>
      <c r="BE18" s="451">
        <v>199</v>
      </c>
      <c r="BF18" s="451">
        <v>0</v>
      </c>
      <c r="BG18" s="451">
        <v>0</v>
      </c>
      <c r="BH18" s="451">
        <v>0</v>
      </c>
      <c r="BI18" s="451">
        <v>0</v>
      </c>
      <c r="BJ18" s="451">
        <v>13227</v>
      </c>
      <c r="BK18" s="451">
        <v>0</v>
      </c>
      <c r="BL18" s="451">
        <v>0</v>
      </c>
      <c r="BM18" s="451">
        <v>13227</v>
      </c>
      <c r="BN18" s="451">
        <v>27070</v>
      </c>
      <c r="BO18" s="451">
        <v>0</v>
      </c>
      <c r="BP18" s="451">
        <v>0</v>
      </c>
      <c r="BQ18" s="451">
        <v>27070</v>
      </c>
      <c r="BR18" s="451">
        <v>626891</v>
      </c>
      <c r="BS18" s="451">
        <v>0</v>
      </c>
      <c r="BT18" s="451">
        <v>0</v>
      </c>
      <c r="BU18" s="451">
        <v>626891</v>
      </c>
      <c r="BV18" s="451">
        <v>-61297</v>
      </c>
      <c r="BW18" s="451">
        <v>0</v>
      </c>
      <c r="BX18" s="451">
        <v>0</v>
      </c>
      <c r="BY18" s="451">
        <v>-61297</v>
      </c>
      <c r="BZ18" s="451">
        <v>30455</v>
      </c>
      <c r="CA18" s="451">
        <v>0</v>
      </c>
      <c r="CB18" s="451">
        <v>0</v>
      </c>
      <c r="CC18" s="451">
        <v>30455</v>
      </c>
      <c r="CD18" s="451">
        <v>-10</v>
      </c>
      <c r="CE18" s="451">
        <v>0</v>
      </c>
      <c r="CF18" s="451">
        <v>0</v>
      </c>
      <c r="CG18" s="451">
        <v>-10</v>
      </c>
      <c r="CH18" s="451">
        <v>69988</v>
      </c>
      <c r="CI18" s="451">
        <v>0</v>
      </c>
      <c r="CJ18" s="451">
        <v>0</v>
      </c>
      <c r="CK18" s="451">
        <v>69988</v>
      </c>
      <c r="CL18" s="451">
        <v>-1868</v>
      </c>
      <c r="CM18" s="451">
        <v>0</v>
      </c>
      <c r="CN18" s="451">
        <v>0</v>
      </c>
      <c r="CO18" s="451">
        <v>-1868</v>
      </c>
      <c r="CP18" s="451">
        <v>10493</v>
      </c>
      <c r="CQ18" s="451">
        <v>0</v>
      </c>
      <c r="CR18" s="451">
        <v>0</v>
      </c>
      <c r="CS18" s="451">
        <v>10493</v>
      </c>
      <c r="CT18" s="451">
        <v>0</v>
      </c>
      <c r="CU18" s="451">
        <v>0</v>
      </c>
      <c r="CV18" s="451">
        <v>0</v>
      </c>
      <c r="CW18" s="451">
        <v>0</v>
      </c>
      <c r="CX18" s="451">
        <v>199</v>
      </c>
      <c r="CY18" s="451">
        <v>0</v>
      </c>
      <c r="CZ18" s="451">
        <v>0</v>
      </c>
      <c r="DA18" s="451">
        <v>199</v>
      </c>
      <c r="DB18" s="451">
        <v>0</v>
      </c>
      <c r="DC18" s="451">
        <v>0</v>
      </c>
      <c r="DD18" s="451">
        <v>0</v>
      </c>
      <c r="DE18" s="451">
        <v>0</v>
      </c>
      <c r="DF18" s="451">
        <v>0</v>
      </c>
      <c r="DG18" s="451">
        <v>0</v>
      </c>
      <c r="DH18" s="451">
        <v>0</v>
      </c>
      <c r="DI18" s="451">
        <v>0</v>
      </c>
      <c r="DJ18" s="451">
        <v>0</v>
      </c>
      <c r="DK18" s="451">
        <v>0</v>
      </c>
      <c r="DL18" s="451">
        <v>0</v>
      </c>
      <c r="DM18" s="451">
        <v>0</v>
      </c>
      <c r="DN18" s="451">
        <v>0</v>
      </c>
      <c r="DO18" s="451">
        <v>0</v>
      </c>
      <c r="DP18" s="451">
        <v>0</v>
      </c>
      <c r="DQ18" s="451">
        <v>0</v>
      </c>
      <c r="DR18" s="451">
        <v>0</v>
      </c>
      <c r="DS18" s="451">
        <v>0</v>
      </c>
      <c r="DT18" s="451">
        <v>0</v>
      </c>
      <c r="DU18" s="451">
        <v>0</v>
      </c>
      <c r="DV18" s="451">
        <v>0</v>
      </c>
      <c r="DW18" s="451">
        <v>0</v>
      </c>
      <c r="DX18" s="451">
        <v>0</v>
      </c>
      <c r="DY18" s="451">
        <v>0</v>
      </c>
      <c r="DZ18" s="451">
        <v>0</v>
      </c>
      <c r="EA18" s="451">
        <v>0</v>
      </c>
      <c r="EB18" s="451">
        <v>0</v>
      </c>
      <c r="EC18" s="451">
        <v>0</v>
      </c>
      <c r="ED18" s="451">
        <v>0</v>
      </c>
      <c r="EE18" s="451">
        <v>0</v>
      </c>
      <c r="EF18" s="451">
        <v>0</v>
      </c>
      <c r="EG18" s="451">
        <v>0</v>
      </c>
      <c r="EH18" s="451">
        <v>0</v>
      </c>
      <c r="EI18" s="451">
        <v>0</v>
      </c>
      <c r="EJ18" s="451">
        <v>0</v>
      </c>
      <c r="EK18" s="451">
        <v>0</v>
      </c>
      <c r="EL18" s="451">
        <v>0</v>
      </c>
      <c r="EM18" s="451">
        <v>0</v>
      </c>
    </row>
    <row r="19" spans="1:143" ht="12.75" x14ac:dyDescent="0.2">
      <c r="A19" s="446">
        <v>13</v>
      </c>
      <c r="B19" s="447" t="s">
        <v>607</v>
      </c>
      <c r="C19" s="448" t="s">
        <v>1093</v>
      </c>
      <c r="D19" s="449" t="s">
        <v>1097</v>
      </c>
      <c r="E19" s="450" t="s">
        <v>606</v>
      </c>
      <c r="F19" s="451">
        <v>98780</v>
      </c>
      <c r="G19" s="451">
        <v>0</v>
      </c>
      <c r="H19" s="451">
        <v>0</v>
      </c>
      <c r="I19" s="451">
        <v>98780</v>
      </c>
      <c r="J19" s="451">
        <v>-122648</v>
      </c>
      <c r="K19" s="451">
        <v>0</v>
      </c>
      <c r="L19" s="451">
        <v>0</v>
      </c>
      <c r="M19" s="451">
        <v>-122648</v>
      </c>
      <c r="N19" s="451">
        <v>340580</v>
      </c>
      <c r="O19" s="451">
        <v>0</v>
      </c>
      <c r="P19" s="451">
        <v>0</v>
      </c>
      <c r="Q19" s="451">
        <v>340580</v>
      </c>
      <c r="R19" s="451">
        <v>120219</v>
      </c>
      <c r="S19" s="451">
        <v>0</v>
      </c>
      <c r="T19" s="451">
        <v>0</v>
      </c>
      <c r="U19" s="451">
        <v>120219</v>
      </c>
      <c r="V19" s="451">
        <v>2222702</v>
      </c>
      <c r="W19" s="451">
        <v>0</v>
      </c>
      <c r="X19" s="451">
        <v>0</v>
      </c>
      <c r="Y19" s="451">
        <v>2222702</v>
      </c>
      <c r="Z19" s="451">
        <v>56662</v>
      </c>
      <c r="AA19" s="451">
        <v>0</v>
      </c>
      <c r="AB19" s="451">
        <v>0</v>
      </c>
      <c r="AC19" s="451">
        <v>56662</v>
      </c>
      <c r="AD19" s="451">
        <v>1525042</v>
      </c>
      <c r="AE19" s="451">
        <v>0</v>
      </c>
      <c r="AF19" s="451">
        <v>0</v>
      </c>
      <c r="AG19" s="451">
        <v>1525042</v>
      </c>
      <c r="AH19" s="451">
        <v>-22365</v>
      </c>
      <c r="AI19" s="451">
        <v>0</v>
      </c>
      <c r="AJ19" s="451">
        <v>0</v>
      </c>
      <c r="AK19" s="451">
        <v>-22365</v>
      </c>
      <c r="AL19" s="451">
        <v>3293429</v>
      </c>
      <c r="AM19" s="451">
        <v>0</v>
      </c>
      <c r="AN19" s="451">
        <v>0</v>
      </c>
      <c r="AO19" s="451">
        <v>3293429</v>
      </c>
      <c r="AP19" s="451">
        <v>-127423</v>
      </c>
      <c r="AQ19" s="451">
        <v>0</v>
      </c>
      <c r="AR19" s="451">
        <v>0</v>
      </c>
      <c r="AS19" s="451">
        <v>-127423</v>
      </c>
      <c r="AT19" s="451">
        <v>28825</v>
      </c>
      <c r="AU19" s="451">
        <v>0</v>
      </c>
      <c r="AV19" s="451">
        <v>0</v>
      </c>
      <c r="AW19" s="451">
        <v>28825</v>
      </c>
      <c r="AX19" s="451">
        <v>0</v>
      </c>
      <c r="AY19" s="451">
        <v>0</v>
      </c>
      <c r="AZ19" s="451">
        <v>0</v>
      </c>
      <c r="BA19" s="451">
        <v>0</v>
      </c>
      <c r="BB19" s="451">
        <v>3321</v>
      </c>
      <c r="BC19" s="451">
        <v>0</v>
      </c>
      <c r="BD19" s="451">
        <v>0</v>
      </c>
      <c r="BE19" s="451">
        <v>3321</v>
      </c>
      <c r="BF19" s="451">
        <v>0</v>
      </c>
      <c r="BG19" s="451">
        <v>0</v>
      </c>
      <c r="BH19" s="451">
        <v>0</v>
      </c>
      <c r="BI19" s="451">
        <v>0</v>
      </c>
      <c r="BJ19" s="451">
        <v>57642</v>
      </c>
      <c r="BK19" s="451">
        <v>0</v>
      </c>
      <c r="BL19" s="451">
        <v>0</v>
      </c>
      <c r="BM19" s="451">
        <v>57642</v>
      </c>
      <c r="BN19" s="451">
        <v>4825</v>
      </c>
      <c r="BO19" s="451">
        <v>0</v>
      </c>
      <c r="BP19" s="451">
        <v>0</v>
      </c>
      <c r="BQ19" s="451">
        <v>4825</v>
      </c>
      <c r="BR19" s="451">
        <v>2653572</v>
      </c>
      <c r="BS19" s="451">
        <v>0</v>
      </c>
      <c r="BT19" s="451">
        <v>0</v>
      </c>
      <c r="BU19" s="451">
        <v>2653572</v>
      </c>
      <c r="BV19" s="451">
        <v>-155139</v>
      </c>
      <c r="BW19" s="451">
        <v>0</v>
      </c>
      <c r="BX19" s="451">
        <v>0</v>
      </c>
      <c r="BY19" s="451">
        <v>-155139</v>
      </c>
      <c r="BZ19" s="451">
        <v>7443</v>
      </c>
      <c r="CA19" s="451">
        <v>0</v>
      </c>
      <c r="CB19" s="451">
        <v>0</v>
      </c>
      <c r="CC19" s="451">
        <v>7443</v>
      </c>
      <c r="CD19" s="451">
        <v>0</v>
      </c>
      <c r="CE19" s="451">
        <v>0</v>
      </c>
      <c r="CF19" s="451">
        <v>0</v>
      </c>
      <c r="CG19" s="451">
        <v>0</v>
      </c>
      <c r="CH19" s="451">
        <v>42789</v>
      </c>
      <c r="CI19" s="451">
        <v>0</v>
      </c>
      <c r="CJ19" s="451">
        <v>0</v>
      </c>
      <c r="CK19" s="451">
        <v>42789</v>
      </c>
      <c r="CL19" s="451">
        <v>4938</v>
      </c>
      <c r="CM19" s="451">
        <v>0</v>
      </c>
      <c r="CN19" s="451">
        <v>0</v>
      </c>
      <c r="CO19" s="451">
        <v>4938</v>
      </c>
      <c r="CP19" s="451">
        <v>0</v>
      </c>
      <c r="CQ19" s="451">
        <v>0</v>
      </c>
      <c r="CR19" s="451">
        <v>0</v>
      </c>
      <c r="CS19" s="451">
        <v>0</v>
      </c>
      <c r="CT19" s="451">
        <v>0</v>
      </c>
      <c r="CU19" s="451">
        <v>0</v>
      </c>
      <c r="CV19" s="451">
        <v>0</v>
      </c>
      <c r="CW19" s="451">
        <v>0</v>
      </c>
      <c r="CX19" s="451">
        <v>0</v>
      </c>
      <c r="CY19" s="451">
        <v>0</v>
      </c>
      <c r="CZ19" s="451">
        <v>0</v>
      </c>
      <c r="DA19" s="451">
        <v>0</v>
      </c>
      <c r="DB19" s="451">
        <v>0</v>
      </c>
      <c r="DC19" s="451">
        <v>0</v>
      </c>
      <c r="DD19" s="451">
        <v>0</v>
      </c>
      <c r="DE19" s="451">
        <v>0</v>
      </c>
      <c r="DF19" s="451">
        <v>0</v>
      </c>
      <c r="DG19" s="451">
        <v>0</v>
      </c>
      <c r="DH19" s="451">
        <v>0</v>
      </c>
      <c r="DI19" s="451">
        <v>0</v>
      </c>
      <c r="DJ19" s="451">
        <v>0</v>
      </c>
      <c r="DK19" s="451">
        <v>0</v>
      </c>
      <c r="DL19" s="451">
        <v>0</v>
      </c>
      <c r="DM19" s="451">
        <v>0</v>
      </c>
      <c r="DN19" s="451">
        <v>0</v>
      </c>
      <c r="DO19" s="451">
        <v>0</v>
      </c>
      <c r="DP19" s="451">
        <v>0</v>
      </c>
      <c r="DQ19" s="451">
        <v>0</v>
      </c>
      <c r="DR19" s="451">
        <v>0</v>
      </c>
      <c r="DS19" s="451">
        <v>0</v>
      </c>
      <c r="DT19" s="451">
        <v>0</v>
      </c>
      <c r="DU19" s="451">
        <v>0</v>
      </c>
      <c r="DV19" s="451">
        <v>0</v>
      </c>
      <c r="DW19" s="451">
        <v>0</v>
      </c>
      <c r="DX19" s="451">
        <v>0</v>
      </c>
      <c r="DY19" s="451">
        <v>0</v>
      </c>
      <c r="DZ19" s="451">
        <v>0</v>
      </c>
      <c r="EA19" s="451">
        <v>0</v>
      </c>
      <c r="EB19" s="451">
        <v>0</v>
      </c>
      <c r="EC19" s="451">
        <v>0</v>
      </c>
      <c r="ED19" s="451">
        <v>0</v>
      </c>
      <c r="EE19" s="451">
        <v>0</v>
      </c>
      <c r="EF19" s="451">
        <v>0</v>
      </c>
      <c r="EG19" s="451">
        <v>0</v>
      </c>
      <c r="EH19" s="451">
        <v>0</v>
      </c>
      <c r="EI19" s="451">
        <v>0</v>
      </c>
      <c r="EJ19" s="451">
        <v>0</v>
      </c>
      <c r="EK19" s="451">
        <v>0</v>
      </c>
      <c r="EL19" s="451">
        <v>0</v>
      </c>
      <c r="EM19" s="451">
        <v>0</v>
      </c>
    </row>
    <row r="20" spans="1:143" ht="12.75" x14ac:dyDescent="0.2">
      <c r="A20" s="446">
        <v>14</v>
      </c>
      <c r="B20" s="447" t="s">
        <v>609</v>
      </c>
      <c r="C20" s="448" t="s">
        <v>1093</v>
      </c>
      <c r="D20" s="449" t="s">
        <v>1094</v>
      </c>
      <c r="E20" s="450" t="s">
        <v>608</v>
      </c>
      <c r="F20" s="451">
        <v>888334</v>
      </c>
      <c r="G20" s="451">
        <v>0</v>
      </c>
      <c r="H20" s="451">
        <v>0</v>
      </c>
      <c r="I20" s="451">
        <v>888334</v>
      </c>
      <c r="J20" s="451">
        <v>-109176.07</v>
      </c>
      <c r="K20" s="451">
        <v>0</v>
      </c>
      <c r="L20" s="451">
        <v>0</v>
      </c>
      <c r="M20" s="451">
        <v>-109176.07</v>
      </c>
      <c r="N20" s="451">
        <v>100335.02</v>
      </c>
      <c r="O20" s="451">
        <v>0</v>
      </c>
      <c r="P20" s="451">
        <v>0</v>
      </c>
      <c r="Q20" s="451">
        <v>100335.02</v>
      </c>
      <c r="R20" s="451">
        <v>446496.59</v>
      </c>
      <c r="S20" s="451">
        <v>0</v>
      </c>
      <c r="T20" s="451">
        <v>0</v>
      </c>
      <c r="U20" s="451">
        <v>446496.59</v>
      </c>
      <c r="V20" s="451">
        <v>1521704.75</v>
      </c>
      <c r="W20" s="451">
        <v>0</v>
      </c>
      <c r="X20" s="451">
        <v>0</v>
      </c>
      <c r="Y20" s="451">
        <v>1521704.75</v>
      </c>
      <c r="Z20" s="451">
        <v>53563.29</v>
      </c>
      <c r="AA20" s="451">
        <v>0</v>
      </c>
      <c r="AB20" s="451">
        <v>0</v>
      </c>
      <c r="AC20" s="451">
        <v>53563.29</v>
      </c>
      <c r="AD20" s="451">
        <v>1465079</v>
      </c>
      <c r="AE20" s="451">
        <v>0</v>
      </c>
      <c r="AF20" s="451">
        <v>0</v>
      </c>
      <c r="AG20" s="451">
        <v>1465079</v>
      </c>
      <c r="AH20" s="451">
        <v>45912</v>
      </c>
      <c r="AI20" s="451">
        <v>0</v>
      </c>
      <c r="AJ20" s="451">
        <v>0</v>
      </c>
      <c r="AK20" s="451">
        <v>45912</v>
      </c>
      <c r="AL20" s="451">
        <v>2752240.99</v>
      </c>
      <c r="AM20" s="451">
        <v>0</v>
      </c>
      <c r="AN20" s="451">
        <v>0</v>
      </c>
      <c r="AO20" s="451">
        <v>2752240.99</v>
      </c>
      <c r="AP20" s="451">
        <v>-41786</v>
      </c>
      <c r="AQ20" s="451">
        <v>0</v>
      </c>
      <c r="AR20" s="451">
        <v>0</v>
      </c>
      <c r="AS20" s="451">
        <v>-41786</v>
      </c>
      <c r="AT20" s="451">
        <v>10719.96</v>
      </c>
      <c r="AU20" s="451">
        <v>0</v>
      </c>
      <c r="AV20" s="451">
        <v>0</v>
      </c>
      <c r="AW20" s="451">
        <v>10719.96</v>
      </c>
      <c r="AX20" s="451">
        <v>0</v>
      </c>
      <c r="AY20" s="451">
        <v>0</v>
      </c>
      <c r="AZ20" s="451">
        <v>0</v>
      </c>
      <c r="BA20" s="451">
        <v>0</v>
      </c>
      <c r="BB20" s="451">
        <v>35078.120000000003</v>
      </c>
      <c r="BC20" s="451">
        <v>0</v>
      </c>
      <c r="BD20" s="451">
        <v>0</v>
      </c>
      <c r="BE20" s="451">
        <v>35078.120000000003</v>
      </c>
      <c r="BF20" s="451">
        <v>-4417.55</v>
      </c>
      <c r="BG20" s="451">
        <v>0</v>
      </c>
      <c r="BH20" s="451">
        <v>0</v>
      </c>
      <c r="BI20" s="451">
        <v>-4417.55</v>
      </c>
      <c r="BJ20" s="451">
        <v>380381.68</v>
      </c>
      <c r="BK20" s="451">
        <v>0</v>
      </c>
      <c r="BL20" s="451">
        <v>0</v>
      </c>
      <c r="BM20" s="451">
        <v>380381.68</v>
      </c>
      <c r="BN20" s="451">
        <v>172901.49</v>
      </c>
      <c r="BO20" s="451">
        <v>0</v>
      </c>
      <c r="BP20" s="451">
        <v>0</v>
      </c>
      <c r="BQ20" s="451">
        <v>172901.49</v>
      </c>
      <c r="BR20" s="451">
        <v>4204186.7</v>
      </c>
      <c r="BS20" s="451">
        <v>0</v>
      </c>
      <c r="BT20" s="451">
        <v>0</v>
      </c>
      <c r="BU20" s="451">
        <v>4204186.7</v>
      </c>
      <c r="BV20" s="451">
        <v>105703.03999999999</v>
      </c>
      <c r="BW20" s="451">
        <v>0</v>
      </c>
      <c r="BX20" s="451">
        <v>0</v>
      </c>
      <c r="BY20" s="451">
        <v>105703.03999999999</v>
      </c>
      <c r="BZ20" s="451">
        <v>346598.23</v>
      </c>
      <c r="CA20" s="451">
        <v>0</v>
      </c>
      <c r="CB20" s="451">
        <v>0</v>
      </c>
      <c r="CC20" s="451">
        <v>346598.23</v>
      </c>
      <c r="CD20" s="451">
        <v>765.56</v>
      </c>
      <c r="CE20" s="451">
        <v>0</v>
      </c>
      <c r="CF20" s="451">
        <v>0</v>
      </c>
      <c r="CG20" s="451">
        <v>765.56</v>
      </c>
      <c r="CH20" s="451">
        <v>147471.42000000001</v>
      </c>
      <c r="CI20" s="451">
        <v>0</v>
      </c>
      <c r="CJ20" s="451">
        <v>0</v>
      </c>
      <c r="CK20" s="451">
        <v>147471.42000000001</v>
      </c>
      <c r="CL20" s="451">
        <v>8527.8799999999992</v>
      </c>
      <c r="CM20" s="451">
        <v>0</v>
      </c>
      <c r="CN20" s="451">
        <v>0</v>
      </c>
      <c r="CO20" s="451">
        <v>8527.8799999999992</v>
      </c>
      <c r="CP20" s="451">
        <v>2679.99</v>
      </c>
      <c r="CQ20" s="451">
        <v>0</v>
      </c>
      <c r="CR20" s="451">
        <v>0</v>
      </c>
      <c r="CS20" s="451">
        <v>2679.99</v>
      </c>
      <c r="CT20" s="451">
        <v>0</v>
      </c>
      <c r="CU20" s="451">
        <v>0</v>
      </c>
      <c r="CV20" s="451">
        <v>0</v>
      </c>
      <c r="CW20" s="451">
        <v>0</v>
      </c>
      <c r="CX20" s="451">
        <v>34619.83</v>
      </c>
      <c r="CY20" s="451">
        <v>0</v>
      </c>
      <c r="CZ20" s="451">
        <v>0</v>
      </c>
      <c r="DA20" s="451">
        <v>34619.83</v>
      </c>
      <c r="DB20" s="451">
        <v>-4746.6499999999996</v>
      </c>
      <c r="DC20" s="451">
        <v>0</v>
      </c>
      <c r="DD20" s="451">
        <v>0</v>
      </c>
      <c r="DE20" s="451">
        <v>-4746.6499999999996</v>
      </c>
      <c r="DF20" s="451">
        <v>51281</v>
      </c>
      <c r="DG20" s="451">
        <v>0</v>
      </c>
      <c r="DH20" s="451">
        <v>0</v>
      </c>
      <c r="DI20" s="451">
        <v>51281</v>
      </c>
      <c r="DJ20" s="451">
        <v>0</v>
      </c>
      <c r="DK20" s="451">
        <v>0</v>
      </c>
      <c r="DL20" s="451">
        <v>0</v>
      </c>
      <c r="DM20" s="451">
        <v>0</v>
      </c>
      <c r="DN20" s="451">
        <v>0</v>
      </c>
      <c r="DO20" s="451">
        <v>0</v>
      </c>
      <c r="DP20" s="451">
        <v>0</v>
      </c>
      <c r="DQ20" s="451">
        <v>0</v>
      </c>
      <c r="DR20" s="451">
        <v>0</v>
      </c>
      <c r="DS20" s="451">
        <v>0</v>
      </c>
      <c r="DT20" s="451">
        <v>0</v>
      </c>
      <c r="DU20" s="451">
        <v>0</v>
      </c>
      <c r="DV20" s="451">
        <v>0</v>
      </c>
      <c r="DW20" s="451">
        <v>0</v>
      </c>
      <c r="DX20" s="451">
        <v>0</v>
      </c>
      <c r="DY20" s="451">
        <v>0</v>
      </c>
      <c r="DZ20" s="451">
        <v>0</v>
      </c>
      <c r="EA20" s="451">
        <v>0</v>
      </c>
      <c r="EB20" s="451">
        <v>7213</v>
      </c>
      <c r="EC20" s="451">
        <v>0</v>
      </c>
      <c r="ED20" s="451">
        <v>0</v>
      </c>
      <c r="EE20" s="451">
        <v>7213</v>
      </c>
      <c r="EF20" s="451">
        <v>0</v>
      </c>
      <c r="EG20" s="451">
        <v>0</v>
      </c>
      <c r="EH20" s="451">
        <v>0</v>
      </c>
      <c r="EI20" s="451">
        <v>0</v>
      </c>
      <c r="EJ20" s="451">
        <v>0</v>
      </c>
      <c r="EK20" s="451">
        <v>0</v>
      </c>
      <c r="EL20" s="451">
        <v>0</v>
      </c>
      <c r="EM20" s="451">
        <v>0</v>
      </c>
    </row>
    <row r="21" spans="1:143" ht="12.75" x14ac:dyDescent="0.2">
      <c r="A21" s="446">
        <v>15</v>
      </c>
      <c r="B21" s="447" t="s">
        <v>611</v>
      </c>
      <c r="C21" s="448" t="s">
        <v>1093</v>
      </c>
      <c r="D21" s="449" t="s">
        <v>1096</v>
      </c>
      <c r="E21" s="450" t="s">
        <v>610</v>
      </c>
      <c r="F21" s="451">
        <v>1811982</v>
      </c>
      <c r="G21" s="451">
        <v>0</v>
      </c>
      <c r="H21" s="451">
        <v>0</v>
      </c>
      <c r="I21" s="451">
        <v>1811982</v>
      </c>
      <c r="J21" s="451">
        <v>-29012</v>
      </c>
      <c r="K21" s="451">
        <v>0</v>
      </c>
      <c r="L21" s="451">
        <v>0</v>
      </c>
      <c r="M21" s="451">
        <v>-29012</v>
      </c>
      <c r="N21" s="451">
        <v>101191</v>
      </c>
      <c r="O21" s="451">
        <v>0</v>
      </c>
      <c r="P21" s="451">
        <v>0</v>
      </c>
      <c r="Q21" s="451">
        <v>101191</v>
      </c>
      <c r="R21" s="451">
        <v>73543</v>
      </c>
      <c r="S21" s="451">
        <v>0</v>
      </c>
      <c r="T21" s="451">
        <v>0</v>
      </c>
      <c r="U21" s="451">
        <v>73543</v>
      </c>
      <c r="V21" s="451">
        <v>2199455</v>
      </c>
      <c r="W21" s="451">
        <v>0</v>
      </c>
      <c r="X21" s="451">
        <v>0</v>
      </c>
      <c r="Y21" s="451">
        <v>2199455</v>
      </c>
      <c r="Z21" s="451">
        <v>38889</v>
      </c>
      <c r="AA21" s="451">
        <v>0</v>
      </c>
      <c r="AB21" s="451">
        <v>0</v>
      </c>
      <c r="AC21" s="451">
        <v>38889</v>
      </c>
      <c r="AD21" s="451">
        <v>880280</v>
      </c>
      <c r="AE21" s="451">
        <v>0</v>
      </c>
      <c r="AF21" s="451">
        <v>0</v>
      </c>
      <c r="AG21" s="451">
        <v>880280</v>
      </c>
      <c r="AH21" s="451">
        <v>513</v>
      </c>
      <c r="AI21" s="451">
        <v>0</v>
      </c>
      <c r="AJ21" s="451">
        <v>0</v>
      </c>
      <c r="AK21" s="451">
        <v>513</v>
      </c>
      <c r="AL21" s="451">
        <v>2933476</v>
      </c>
      <c r="AM21" s="451">
        <v>0</v>
      </c>
      <c r="AN21" s="451">
        <v>0</v>
      </c>
      <c r="AO21" s="451">
        <v>2933476</v>
      </c>
      <c r="AP21" s="451">
        <v>-20066</v>
      </c>
      <c r="AQ21" s="451">
        <v>0</v>
      </c>
      <c r="AR21" s="451">
        <v>0</v>
      </c>
      <c r="AS21" s="451">
        <v>-20066</v>
      </c>
      <c r="AT21" s="451">
        <v>10790</v>
      </c>
      <c r="AU21" s="451">
        <v>0</v>
      </c>
      <c r="AV21" s="451">
        <v>0</v>
      </c>
      <c r="AW21" s="451">
        <v>10790</v>
      </c>
      <c r="AX21" s="451">
        <v>4508</v>
      </c>
      <c r="AY21" s="451">
        <v>0</v>
      </c>
      <c r="AZ21" s="451">
        <v>0</v>
      </c>
      <c r="BA21" s="451">
        <v>4508</v>
      </c>
      <c r="BB21" s="451">
        <v>33708</v>
      </c>
      <c r="BC21" s="451">
        <v>0</v>
      </c>
      <c r="BD21" s="451">
        <v>0</v>
      </c>
      <c r="BE21" s="451">
        <v>33708</v>
      </c>
      <c r="BF21" s="451">
        <v>-852</v>
      </c>
      <c r="BG21" s="451">
        <v>0</v>
      </c>
      <c r="BH21" s="451">
        <v>0</v>
      </c>
      <c r="BI21" s="451">
        <v>-852</v>
      </c>
      <c r="BJ21" s="451">
        <v>1892785</v>
      </c>
      <c r="BK21" s="451">
        <v>0</v>
      </c>
      <c r="BL21" s="451">
        <v>0</v>
      </c>
      <c r="BM21" s="451">
        <v>1892785</v>
      </c>
      <c r="BN21" s="451">
        <v>128777</v>
      </c>
      <c r="BO21" s="451">
        <v>0</v>
      </c>
      <c r="BP21" s="451">
        <v>0</v>
      </c>
      <c r="BQ21" s="451">
        <v>128777</v>
      </c>
      <c r="BR21" s="451">
        <v>1199665</v>
      </c>
      <c r="BS21" s="451">
        <v>0</v>
      </c>
      <c r="BT21" s="451">
        <v>0</v>
      </c>
      <c r="BU21" s="451">
        <v>1199665</v>
      </c>
      <c r="BV21" s="451">
        <v>36009</v>
      </c>
      <c r="BW21" s="451">
        <v>0</v>
      </c>
      <c r="BX21" s="451">
        <v>0</v>
      </c>
      <c r="BY21" s="451">
        <v>36009</v>
      </c>
      <c r="BZ21" s="451">
        <v>111168</v>
      </c>
      <c r="CA21" s="451">
        <v>0</v>
      </c>
      <c r="CB21" s="451">
        <v>0</v>
      </c>
      <c r="CC21" s="451">
        <v>111168</v>
      </c>
      <c r="CD21" s="451">
        <v>3059</v>
      </c>
      <c r="CE21" s="451">
        <v>0</v>
      </c>
      <c r="CF21" s="451">
        <v>0</v>
      </c>
      <c r="CG21" s="451">
        <v>3059</v>
      </c>
      <c r="CH21" s="451">
        <v>106188</v>
      </c>
      <c r="CI21" s="451">
        <v>0</v>
      </c>
      <c r="CJ21" s="451">
        <v>0</v>
      </c>
      <c r="CK21" s="451">
        <v>106188</v>
      </c>
      <c r="CL21" s="451">
        <v>231</v>
      </c>
      <c r="CM21" s="451">
        <v>0</v>
      </c>
      <c r="CN21" s="451">
        <v>0</v>
      </c>
      <c r="CO21" s="451">
        <v>231</v>
      </c>
      <c r="CP21" s="451">
        <v>1729</v>
      </c>
      <c r="CQ21" s="451">
        <v>0</v>
      </c>
      <c r="CR21" s="451">
        <v>0</v>
      </c>
      <c r="CS21" s="451">
        <v>1729</v>
      </c>
      <c r="CT21" s="451">
        <v>0</v>
      </c>
      <c r="CU21" s="451">
        <v>0</v>
      </c>
      <c r="CV21" s="451">
        <v>0</v>
      </c>
      <c r="CW21" s="451">
        <v>0</v>
      </c>
      <c r="CX21" s="451">
        <v>33708</v>
      </c>
      <c r="CY21" s="451">
        <v>0</v>
      </c>
      <c r="CZ21" s="451">
        <v>0</v>
      </c>
      <c r="DA21" s="451">
        <v>33708</v>
      </c>
      <c r="DB21" s="451">
        <v>-852</v>
      </c>
      <c r="DC21" s="451">
        <v>0</v>
      </c>
      <c r="DD21" s="451">
        <v>0</v>
      </c>
      <c r="DE21" s="451">
        <v>-852</v>
      </c>
      <c r="DF21" s="451">
        <v>10557</v>
      </c>
      <c r="DG21" s="451">
        <v>0</v>
      </c>
      <c r="DH21" s="451">
        <v>0</v>
      </c>
      <c r="DI21" s="451">
        <v>10557</v>
      </c>
      <c r="DJ21" s="451">
        <v>0</v>
      </c>
      <c r="DK21" s="451">
        <v>0</v>
      </c>
      <c r="DL21" s="451">
        <v>0</v>
      </c>
      <c r="DM21" s="451">
        <v>0</v>
      </c>
      <c r="DN21" s="451">
        <v>0</v>
      </c>
      <c r="DO21" s="451">
        <v>0</v>
      </c>
      <c r="DP21" s="451">
        <v>0</v>
      </c>
      <c r="DQ21" s="451">
        <v>0</v>
      </c>
      <c r="DR21" s="451">
        <v>0</v>
      </c>
      <c r="DS21" s="451">
        <v>0</v>
      </c>
      <c r="DT21" s="451">
        <v>0</v>
      </c>
      <c r="DU21" s="451">
        <v>0</v>
      </c>
      <c r="DV21" s="451">
        <v>0</v>
      </c>
      <c r="DW21" s="451">
        <v>0</v>
      </c>
      <c r="DX21" s="451">
        <v>0</v>
      </c>
      <c r="DY21" s="451">
        <v>0</v>
      </c>
      <c r="DZ21" s="451">
        <v>0</v>
      </c>
      <c r="EA21" s="451">
        <v>0</v>
      </c>
      <c r="EB21" s="451">
        <v>0</v>
      </c>
      <c r="EC21" s="451">
        <v>0</v>
      </c>
      <c r="ED21" s="451">
        <v>0</v>
      </c>
      <c r="EE21" s="451">
        <v>0</v>
      </c>
      <c r="EF21" s="451">
        <v>0</v>
      </c>
      <c r="EG21" s="451">
        <v>0</v>
      </c>
      <c r="EH21" s="451">
        <v>0</v>
      </c>
      <c r="EI21" s="451">
        <v>0</v>
      </c>
      <c r="EJ21" s="451">
        <v>0</v>
      </c>
      <c r="EK21" s="451">
        <v>0</v>
      </c>
      <c r="EL21" s="451">
        <v>0</v>
      </c>
      <c r="EM21" s="451">
        <v>0</v>
      </c>
    </row>
    <row r="22" spans="1:143" ht="12.75" x14ac:dyDescent="0.2">
      <c r="A22" s="446">
        <v>16</v>
      </c>
      <c r="B22" s="447" t="s">
        <v>613</v>
      </c>
      <c r="C22" s="448" t="s">
        <v>794</v>
      </c>
      <c r="D22" s="449" t="s">
        <v>1102</v>
      </c>
      <c r="E22" s="450" t="s">
        <v>612</v>
      </c>
      <c r="F22" s="451">
        <v>286261</v>
      </c>
      <c r="G22" s="451">
        <v>0</v>
      </c>
      <c r="H22" s="451">
        <v>0</v>
      </c>
      <c r="I22" s="451">
        <v>286261</v>
      </c>
      <c r="J22" s="451">
        <v>-204372</v>
      </c>
      <c r="K22" s="451">
        <v>0</v>
      </c>
      <c r="L22" s="451">
        <v>0</v>
      </c>
      <c r="M22" s="451">
        <v>-204372</v>
      </c>
      <c r="N22" s="451">
        <v>11946</v>
      </c>
      <c r="O22" s="451">
        <v>0</v>
      </c>
      <c r="P22" s="451">
        <v>0</v>
      </c>
      <c r="Q22" s="451">
        <v>11946</v>
      </c>
      <c r="R22" s="451">
        <v>12658</v>
      </c>
      <c r="S22" s="451">
        <v>0</v>
      </c>
      <c r="T22" s="451">
        <v>0</v>
      </c>
      <c r="U22" s="451">
        <v>12658</v>
      </c>
      <c r="V22" s="451">
        <v>3512711</v>
      </c>
      <c r="W22" s="451">
        <v>0</v>
      </c>
      <c r="X22" s="451">
        <v>0</v>
      </c>
      <c r="Y22" s="451">
        <v>3512711</v>
      </c>
      <c r="Z22" s="451">
        <v>186681</v>
      </c>
      <c r="AA22" s="451">
        <v>0</v>
      </c>
      <c r="AB22" s="451">
        <v>0</v>
      </c>
      <c r="AC22" s="451">
        <v>186681</v>
      </c>
      <c r="AD22" s="451">
        <v>1282104</v>
      </c>
      <c r="AE22" s="451">
        <v>0</v>
      </c>
      <c r="AF22" s="451">
        <v>0</v>
      </c>
      <c r="AG22" s="451">
        <v>1282104</v>
      </c>
      <c r="AH22" s="451">
        <v>10902</v>
      </c>
      <c r="AI22" s="451">
        <v>0</v>
      </c>
      <c r="AJ22" s="451">
        <v>0</v>
      </c>
      <c r="AK22" s="451">
        <v>10902</v>
      </c>
      <c r="AL22" s="451">
        <v>6269986</v>
      </c>
      <c r="AM22" s="451">
        <v>0</v>
      </c>
      <c r="AN22" s="451">
        <v>0</v>
      </c>
      <c r="AO22" s="451">
        <v>6269986</v>
      </c>
      <c r="AP22" s="451">
        <v>19535</v>
      </c>
      <c r="AQ22" s="451">
        <v>0</v>
      </c>
      <c r="AR22" s="451">
        <v>0</v>
      </c>
      <c r="AS22" s="451">
        <v>19535</v>
      </c>
      <c r="AT22" s="451">
        <v>145997</v>
      </c>
      <c r="AU22" s="451">
        <v>0</v>
      </c>
      <c r="AV22" s="451">
        <v>0</v>
      </c>
      <c r="AW22" s="451">
        <v>145997</v>
      </c>
      <c r="AX22" s="451">
        <v>0</v>
      </c>
      <c r="AY22" s="451">
        <v>0</v>
      </c>
      <c r="AZ22" s="451">
        <v>0</v>
      </c>
      <c r="BA22" s="451">
        <v>0</v>
      </c>
      <c r="BB22" s="451">
        <v>22968</v>
      </c>
      <c r="BC22" s="451">
        <v>0</v>
      </c>
      <c r="BD22" s="451">
        <v>0</v>
      </c>
      <c r="BE22" s="451">
        <v>22968</v>
      </c>
      <c r="BF22" s="451">
        <v>0</v>
      </c>
      <c r="BG22" s="451">
        <v>0</v>
      </c>
      <c r="BH22" s="451">
        <v>0</v>
      </c>
      <c r="BI22" s="451">
        <v>0</v>
      </c>
      <c r="BJ22" s="451">
        <v>6724</v>
      </c>
      <c r="BK22" s="451">
        <v>0</v>
      </c>
      <c r="BL22" s="451">
        <v>0</v>
      </c>
      <c r="BM22" s="451">
        <v>6724</v>
      </c>
      <c r="BN22" s="451">
        <v>8303</v>
      </c>
      <c r="BO22" s="451">
        <v>0</v>
      </c>
      <c r="BP22" s="451">
        <v>0</v>
      </c>
      <c r="BQ22" s="451">
        <v>8303</v>
      </c>
      <c r="BR22" s="451">
        <v>3001115</v>
      </c>
      <c r="BS22" s="451">
        <v>0</v>
      </c>
      <c r="BT22" s="451">
        <v>0</v>
      </c>
      <c r="BU22" s="451">
        <v>3001115</v>
      </c>
      <c r="BV22" s="451">
        <v>29527</v>
      </c>
      <c r="BW22" s="451">
        <v>0</v>
      </c>
      <c r="BX22" s="451">
        <v>0</v>
      </c>
      <c r="BY22" s="451">
        <v>29527</v>
      </c>
      <c r="BZ22" s="451">
        <v>55783</v>
      </c>
      <c r="CA22" s="451">
        <v>0</v>
      </c>
      <c r="CB22" s="451">
        <v>0</v>
      </c>
      <c r="CC22" s="451">
        <v>55783</v>
      </c>
      <c r="CD22" s="451">
        <v>1144</v>
      </c>
      <c r="CE22" s="451">
        <v>0</v>
      </c>
      <c r="CF22" s="451">
        <v>0</v>
      </c>
      <c r="CG22" s="451">
        <v>1144</v>
      </c>
      <c r="CH22" s="451">
        <v>25343</v>
      </c>
      <c r="CI22" s="451">
        <v>0</v>
      </c>
      <c r="CJ22" s="451">
        <v>0</v>
      </c>
      <c r="CK22" s="451">
        <v>25343</v>
      </c>
      <c r="CL22" s="451">
        <v>0</v>
      </c>
      <c r="CM22" s="451">
        <v>0</v>
      </c>
      <c r="CN22" s="451">
        <v>0</v>
      </c>
      <c r="CO22" s="451">
        <v>0</v>
      </c>
      <c r="CP22" s="451">
        <v>19421</v>
      </c>
      <c r="CQ22" s="451">
        <v>0</v>
      </c>
      <c r="CR22" s="451">
        <v>0</v>
      </c>
      <c r="CS22" s="451">
        <v>19421</v>
      </c>
      <c r="CT22" s="451">
        <v>0</v>
      </c>
      <c r="CU22" s="451">
        <v>0</v>
      </c>
      <c r="CV22" s="451">
        <v>0</v>
      </c>
      <c r="CW22" s="451">
        <v>0</v>
      </c>
      <c r="CX22" s="451">
        <v>10069</v>
      </c>
      <c r="CY22" s="451">
        <v>0</v>
      </c>
      <c r="CZ22" s="451">
        <v>0</v>
      </c>
      <c r="DA22" s="451">
        <v>10069</v>
      </c>
      <c r="DB22" s="451">
        <v>0</v>
      </c>
      <c r="DC22" s="451">
        <v>0</v>
      </c>
      <c r="DD22" s="451">
        <v>0</v>
      </c>
      <c r="DE22" s="451">
        <v>0</v>
      </c>
      <c r="DF22" s="451">
        <v>35431</v>
      </c>
      <c r="DG22" s="451">
        <v>0</v>
      </c>
      <c r="DH22" s="451">
        <v>0</v>
      </c>
      <c r="DI22" s="451">
        <v>35431</v>
      </c>
      <c r="DJ22" s="451">
        <v>1278</v>
      </c>
      <c r="DK22" s="451">
        <v>0</v>
      </c>
      <c r="DL22" s="451">
        <v>0</v>
      </c>
      <c r="DM22" s="451">
        <v>1278</v>
      </c>
      <c r="DN22" s="451">
        <v>0</v>
      </c>
      <c r="DO22" s="451">
        <v>0</v>
      </c>
      <c r="DP22" s="451">
        <v>0</v>
      </c>
      <c r="DQ22" s="451">
        <v>0</v>
      </c>
      <c r="DR22" s="451">
        <v>0</v>
      </c>
      <c r="DS22" s="451">
        <v>0</v>
      </c>
      <c r="DT22" s="451">
        <v>0</v>
      </c>
      <c r="DU22" s="451">
        <v>0</v>
      </c>
      <c r="DV22" s="451">
        <v>0</v>
      </c>
      <c r="DW22" s="451">
        <v>0</v>
      </c>
      <c r="DX22" s="451">
        <v>0</v>
      </c>
      <c r="DY22" s="451">
        <v>0</v>
      </c>
      <c r="DZ22" s="451">
        <v>0</v>
      </c>
      <c r="EA22" s="451">
        <v>0</v>
      </c>
      <c r="EB22" s="451">
        <v>0</v>
      </c>
      <c r="EC22" s="451">
        <v>0</v>
      </c>
      <c r="ED22" s="451">
        <v>0</v>
      </c>
      <c r="EE22" s="451">
        <v>0</v>
      </c>
      <c r="EF22" s="451">
        <v>0</v>
      </c>
      <c r="EG22" s="451">
        <v>0</v>
      </c>
      <c r="EH22" s="451">
        <v>0</v>
      </c>
      <c r="EI22" s="451">
        <v>0</v>
      </c>
      <c r="EJ22" s="451">
        <v>0</v>
      </c>
      <c r="EK22" s="451">
        <v>0</v>
      </c>
      <c r="EL22" s="451">
        <v>0</v>
      </c>
      <c r="EM22" s="451">
        <v>0</v>
      </c>
    </row>
    <row r="23" spans="1:143" ht="12.75" x14ac:dyDescent="0.2">
      <c r="A23" s="446">
        <v>17</v>
      </c>
      <c r="B23" s="447" t="s">
        <v>615</v>
      </c>
      <c r="C23" s="448" t="s">
        <v>794</v>
      </c>
      <c r="D23" s="449" t="s">
        <v>1097</v>
      </c>
      <c r="E23" s="450" t="s">
        <v>614</v>
      </c>
      <c r="F23" s="451">
        <v>895727</v>
      </c>
      <c r="G23" s="451">
        <v>0</v>
      </c>
      <c r="H23" s="451">
        <v>0</v>
      </c>
      <c r="I23" s="451">
        <v>895727</v>
      </c>
      <c r="J23" s="451">
        <v>-58241</v>
      </c>
      <c r="K23" s="451">
        <v>0</v>
      </c>
      <c r="L23" s="451">
        <v>0</v>
      </c>
      <c r="M23" s="451">
        <v>-58241</v>
      </c>
      <c r="N23" s="451">
        <v>155829</v>
      </c>
      <c r="O23" s="451">
        <v>0</v>
      </c>
      <c r="P23" s="451">
        <v>0</v>
      </c>
      <c r="Q23" s="451">
        <v>155829</v>
      </c>
      <c r="R23" s="451">
        <v>180636</v>
      </c>
      <c r="S23" s="451">
        <v>0</v>
      </c>
      <c r="T23" s="451">
        <v>0</v>
      </c>
      <c r="U23" s="451">
        <v>180636</v>
      </c>
      <c r="V23" s="451">
        <v>2845891</v>
      </c>
      <c r="W23" s="451">
        <v>0</v>
      </c>
      <c r="X23" s="451">
        <v>0</v>
      </c>
      <c r="Y23" s="451">
        <v>2845891</v>
      </c>
      <c r="Z23" s="451">
        <v>123065</v>
      </c>
      <c r="AA23" s="451">
        <v>0</v>
      </c>
      <c r="AB23" s="451">
        <v>0</v>
      </c>
      <c r="AC23" s="451">
        <v>123065</v>
      </c>
      <c r="AD23" s="451">
        <v>1283117</v>
      </c>
      <c r="AE23" s="451">
        <v>0</v>
      </c>
      <c r="AF23" s="451">
        <v>0</v>
      </c>
      <c r="AG23" s="451">
        <v>1283117</v>
      </c>
      <c r="AH23" s="451">
        <v>-10738</v>
      </c>
      <c r="AI23" s="451">
        <v>0</v>
      </c>
      <c r="AJ23" s="451">
        <v>0</v>
      </c>
      <c r="AK23" s="451">
        <v>-10738</v>
      </c>
      <c r="AL23" s="451">
        <v>4736187</v>
      </c>
      <c r="AM23" s="451">
        <v>0</v>
      </c>
      <c r="AN23" s="451">
        <v>0</v>
      </c>
      <c r="AO23" s="451">
        <v>4736187</v>
      </c>
      <c r="AP23" s="451">
        <v>63058</v>
      </c>
      <c r="AQ23" s="451">
        <v>0</v>
      </c>
      <c r="AR23" s="451">
        <v>0</v>
      </c>
      <c r="AS23" s="451">
        <v>63058</v>
      </c>
      <c r="AT23" s="451">
        <v>149993</v>
      </c>
      <c r="AU23" s="451">
        <v>0</v>
      </c>
      <c r="AV23" s="451">
        <v>0</v>
      </c>
      <c r="AW23" s="451">
        <v>149993</v>
      </c>
      <c r="AX23" s="451">
        <v>0</v>
      </c>
      <c r="AY23" s="451">
        <v>0</v>
      </c>
      <c r="AZ23" s="451">
        <v>0</v>
      </c>
      <c r="BA23" s="451">
        <v>0</v>
      </c>
      <c r="BB23" s="451">
        <v>40465</v>
      </c>
      <c r="BC23" s="451">
        <v>0</v>
      </c>
      <c r="BD23" s="451">
        <v>0</v>
      </c>
      <c r="BE23" s="451">
        <v>40465</v>
      </c>
      <c r="BF23" s="451">
        <v>6472</v>
      </c>
      <c r="BG23" s="451">
        <v>0</v>
      </c>
      <c r="BH23" s="451">
        <v>0</v>
      </c>
      <c r="BI23" s="451">
        <v>6472</v>
      </c>
      <c r="BJ23" s="451">
        <v>0</v>
      </c>
      <c r="BK23" s="451">
        <v>0</v>
      </c>
      <c r="BL23" s="451">
        <v>0</v>
      </c>
      <c r="BM23" s="451">
        <v>0</v>
      </c>
      <c r="BN23" s="451">
        <v>-2543</v>
      </c>
      <c r="BO23" s="451">
        <v>0</v>
      </c>
      <c r="BP23" s="451">
        <v>0</v>
      </c>
      <c r="BQ23" s="451">
        <v>-2543</v>
      </c>
      <c r="BR23" s="451">
        <v>2586501</v>
      </c>
      <c r="BS23" s="451">
        <v>0</v>
      </c>
      <c r="BT23" s="451">
        <v>0</v>
      </c>
      <c r="BU23" s="451">
        <v>2586501</v>
      </c>
      <c r="BV23" s="451">
        <v>-161861</v>
      </c>
      <c r="BW23" s="451">
        <v>0</v>
      </c>
      <c r="BX23" s="451">
        <v>0</v>
      </c>
      <c r="BY23" s="451">
        <v>-161861</v>
      </c>
      <c r="BZ23" s="451">
        <v>114291</v>
      </c>
      <c r="CA23" s="451">
        <v>0</v>
      </c>
      <c r="CB23" s="451">
        <v>0</v>
      </c>
      <c r="CC23" s="451">
        <v>114291</v>
      </c>
      <c r="CD23" s="451">
        <v>4165</v>
      </c>
      <c r="CE23" s="451">
        <v>0</v>
      </c>
      <c r="CF23" s="451">
        <v>0</v>
      </c>
      <c r="CG23" s="451">
        <v>4165</v>
      </c>
      <c r="CH23" s="451">
        <v>25697</v>
      </c>
      <c r="CI23" s="451">
        <v>0</v>
      </c>
      <c r="CJ23" s="451">
        <v>0</v>
      </c>
      <c r="CK23" s="451">
        <v>25697</v>
      </c>
      <c r="CL23" s="451">
        <v>0</v>
      </c>
      <c r="CM23" s="451">
        <v>0</v>
      </c>
      <c r="CN23" s="451">
        <v>0</v>
      </c>
      <c r="CO23" s="451">
        <v>0</v>
      </c>
      <c r="CP23" s="451">
        <v>1162</v>
      </c>
      <c r="CQ23" s="451">
        <v>0</v>
      </c>
      <c r="CR23" s="451">
        <v>0</v>
      </c>
      <c r="CS23" s="451">
        <v>1162</v>
      </c>
      <c r="CT23" s="451">
        <v>0</v>
      </c>
      <c r="CU23" s="451">
        <v>0</v>
      </c>
      <c r="CV23" s="451">
        <v>0</v>
      </c>
      <c r="CW23" s="451">
        <v>0</v>
      </c>
      <c r="CX23" s="451">
        <v>33059</v>
      </c>
      <c r="CY23" s="451">
        <v>0</v>
      </c>
      <c r="CZ23" s="451">
        <v>0</v>
      </c>
      <c r="DA23" s="451">
        <v>33059</v>
      </c>
      <c r="DB23" s="451">
        <v>3242.4</v>
      </c>
      <c r="DC23" s="451">
        <v>0</v>
      </c>
      <c r="DD23" s="451">
        <v>0</v>
      </c>
      <c r="DE23" s="451">
        <v>3242.4</v>
      </c>
      <c r="DF23" s="451">
        <v>27188</v>
      </c>
      <c r="DG23" s="451">
        <v>0</v>
      </c>
      <c r="DH23" s="451">
        <v>0</v>
      </c>
      <c r="DI23" s="451">
        <v>27188</v>
      </c>
      <c r="DJ23" s="451">
        <v>-50.3</v>
      </c>
      <c r="DK23" s="451">
        <v>0</v>
      </c>
      <c r="DL23" s="451">
        <v>0</v>
      </c>
      <c r="DM23" s="451">
        <v>-50.3</v>
      </c>
      <c r="DN23" s="451">
        <v>0</v>
      </c>
      <c r="DO23" s="451">
        <v>0</v>
      </c>
      <c r="DP23" s="451">
        <v>0</v>
      </c>
      <c r="DQ23" s="451">
        <v>0</v>
      </c>
      <c r="DR23" s="451">
        <v>0</v>
      </c>
      <c r="DS23" s="451">
        <v>0</v>
      </c>
      <c r="DT23" s="451">
        <v>0</v>
      </c>
      <c r="DU23" s="451">
        <v>0</v>
      </c>
      <c r="DV23" s="451">
        <v>0</v>
      </c>
      <c r="DW23" s="451">
        <v>0</v>
      </c>
      <c r="DX23" s="451">
        <v>0</v>
      </c>
      <c r="DY23" s="451">
        <v>0</v>
      </c>
      <c r="DZ23" s="451">
        <v>0</v>
      </c>
      <c r="EA23" s="451">
        <v>0</v>
      </c>
      <c r="EB23" s="451">
        <v>0</v>
      </c>
      <c r="EC23" s="451">
        <v>0</v>
      </c>
      <c r="ED23" s="451">
        <v>0</v>
      </c>
      <c r="EE23" s="451">
        <v>0</v>
      </c>
      <c r="EF23" s="451">
        <v>16485</v>
      </c>
      <c r="EG23" s="451">
        <v>0</v>
      </c>
      <c r="EH23" s="451">
        <v>0</v>
      </c>
      <c r="EI23" s="451">
        <v>16485</v>
      </c>
      <c r="EJ23" s="451">
        <v>2247</v>
      </c>
      <c r="EK23" s="451">
        <v>0</v>
      </c>
      <c r="EL23" s="451">
        <v>0</v>
      </c>
      <c r="EM23" s="451">
        <v>2247</v>
      </c>
    </row>
    <row r="24" spans="1:143" ht="12.75" x14ac:dyDescent="0.2">
      <c r="A24" s="446">
        <v>18</v>
      </c>
      <c r="B24" s="447" t="s">
        <v>617</v>
      </c>
      <c r="C24" s="448" t="s">
        <v>1098</v>
      </c>
      <c r="D24" s="449" t="s">
        <v>1099</v>
      </c>
      <c r="E24" s="450" t="s">
        <v>616</v>
      </c>
      <c r="F24" s="451">
        <v>129601</v>
      </c>
      <c r="G24" s="451">
        <v>0</v>
      </c>
      <c r="H24" s="451">
        <v>0</v>
      </c>
      <c r="I24" s="451">
        <v>129601</v>
      </c>
      <c r="J24" s="451">
        <v>-233517</v>
      </c>
      <c r="K24" s="451">
        <v>0</v>
      </c>
      <c r="L24" s="451">
        <v>0</v>
      </c>
      <c r="M24" s="451">
        <v>-233517</v>
      </c>
      <c r="N24" s="451">
        <v>139768</v>
      </c>
      <c r="O24" s="451">
        <v>0</v>
      </c>
      <c r="P24" s="451">
        <v>0</v>
      </c>
      <c r="Q24" s="451">
        <v>139768</v>
      </c>
      <c r="R24" s="451">
        <v>147883</v>
      </c>
      <c r="S24" s="451">
        <v>0</v>
      </c>
      <c r="T24" s="451">
        <v>0</v>
      </c>
      <c r="U24" s="451">
        <v>147883</v>
      </c>
      <c r="V24" s="451">
        <v>3780401</v>
      </c>
      <c r="W24" s="451">
        <v>0</v>
      </c>
      <c r="X24" s="451">
        <v>0</v>
      </c>
      <c r="Y24" s="451">
        <v>3780401</v>
      </c>
      <c r="Z24" s="451">
        <v>162267</v>
      </c>
      <c r="AA24" s="451">
        <v>0</v>
      </c>
      <c r="AB24" s="451">
        <v>0</v>
      </c>
      <c r="AC24" s="451">
        <v>162267</v>
      </c>
      <c r="AD24" s="451">
        <v>1302403</v>
      </c>
      <c r="AE24" s="451">
        <v>0</v>
      </c>
      <c r="AF24" s="451">
        <v>0</v>
      </c>
      <c r="AG24" s="451">
        <v>1302403</v>
      </c>
      <c r="AH24" s="451">
        <v>-26703</v>
      </c>
      <c r="AI24" s="451">
        <v>0</v>
      </c>
      <c r="AJ24" s="451">
        <v>0</v>
      </c>
      <c r="AK24" s="451">
        <v>-26703</v>
      </c>
      <c r="AL24" s="451">
        <v>5768444</v>
      </c>
      <c r="AM24" s="451">
        <v>0</v>
      </c>
      <c r="AN24" s="451">
        <v>0</v>
      </c>
      <c r="AO24" s="451">
        <v>5768444</v>
      </c>
      <c r="AP24" s="451">
        <v>31276</v>
      </c>
      <c r="AQ24" s="451">
        <v>0</v>
      </c>
      <c r="AR24" s="451">
        <v>0</v>
      </c>
      <c r="AS24" s="451">
        <v>31276</v>
      </c>
      <c r="AT24" s="451">
        <v>96310</v>
      </c>
      <c r="AU24" s="451">
        <v>0</v>
      </c>
      <c r="AV24" s="451">
        <v>0</v>
      </c>
      <c r="AW24" s="451">
        <v>96310</v>
      </c>
      <c r="AX24" s="451">
        <v>0</v>
      </c>
      <c r="AY24" s="451">
        <v>0</v>
      </c>
      <c r="AZ24" s="451">
        <v>0</v>
      </c>
      <c r="BA24" s="451">
        <v>0</v>
      </c>
      <c r="BB24" s="451">
        <v>0</v>
      </c>
      <c r="BC24" s="451">
        <v>0</v>
      </c>
      <c r="BD24" s="451">
        <v>0</v>
      </c>
      <c r="BE24" s="451">
        <v>0</v>
      </c>
      <c r="BF24" s="451">
        <v>0</v>
      </c>
      <c r="BG24" s="451">
        <v>0</v>
      </c>
      <c r="BH24" s="451">
        <v>0</v>
      </c>
      <c r="BI24" s="451">
        <v>0</v>
      </c>
      <c r="BJ24" s="451">
        <v>324798</v>
      </c>
      <c r="BK24" s="451">
        <v>0</v>
      </c>
      <c r="BL24" s="451">
        <v>0</v>
      </c>
      <c r="BM24" s="451">
        <v>324798</v>
      </c>
      <c r="BN24" s="451">
        <v>-74741</v>
      </c>
      <c r="BO24" s="451">
        <v>0</v>
      </c>
      <c r="BP24" s="451">
        <v>0</v>
      </c>
      <c r="BQ24" s="451">
        <v>-74741</v>
      </c>
      <c r="BR24" s="451">
        <v>2365396</v>
      </c>
      <c r="BS24" s="451">
        <v>0</v>
      </c>
      <c r="BT24" s="451">
        <v>0</v>
      </c>
      <c r="BU24" s="451">
        <v>2365396</v>
      </c>
      <c r="BV24" s="451">
        <v>-39564</v>
      </c>
      <c r="BW24" s="451">
        <v>0</v>
      </c>
      <c r="BX24" s="451">
        <v>0</v>
      </c>
      <c r="BY24" s="451">
        <v>-39564</v>
      </c>
      <c r="BZ24" s="451">
        <v>0</v>
      </c>
      <c r="CA24" s="451">
        <v>0</v>
      </c>
      <c r="CB24" s="451">
        <v>0</v>
      </c>
      <c r="CC24" s="451">
        <v>0</v>
      </c>
      <c r="CD24" s="451">
        <v>0</v>
      </c>
      <c r="CE24" s="451">
        <v>0</v>
      </c>
      <c r="CF24" s="451">
        <v>0</v>
      </c>
      <c r="CG24" s="451">
        <v>0</v>
      </c>
      <c r="CH24" s="451">
        <v>0</v>
      </c>
      <c r="CI24" s="451">
        <v>0</v>
      </c>
      <c r="CJ24" s="451">
        <v>0</v>
      </c>
      <c r="CK24" s="451">
        <v>0</v>
      </c>
      <c r="CL24" s="451">
        <v>0</v>
      </c>
      <c r="CM24" s="451">
        <v>0</v>
      </c>
      <c r="CN24" s="451">
        <v>0</v>
      </c>
      <c r="CO24" s="451">
        <v>0</v>
      </c>
      <c r="CP24" s="451">
        <v>0</v>
      </c>
      <c r="CQ24" s="451">
        <v>0</v>
      </c>
      <c r="CR24" s="451">
        <v>0</v>
      </c>
      <c r="CS24" s="451">
        <v>0</v>
      </c>
      <c r="CT24" s="451">
        <v>0</v>
      </c>
      <c r="CU24" s="451">
        <v>0</v>
      </c>
      <c r="CV24" s="451">
        <v>0</v>
      </c>
      <c r="CW24" s="451">
        <v>0</v>
      </c>
      <c r="CX24" s="451">
        <v>0</v>
      </c>
      <c r="CY24" s="451">
        <v>0</v>
      </c>
      <c r="CZ24" s="451">
        <v>0</v>
      </c>
      <c r="DA24" s="451">
        <v>0</v>
      </c>
      <c r="DB24" s="451">
        <v>0</v>
      </c>
      <c r="DC24" s="451">
        <v>0</v>
      </c>
      <c r="DD24" s="451">
        <v>0</v>
      </c>
      <c r="DE24" s="451">
        <v>0</v>
      </c>
      <c r="DF24" s="451">
        <v>0</v>
      </c>
      <c r="DG24" s="451">
        <v>0</v>
      </c>
      <c r="DH24" s="451">
        <v>0</v>
      </c>
      <c r="DI24" s="451">
        <v>0</v>
      </c>
      <c r="DJ24" s="451">
        <v>0</v>
      </c>
      <c r="DK24" s="451">
        <v>0</v>
      </c>
      <c r="DL24" s="451">
        <v>0</v>
      </c>
      <c r="DM24" s="451">
        <v>0</v>
      </c>
      <c r="DN24" s="451">
        <v>0</v>
      </c>
      <c r="DO24" s="451">
        <v>0</v>
      </c>
      <c r="DP24" s="451">
        <v>0</v>
      </c>
      <c r="DQ24" s="451">
        <v>0</v>
      </c>
      <c r="DR24" s="451">
        <v>0</v>
      </c>
      <c r="DS24" s="451">
        <v>0</v>
      </c>
      <c r="DT24" s="451">
        <v>0</v>
      </c>
      <c r="DU24" s="451">
        <v>0</v>
      </c>
      <c r="DV24" s="451">
        <v>0</v>
      </c>
      <c r="DW24" s="451">
        <v>0</v>
      </c>
      <c r="DX24" s="451">
        <v>0</v>
      </c>
      <c r="DY24" s="451">
        <v>0</v>
      </c>
      <c r="DZ24" s="451">
        <v>0</v>
      </c>
      <c r="EA24" s="451">
        <v>0</v>
      </c>
      <c r="EB24" s="451">
        <v>0</v>
      </c>
      <c r="EC24" s="451">
        <v>0</v>
      </c>
      <c r="ED24" s="451">
        <v>0</v>
      </c>
      <c r="EE24" s="451">
        <v>0</v>
      </c>
      <c r="EF24" s="451">
        <v>0</v>
      </c>
      <c r="EG24" s="451">
        <v>0</v>
      </c>
      <c r="EH24" s="451">
        <v>0</v>
      </c>
      <c r="EI24" s="451">
        <v>0</v>
      </c>
      <c r="EJ24" s="451">
        <v>0</v>
      </c>
      <c r="EK24" s="451">
        <v>0</v>
      </c>
      <c r="EL24" s="451">
        <v>0</v>
      </c>
      <c r="EM24" s="451">
        <v>0</v>
      </c>
    </row>
    <row r="25" spans="1:143" ht="12.75" x14ac:dyDescent="0.2">
      <c r="A25" s="446">
        <v>19</v>
      </c>
      <c r="B25" s="447" t="s">
        <v>619</v>
      </c>
      <c r="C25" s="448" t="s">
        <v>1100</v>
      </c>
      <c r="D25" s="449" t="s">
        <v>1103</v>
      </c>
      <c r="E25" s="450" t="s">
        <v>618</v>
      </c>
      <c r="F25" s="451">
        <v>969053</v>
      </c>
      <c r="G25" s="451">
        <v>0</v>
      </c>
      <c r="H25" s="451">
        <v>8195</v>
      </c>
      <c r="I25" s="451">
        <v>977248</v>
      </c>
      <c r="J25" s="451">
        <v>577911</v>
      </c>
      <c r="K25" s="451">
        <v>0</v>
      </c>
      <c r="L25" s="451">
        <v>0</v>
      </c>
      <c r="M25" s="451">
        <v>577911</v>
      </c>
      <c r="N25" s="451">
        <v>1455316</v>
      </c>
      <c r="O25" s="451">
        <v>0</v>
      </c>
      <c r="P25" s="451">
        <v>7020</v>
      </c>
      <c r="Q25" s="451">
        <v>1462336</v>
      </c>
      <c r="R25" s="451">
        <v>547566</v>
      </c>
      <c r="S25" s="451">
        <v>0</v>
      </c>
      <c r="T25" s="451">
        <v>0</v>
      </c>
      <c r="U25" s="451">
        <v>547566</v>
      </c>
      <c r="V25" s="451">
        <v>19763743.800000001</v>
      </c>
      <c r="W25" s="451">
        <v>0</v>
      </c>
      <c r="X25" s="451">
        <v>184382.9</v>
      </c>
      <c r="Y25" s="451">
        <v>19948126.699999999</v>
      </c>
      <c r="Z25" s="451">
        <v>1322344.1499999999</v>
      </c>
      <c r="AA25" s="451">
        <v>0</v>
      </c>
      <c r="AB25" s="451">
        <v>0</v>
      </c>
      <c r="AC25" s="451">
        <v>1322344.1499999999</v>
      </c>
      <c r="AD25" s="451">
        <v>8286943</v>
      </c>
      <c r="AE25" s="451">
        <v>0</v>
      </c>
      <c r="AF25" s="451">
        <v>0</v>
      </c>
      <c r="AG25" s="451">
        <v>8286943</v>
      </c>
      <c r="AH25" s="451">
        <v>211872</v>
      </c>
      <c r="AI25" s="451">
        <v>0</v>
      </c>
      <c r="AJ25" s="451">
        <v>0</v>
      </c>
      <c r="AK25" s="451">
        <v>211872</v>
      </c>
      <c r="AL25" s="451">
        <v>25504659</v>
      </c>
      <c r="AM25" s="451">
        <v>0</v>
      </c>
      <c r="AN25" s="451">
        <v>353717</v>
      </c>
      <c r="AO25" s="451">
        <v>25858376</v>
      </c>
      <c r="AP25" s="451">
        <v>1242095</v>
      </c>
      <c r="AQ25" s="451">
        <v>0</v>
      </c>
      <c r="AR25" s="451">
        <v>0</v>
      </c>
      <c r="AS25" s="451">
        <v>1242095</v>
      </c>
      <c r="AT25" s="451">
        <v>129337</v>
      </c>
      <c r="AU25" s="451">
        <v>0</v>
      </c>
      <c r="AV25" s="451">
        <v>0</v>
      </c>
      <c r="AW25" s="451">
        <v>129337</v>
      </c>
      <c r="AX25" s="451">
        <v>0</v>
      </c>
      <c r="AY25" s="451">
        <v>0</v>
      </c>
      <c r="AZ25" s="451">
        <v>0</v>
      </c>
      <c r="BA25" s="451">
        <v>0</v>
      </c>
      <c r="BB25" s="451">
        <v>0</v>
      </c>
      <c r="BC25" s="451">
        <v>0</v>
      </c>
      <c r="BD25" s="451">
        <v>0</v>
      </c>
      <c r="BE25" s="451">
        <v>0</v>
      </c>
      <c r="BF25" s="451">
        <v>0</v>
      </c>
      <c r="BG25" s="451">
        <v>0</v>
      </c>
      <c r="BH25" s="451">
        <v>0</v>
      </c>
      <c r="BI25" s="451">
        <v>0</v>
      </c>
      <c r="BJ25" s="451">
        <v>306109</v>
      </c>
      <c r="BK25" s="451">
        <v>0</v>
      </c>
      <c r="BL25" s="451">
        <v>0</v>
      </c>
      <c r="BM25" s="451">
        <v>306109</v>
      </c>
      <c r="BN25" s="451">
        <v>227293</v>
      </c>
      <c r="BO25" s="451">
        <v>0</v>
      </c>
      <c r="BP25" s="451">
        <v>0</v>
      </c>
      <c r="BQ25" s="451">
        <v>227293</v>
      </c>
      <c r="BR25" s="451">
        <v>25906312</v>
      </c>
      <c r="BS25" s="451">
        <v>0</v>
      </c>
      <c r="BT25" s="451">
        <v>435643</v>
      </c>
      <c r="BU25" s="451">
        <v>26341955</v>
      </c>
      <c r="BV25" s="451">
        <v>1440840</v>
      </c>
      <c r="BW25" s="451">
        <v>0</v>
      </c>
      <c r="BX25" s="451">
        <v>0</v>
      </c>
      <c r="BY25" s="451">
        <v>1440840</v>
      </c>
      <c r="BZ25" s="451">
        <v>64786</v>
      </c>
      <c r="CA25" s="451">
        <v>0</v>
      </c>
      <c r="CB25" s="451">
        <v>0</v>
      </c>
      <c r="CC25" s="451">
        <v>64786</v>
      </c>
      <c r="CD25" s="451">
        <v>2763</v>
      </c>
      <c r="CE25" s="451">
        <v>0</v>
      </c>
      <c r="CF25" s="451">
        <v>0</v>
      </c>
      <c r="CG25" s="451">
        <v>2763</v>
      </c>
      <c r="CH25" s="451">
        <v>584263</v>
      </c>
      <c r="CI25" s="451">
        <v>0</v>
      </c>
      <c r="CJ25" s="451">
        <v>0</v>
      </c>
      <c r="CK25" s="451">
        <v>584263</v>
      </c>
      <c r="CL25" s="451">
        <v>67840</v>
      </c>
      <c r="CM25" s="451">
        <v>0</v>
      </c>
      <c r="CN25" s="451">
        <v>0</v>
      </c>
      <c r="CO25" s="451">
        <v>67840</v>
      </c>
      <c r="CP25" s="451">
        <v>0</v>
      </c>
      <c r="CQ25" s="451">
        <v>0</v>
      </c>
      <c r="CR25" s="451">
        <v>0</v>
      </c>
      <c r="CS25" s="451">
        <v>0</v>
      </c>
      <c r="CT25" s="451">
        <v>0</v>
      </c>
      <c r="CU25" s="451">
        <v>0</v>
      </c>
      <c r="CV25" s="451">
        <v>0</v>
      </c>
      <c r="CW25" s="451">
        <v>0</v>
      </c>
      <c r="CX25" s="451">
        <v>0</v>
      </c>
      <c r="CY25" s="451">
        <v>0</v>
      </c>
      <c r="CZ25" s="451">
        <v>0</v>
      </c>
      <c r="DA25" s="451">
        <v>0</v>
      </c>
      <c r="DB25" s="451">
        <v>0</v>
      </c>
      <c r="DC25" s="451">
        <v>0</v>
      </c>
      <c r="DD25" s="451">
        <v>0</v>
      </c>
      <c r="DE25" s="451">
        <v>0</v>
      </c>
      <c r="DF25" s="451">
        <v>0</v>
      </c>
      <c r="DG25" s="451">
        <v>0</v>
      </c>
      <c r="DH25" s="451">
        <v>0</v>
      </c>
      <c r="DI25" s="451">
        <v>0</v>
      </c>
      <c r="DJ25" s="451">
        <v>0</v>
      </c>
      <c r="DK25" s="451">
        <v>0</v>
      </c>
      <c r="DL25" s="451">
        <v>0</v>
      </c>
      <c r="DM25" s="451">
        <v>0</v>
      </c>
      <c r="DN25" s="451">
        <v>0</v>
      </c>
      <c r="DO25" s="451">
        <v>0</v>
      </c>
      <c r="DP25" s="451">
        <v>252605</v>
      </c>
      <c r="DQ25" s="451">
        <v>252605</v>
      </c>
      <c r="DR25" s="451">
        <v>0</v>
      </c>
      <c r="DS25" s="451">
        <v>0</v>
      </c>
      <c r="DT25" s="451">
        <v>5951</v>
      </c>
      <c r="DU25" s="451">
        <v>5951</v>
      </c>
      <c r="DV25" s="451">
        <v>258556</v>
      </c>
      <c r="DW25" s="451">
        <v>0</v>
      </c>
      <c r="DX25" s="451">
        <v>0</v>
      </c>
      <c r="DY25" s="451">
        <v>0</v>
      </c>
      <c r="DZ25" s="451">
        <v>0</v>
      </c>
      <c r="EA25" s="451">
        <v>0</v>
      </c>
      <c r="EB25" s="451">
        <v>0</v>
      </c>
      <c r="EC25" s="451">
        <v>0</v>
      </c>
      <c r="ED25" s="451">
        <v>0</v>
      </c>
      <c r="EE25" s="451">
        <v>0</v>
      </c>
      <c r="EF25" s="451">
        <v>0</v>
      </c>
      <c r="EG25" s="451">
        <v>0</v>
      </c>
      <c r="EH25" s="451">
        <v>0</v>
      </c>
      <c r="EI25" s="451">
        <v>0</v>
      </c>
      <c r="EJ25" s="451">
        <v>7281</v>
      </c>
      <c r="EK25" s="451">
        <v>0</v>
      </c>
      <c r="EL25" s="451">
        <v>0</v>
      </c>
      <c r="EM25" s="451">
        <v>7281</v>
      </c>
    </row>
    <row r="26" spans="1:143" ht="12.75" x14ac:dyDescent="0.2">
      <c r="A26" s="446">
        <v>20</v>
      </c>
      <c r="B26" s="447" t="s">
        <v>621</v>
      </c>
      <c r="C26" s="448" t="s">
        <v>1093</v>
      </c>
      <c r="D26" s="449" t="s">
        <v>1096</v>
      </c>
      <c r="E26" s="450" t="s">
        <v>620</v>
      </c>
      <c r="F26" s="451">
        <v>23661.98</v>
      </c>
      <c r="G26" s="451">
        <v>0</v>
      </c>
      <c r="H26" s="451">
        <v>0</v>
      </c>
      <c r="I26" s="451">
        <v>23661.98</v>
      </c>
      <c r="J26" s="451">
        <v>128616.84</v>
      </c>
      <c r="K26" s="451">
        <v>0</v>
      </c>
      <c r="L26" s="451">
        <v>0</v>
      </c>
      <c r="M26" s="451">
        <v>128616.84</v>
      </c>
      <c r="N26" s="451">
        <v>36176.71</v>
      </c>
      <c r="O26" s="451">
        <v>0</v>
      </c>
      <c r="P26" s="451">
        <v>0</v>
      </c>
      <c r="Q26" s="451">
        <v>36176.71</v>
      </c>
      <c r="R26" s="451">
        <v>-11485.26</v>
      </c>
      <c r="S26" s="451">
        <v>0</v>
      </c>
      <c r="T26" s="451">
        <v>0</v>
      </c>
      <c r="U26" s="451">
        <v>-11485.26</v>
      </c>
      <c r="V26" s="451">
        <v>1102981.3799999999</v>
      </c>
      <c r="W26" s="451">
        <v>0</v>
      </c>
      <c r="X26" s="451">
        <v>0</v>
      </c>
      <c r="Y26" s="451">
        <v>1102981.3799999999</v>
      </c>
      <c r="Z26" s="451">
        <v>35900.51</v>
      </c>
      <c r="AA26" s="451">
        <v>0</v>
      </c>
      <c r="AB26" s="451">
        <v>0</v>
      </c>
      <c r="AC26" s="451">
        <v>35900.51</v>
      </c>
      <c r="AD26" s="451">
        <v>779955.06</v>
      </c>
      <c r="AE26" s="451">
        <v>0</v>
      </c>
      <c r="AF26" s="451">
        <v>0</v>
      </c>
      <c r="AG26" s="451">
        <v>779955.06</v>
      </c>
      <c r="AH26" s="451">
        <v>-5658.64</v>
      </c>
      <c r="AI26" s="451">
        <v>0</v>
      </c>
      <c r="AJ26" s="451">
        <v>0</v>
      </c>
      <c r="AK26" s="451">
        <v>-5658.64</v>
      </c>
      <c r="AL26" s="451">
        <v>819454.94</v>
      </c>
      <c r="AM26" s="451">
        <v>0</v>
      </c>
      <c r="AN26" s="451">
        <v>0</v>
      </c>
      <c r="AO26" s="451">
        <v>819454.94</v>
      </c>
      <c r="AP26" s="451">
        <v>-5166.57</v>
      </c>
      <c r="AQ26" s="451">
        <v>0</v>
      </c>
      <c r="AR26" s="451">
        <v>0</v>
      </c>
      <c r="AS26" s="451">
        <v>-5166.57</v>
      </c>
      <c r="AT26" s="451">
        <v>39337.800000000003</v>
      </c>
      <c r="AU26" s="451">
        <v>0</v>
      </c>
      <c r="AV26" s="451">
        <v>0</v>
      </c>
      <c r="AW26" s="451">
        <v>39337.800000000003</v>
      </c>
      <c r="AX26" s="451">
        <v>9314.49</v>
      </c>
      <c r="AY26" s="451">
        <v>0</v>
      </c>
      <c r="AZ26" s="451">
        <v>0</v>
      </c>
      <c r="BA26" s="451">
        <v>9314.49</v>
      </c>
      <c r="BB26" s="451">
        <v>0</v>
      </c>
      <c r="BC26" s="451">
        <v>0</v>
      </c>
      <c r="BD26" s="451">
        <v>0</v>
      </c>
      <c r="BE26" s="451">
        <v>0</v>
      </c>
      <c r="BF26" s="451">
        <v>0</v>
      </c>
      <c r="BG26" s="451">
        <v>0</v>
      </c>
      <c r="BH26" s="451">
        <v>0</v>
      </c>
      <c r="BI26" s="451">
        <v>0</v>
      </c>
      <c r="BJ26" s="451">
        <v>254077.26</v>
      </c>
      <c r="BK26" s="451">
        <v>0</v>
      </c>
      <c r="BL26" s="451">
        <v>0</v>
      </c>
      <c r="BM26" s="451">
        <v>254077.26</v>
      </c>
      <c r="BN26" s="451">
        <v>150515.97</v>
      </c>
      <c r="BO26" s="451">
        <v>0</v>
      </c>
      <c r="BP26" s="451">
        <v>0</v>
      </c>
      <c r="BQ26" s="451">
        <v>150515.97</v>
      </c>
      <c r="BR26" s="451">
        <v>520843.69</v>
      </c>
      <c r="BS26" s="451">
        <v>0</v>
      </c>
      <c r="BT26" s="451">
        <v>0</v>
      </c>
      <c r="BU26" s="451">
        <v>520843.69</v>
      </c>
      <c r="BV26" s="451">
        <v>57833.49</v>
      </c>
      <c r="BW26" s="451">
        <v>0</v>
      </c>
      <c r="BX26" s="451">
        <v>0</v>
      </c>
      <c r="BY26" s="451">
        <v>57833.49</v>
      </c>
      <c r="BZ26" s="451">
        <v>48167.09</v>
      </c>
      <c r="CA26" s="451">
        <v>0</v>
      </c>
      <c r="CB26" s="451">
        <v>0</v>
      </c>
      <c r="CC26" s="451">
        <v>48167.09</v>
      </c>
      <c r="CD26" s="451">
        <v>32.74</v>
      </c>
      <c r="CE26" s="451">
        <v>0</v>
      </c>
      <c r="CF26" s="451">
        <v>0</v>
      </c>
      <c r="CG26" s="451">
        <v>32.74</v>
      </c>
      <c r="CH26" s="451">
        <v>3988.71</v>
      </c>
      <c r="CI26" s="451">
        <v>0</v>
      </c>
      <c r="CJ26" s="451">
        <v>0</v>
      </c>
      <c r="CK26" s="451">
        <v>3988.71</v>
      </c>
      <c r="CL26" s="451">
        <v>-4474.71</v>
      </c>
      <c r="CM26" s="451">
        <v>0</v>
      </c>
      <c r="CN26" s="451">
        <v>0</v>
      </c>
      <c r="CO26" s="451">
        <v>-4474.71</v>
      </c>
      <c r="CP26" s="451">
        <v>4562.09</v>
      </c>
      <c r="CQ26" s="451">
        <v>0</v>
      </c>
      <c r="CR26" s="451">
        <v>0</v>
      </c>
      <c r="CS26" s="451">
        <v>4562.09</v>
      </c>
      <c r="CT26" s="451">
        <v>877.78</v>
      </c>
      <c r="CU26" s="451">
        <v>0</v>
      </c>
      <c r="CV26" s="451">
        <v>0</v>
      </c>
      <c r="CW26" s="451">
        <v>877.78</v>
      </c>
      <c r="CX26" s="451">
        <v>0</v>
      </c>
      <c r="CY26" s="451">
        <v>0</v>
      </c>
      <c r="CZ26" s="451">
        <v>0</v>
      </c>
      <c r="DA26" s="451">
        <v>0</v>
      </c>
      <c r="DB26" s="451">
        <v>0</v>
      </c>
      <c r="DC26" s="451">
        <v>0</v>
      </c>
      <c r="DD26" s="451">
        <v>0</v>
      </c>
      <c r="DE26" s="451">
        <v>0</v>
      </c>
      <c r="DF26" s="451">
        <v>0</v>
      </c>
      <c r="DG26" s="451">
        <v>0</v>
      </c>
      <c r="DH26" s="451">
        <v>0</v>
      </c>
      <c r="DI26" s="451">
        <v>0</v>
      </c>
      <c r="DJ26" s="451">
        <v>0</v>
      </c>
      <c r="DK26" s="451">
        <v>0</v>
      </c>
      <c r="DL26" s="451">
        <v>0</v>
      </c>
      <c r="DM26" s="451">
        <v>0</v>
      </c>
      <c r="DN26" s="451">
        <v>0</v>
      </c>
      <c r="DO26" s="451">
        <v>0</v>
      </c>
      <c r="DP26" s="451">
        <v>0</v>
      </c>
      <c r="DQ26" s="451">
        <v>0</v>
      </c>
      <c r="DR26" s="451">
        <v>0</v>
      </c>
      <c r="DS26" s="451">
        <v>0</v>
      </c>
      <c r="DT26" s="451">
        <v>0</v>
      </c>
      <c r="DU26" s="451">
        <v>0</v>
      </c>
      <c r="DV26" s="451">
        <v>0</v>
      </c>
      <c r="DW26" s="451">
        <v>0</v>
      </c>
      <c r="DX26" s="451">
        <v>0</v>
      </c>
      <c r="DY26" s="451">
        <v>0</v>
      </c>
      <c r="DZ26" s="451">
        <v>0</v>
      </c>
      <c r="EA26" s="451">
        <v>0</v>
      </c>
      <c r="EB26" s="451">
        <v>0</v>
      </c>
      <c r="EC26" s="451">
        <v>0</v>
      </c>
      <c r="ED26" s="451">
        <v>0</v>
      </c>
      <c r="EE26" s="451">
        <v>0</v>
      </c>
      <c r="EF26" s="451">
        <v>0</v>
      </c>
      <c r="EG26" s="451">
        <v>0</v>
      </c>
      <c r="EH26" s="451">
        <v>0</v>
      </c>
      <c r="EI26" s="451">
        <v>0</v>
      </c>
      <c r="EJ26" s="451">
        <v>0</v>
      </c>
      <c r="EK26" s="451">
        <v>0</v>
      </c>
      <c r="EL26" s="451">
        <v>0</v>
      </c>
      <c r="EM26" s="451">
        <v>0</v>
      </c>
    </row>
    <row r="27" spans="1:143" ht="12.75" x14ac:dyDescent="0.2">
      <c r="A27" s="446">
        <v>21</v>
      </c>
      <c r="B27" s="447" t="s">
        <v>623</v>
      </c>
      <c r="C27" s="448" t="s">
        <v>794</v>
      </c>
      <c r="D27" s="449" t="s">
        <v>1095</v>
      </c>
      <c r="E27" s="450" t="s">
        <v>709</v>
      </c>
      <c r="F27" s="451">
        <v>207909</v>
      </c>
      <c r="G27" s="451">
        <v>0</v>
      </c>
      <c r="H27" s="451">
        <v>0</v>
      </c>
      <c r="I27" s="451">
        <v>207909</v>
      </c>
      <c r="J27" s="451">
        <v>-110204</v>
      </c>
      <c r="K27" s="451">
        <v>0</v>
      </c>
      <c r="L27" s="451">
        <v>0</v>
      </c>
      <c r="M27" s="451">
        <v>-110204</v>
      </c>
      <c r="N27" s="451">
        <v>7805</v>
      </c>
      <c r="O27" s="451">
        <v>0</v>
      </c>
      <c r="P27" s="451">
        <v>0</v>
      </c>
      <c r="Q27" s="451">
        <v>7805</v>
      </c>
      <c r="R27" s="451">
        <v>211538</v>
      </c>
      <c r="S27" s="451">
        <v>0</v>
      </c>
      <c r="T27" s="451">
        <v>0</v>
      </c>
      <c r="U27" s="451">
        <v>211538</v>
      </c>
      <c r="V27" s="451">
        <v>4599901</v>
      </c>
      <c r="W27" s="451">
        <v>0</v>
      </c>
      <c r="X27" s="451">
        <v>0</v>
      </c>
      <c r="Y27" s="451">
        <v>4599901</v>
      </c>
      <c r="Z27" s="451">
        <v>84695</v>
      </c>
      <c r="AA27" s="451">
        <v>0</v>
      </c>
      <c r="AB27" s="451">
        <v>0</v>
      </c>
      <c r="AC27" s="451">
        <v>84695</v>
      </c>
      <c r="AD27" s="451">
        <v>950775</v>
      </c>
      <c r="AE27" s="451">
        <v>0</v>
      </c>
      <c r="AF27" s="451">
        <v>0</v>
      </c>
      <c r="AG27" s="451">
        <v>950775</v>
      </c>
      <c r="AH27" s="451">
        <v>6716</v>
      </c>
      <c r="AI27" s="451">
        <v>0</v>
      </c>
      <c r="AJ27" s="451">
        <v>0</v>
      </c>
      <c r="AK27" s="451">
        <v>6716</v>
      </c>
      <c r="AL27" s="451">
        <v>3282622</v>
      </c>
      <c r="AM27" s="451">
        <v>0</v>
      </c>
      <c r="AN27" s="451">
        <v>0</v>
      </c>
      <c r="AO27" s="451">
        <v>3282622</v>
      </c>
      <c r="AP27" s="451">
        <v>118492</v>
      </c>
      <c r="AQ27" s="451">
        <v>0</v>
      </c>
      <c r="AR27" s="451">
        <v>0</v>
      </c>
      <c r="AS27" s="451">
        <v>118492</v>
      </c>
      <c r="AT27" s="451">
        <v>75174</v>
      </c>
      <c r="AU27" s="451">
        <v>0</v>
      </c>
      <c r="AV27" s="451">
        <v>0</v>
      </c>
      <c r="AW27" s="451">
        <v>75174</v>
      </c>
      <c r="AX27" s="451">
        <v>900</v>
      </c>
      <c r="AY27" s="451">
        <v>0</v>
      </c>
      <c r="AZ27" s="451">
        <v>0</v>
      </c>
      <c r="BA27" s="451">
        <v>900</v>
      </c>
      <c r="BB27" s="451">
        <v>2673</v>
      </c>
      <c r="BC27" s="451">
        <v>0</v>
      </c>
      <c r="BD27" s="451">
        <v>0</v>
      </c>
      <c r="BE27" s="451">
        <v>2673</v>
      </c>
      <c r="BF27" s="451">
        <v>0</v>
      </c>
      <c r="BG27" s="451">
        <v>0</v>
      </c>
      <c r="BH27" s="451">
        <v>0</v>
      </c>
      <c r="BI27" s="451">
        <v>0</v>
      </c>
      <c r="BJ27" s="451">
        <v>123680</v>
      </c>
      <c r="BK27" s="451">
        <v>0</v>
      </c>
      <c r="BL27" s="451">
        <v>0</v>
      </c>
      <c r="BM27" s="451">
        <v>123680</v>
      </c>
      <c r="BN27" s="451">
        <v>-66456</v>
      </c>
      <c r="BO27" s="451">
        <v>0</v>
      </c>
      <c r="BP27" s="451">
        <v>0</v>
      </c>
      <c r="BQ27" s="451">
        <v>-66456</v>
      </c>
      <c r="BR27" s="451">
        <v>2893675</v>
      </c>
      <c r="BS27" s="451">
        <v>0</v>
      </c>
      <c r="BT27" s="451">
        <v>0</v>
      </c>
      <c r="BU27" s="451">
        <v>2893675</v>
      </c>
      <c r="BV27" s="451">
        <v>-375354</v>
      </c>
      <c r="BW27" s="451">
        <v>0</v>
      </c>
      <c r="BX27" s="451">
        <v>0</v>
      </c>
      <c r="BY27" s="451">
        <v>-375354</v>
      </c>
      <c r="BZ27" s="451">
        <v>53128</v>
      </c>
      <c r="CA27" s="451">
        <v>0</v>
      </c>
      <c r="CB27" s="451">
        <v>0</v>
      </c>
      <c r="CC27" s="451">
        <v>53128</v>
      </c>
      <c r="CD27" s="451">
        <v>16708</v>
      </c>
      <c r="CE27" s="451">
        <v>0</v>
      </c>
      <c r="CF27" s="451">
        <v>0</v>
      </c>
      <c r="CG27" s="451">
        <v>16708</v>
      </c>
      <c r="CH27" s="451">
        <v>11556</v>
      </c>
      <c r="CI27" s="451">
        <v>0</v>
      </c>
      <c r="CJ27" s="451">
        <v>0</v>
      </c>
      <c r="CK27" s="451">
        <v>11556</v>
      </c>
      <c r="CL27" s="451">
        <v>129</v>
      </c>
      <c r="CM27" s="451">
        <v>0</v>
      </c>
      <c r="CN27" s="451">
        <v>0</v>
      </c>
      <c r="CO27" s="451">
        <v>129</v>
      </c>
      <c r="CP27" s="451">
        <v>0</v>
      </c>
      <c r="CQ27" s="451">
        <v>0</v>
      </c>
      <c r="CR27" s="451">
        <v>0</v>
      </c>
      <c r="CS27" s="451">
        <v>0</v>
      </c>
      <c r="CT27" s="451">
        <v>0</v>
      </c>
      <c r="CU27" s="451">
        <v>0</v>
      </c>
      <c r="CV27" s="451">
        <v>0</v>
      </c>
      <c r="CW27" s="451">
        <v>0</v>
      </c>
      <c r="CX27" s="451">
        <v>1336</v>
      </c>
      <c r="CY27" s="451">
        <v>0</v>
      </c>
      <c r="CZ27" s="451">
        <v>0</v>
      </c>
      <c r="DA27" s="451">
        <v>1336</v>
      </c>
      <c r="DB27" s="451">
        <v>0</v>
      </c>
      <c r="DC27" s="451">
        <v>0</v>
      </c>
      <c r="DD27" s="451">
        <v>0</v>
      </c>
      <c r="DE27" s="451">
        <v>0</v>
      </c>
      <c r="DF27" s="451">
        <v>0</v>
      </c>
      <c r="DG27" s="451">
        <v>0</v>
      </c>
      <c r="DH27" s="451">
        <v>0</v>
      </c>
      <c r="DI27" s="451">
        <v>0</v>
      </c>
      <c r="DJ27" s="451">
        <v>0</v>
      </c>
      <c r="DK27" s="451">
        <v>0</v>
      </c>
      <c r="DL27" s="451">
        <v>0</v>
      </c>
      <c r="DM27" s="451">
        <v>0</v>
      </c>
      <c r="DN27" s="451">
        <v>0</v>
      </c>
      <c r="DO27" s="451">
        <v>0</v>
      </c>
      <c r="DP27" s="451">
        <v>0</v>
      </c>
      <c r="DQ27" s="451">
        <v>0</v>
      </c>
      <c r="DR27" s="451">
        <v>0</v>
      </c>
      <c r="DS27" s="451">
        <v>0</v>
      </c>
      <c r="DT27" s="451">
        <v>0</v>
      </c>
      <c r="DU27" s="451">
        <v>0</v>
      </c>
      <c r="DV27" s="451">
        <v>0</v>
      </c>
      <c r="DW27" s="451">
        <v>0</v>
      </c>
      <c r="DX27" s="451">
        <v>0</v>
      </c>
      <c r="DY27" s="451">
        <v>0</v>
      </c>
      <c r="DZ27" s="451">
        <v>0</v>
      </c>
      <c r="EA27" s="451">
        <v>0</v>
      </c>
      <c r="EB27" s="451">
        <v>0</v>
      </c>
      <c r="EC27" s="451">
        <v>0</v>
      </c>
      <c r="ED27" s="451">
        <v>0</v>
      </c>
      <c r="EE27" s="451">
        <v>0</v>
      </c>
      <c r="EF27" s="451">
        <v>0</v>
      </c>
      <c r="EG27" s="451">
        <v>0</v>
      </c>
      <c r="EH27" s="451">
        <v>0</v>
      </c>
      <c r="EI27" s="451">
        <v>0</v>
      </c>
      <c r="EJ27" s="451">
        <v>0</v>
      </c>
      <c r="EK27" s="451">
        <v>0</v>
      </c>
      <c r="EL27" s="451">
        <v>0</v>
      </c>
      <c r="EM27" s="451">
        <v>0</v>
      </c>
    </row>
    <row r="28" spans="1:143" ht="12.75" x14ac:dyDescent="0.2">
      <c r="A28" s="446">
        <v>22</v>
      </c>
      <c r="B28" s="447" t="s">
        <v>625</v>
      </c>
      <c r="C28" s="448" t="s">
        <v>794</v>
      </c>
      <c r="D28" s="449" t="s">
        <v>1095</v>
      </c>
      <c r="E28" s="450" t="s">
        <v>710</v>
      </c>
      <c r="F28" s="451">
        <v>363809</v>
      </c>
      <c r="G28" s="451">
        <v>0</v>
      </c>
      <c r="H28" s="451">
        <v>0</v>
      </c>
      <c r="I28" s="451">
        <v>363809</v>
      </c>
      <c r="J28" s="451">
        <v>-60216</v>
      </c>
      <c r="K28" s="451">
        <v>0</v>
      </c>
      <c r="L28" s="451">
        <v>0</v>
      </c>
      <c r="M28" s="451">
        <v>-60216</v>
      </c>
      <c r="N28" s="451">
        <v>51230</v>
      </c>
      <c r="O28" s="451">
        <v>0</v>
      </c>
      <c r="P28" s="451">
        <v>0</v>
      </c>
      <c r="Q28" s="451">
        <v>51230</v>
      </c>
      <c r="R28" s="451">
        <v>155288</v>
      </c>
      <c r="S28" s="451">
        <v>0</v>
      </c>
      <c r="T28" s="451">
        <v>0</v>
      </c>
      <c r="U28" s="451">
        <v>155288</v>
      </c>
      <c r="V28" s="451">
        <v>5794451</v>
      </c>
      <c r="W28" s="451">
        <v>0</v>
      </c>
      <c r="X28" s="451">
        <v>0</v>
      </c>
      <c r="Y28" s="451">
        <v>5794451</v>
      </c>
      <c r="Z28" s="451">
        <v>168468</v>
      </c>
      <c r="AA28" s="451">
        <v>0</v>
      </c>
      <c r="AB28" s="451">
        <v>0</v>
      </c>
      <c r="AC28" s="451">
        <v>168468</v>
      </c>
      <c r="AD28" s="451">
        <v>951996</v>
      </c>
      <c r="AE28" s="451">
        <v>0</v>
      </c>
      <c r="AF28" s="451">
        <v>0</v>
      </c>
      <c r="AG28" s="451">
        <v>951996</v>
      </c>
      <c r="AH28" s="451">
        <v>-3797</v>
      </c>
      <c r="AI28" s="451">
        <v>0</v>
      </c>
      <c r="AJ28" s="451">
        <v>0</v>
      </c>
      <c r="AK28" s="451">
        <v>-3797</v>
      </c>
      <c r="AL28" s="451">
        <v>2324013</v>
      </c>
      <c r="AM28" s="451">
        <v>0</v>
      </c>
      <c r="AN28" s="451">
        <v>0</v>
      </c>
      <c r="AO28" s="451">
        <v>2324013</v>
      </c>
      <c r="AP28" s="451">
        <v>-6183</v>
      </c>
      <c r="AQ28" s="451">
        <v>0</v>
      </c>
      <c r="AR28" s="451">
        <v>0</v>
      </c>
      <c r="AS28" s="451">
        <v>-6183</v>
      </c>
      <c r="AT28" s="451">
        <v>0</v>
      </c>
      <c r="AU28" s="451">
        <v>0</v>
      </c>
      <c r="AV28" s="451">
        <v>0</v>
      </c>
      <c r="AW28" s="451">
        <v>0</v>
      </c>
      <c r="AX28" s="451">
        <v>0</v>
      </c>
      <c r="AY28" s="451">
        <v>0</v>
      </c>
      <c r="AZ28" s="451">
        <v>0</v>
      </c>
      <c r="BA28" s="451">
        <v>0</v>
      </c>
      <c r="BB28" s="451">
        <v>0</v>
      </c>
      <c r="BC28" s="451">
        <v>0</v>
      </c>
      <c r="BD28" s="451">
        <v>0</v>
      </c>
      <c r="BE28" s="451">
        <v>0</v>
      </c>
      <c r="BF28" s="451">
        <v>0</v>
      </c>
      <c r="BG28" s="451">
        <v>0</v>
      </c>
      <c r="BH28" s="451">
        <v>0</v>
      </c>
      <c r="BI28" s="451">
        <v>0</v>
      </c>
      <c r="BJ28" s="451">
        <v>5964</v>
      </c>
      <c r="BK28" s="451">
        <v>0</v>
      </c>
      <c r="BL28" s="451">
        <v>0</v>
      </c>
      <c r="BM28" s="451">
        <v>5964</v>
      </c>
      <c r="BN28" s="451">
        <v>1176</v>
      </c>
      <c r="BO28" s="451">
        <v>0</v>
      </c>
      <c r="BP28" s="451">
        <v>0</v>
      </c>
      <c r="BQ28" s="451">
        <v>1176</v>
      </c>
      <c r="BR28" s="451">
        <v>2111215</v>
      </c>
      <c r="BS28" s="451">
        <v>0</v>
      </c>
      <c r="BT28" s="451">
        <v>0</v>
      </c>
      <c r="BU28" s="451">
        <v>2111215</v>
      </c>
      <c r="BV28" s="451">
        <v>-85202</v>
      </c>
      <c r="BW28" s="451">
        <v>0</v>
      </c>
      <c r="BX28" s="451">
        <v>0</v>
      </c>
      <c r="BY28" s="451">
        <v>-85202</v>
      </c>
      <c r="BZ28" s="451">
        <v>6189</v>
      </c>
      <c r="CA28" s="451">
        <v>0</v>
      </c>
      <c r="CB28" s="451">
        <v>0</v>
      </c>
      <c r="CC28" s="451">
        <v>6189</v>
      </c>
      <c r="CD28" s="451">
        <v>0</v>
      </c>
      <c r="CE28" s="451">
        <v>0</v>
      </c>
      <c r="CF28" s="451">
        <v>0</v>
      </c>
      <c r="CG28" s="451">
        <v>0</v>
      </c>
      <c r="CH28" s="451">
        <v>32676</v>
      </c>
      <c r="CI28" s="451">
        <v>0</v>
      </c>
      <c r="CJ28" s="451">
        <v>0</v>
      </c>
      <c r="CK28" s="451">
        <v>32676</v>
      </c>
      <c r="CL28" s="451">
        <v>0</v>
      </c>
      <c r="CM28" s="451">
        <v>0</v>
      </c>
      <c r="CN28" s="451">
        <v>0</v>
      </c>
      <c r="CO28" s="451">
        <v>0</v>
      </c>
      <c r="CP28" s="451">
        <v>0</v>
      </c>
      <c r="CQ28" s="451">
        <v>0</v>
      </c>
      <c r="CR28" s="451">
        <v>0</v>
      </c>
      <c r="CS28" s="451">
        <v>0</v>
      </c>
      <c r="CT28" s="451">
        <v>0</v>
      </c>
      <c r="CU28" s="451">
        <v>0</v>
      </c>
      <c r="CV28" s="451">
        <v>0</v>
      </c>
      <c r="CW28" s="451">
        <v>0</v>
      </c>
      <c r="CX28" s="451">
        <v>0</v>
      </c>
      <c r="CY28" s="451">
        <v>0</v>
      </c>
      <c r="CZ28" s="451">
        <v>0</v>
      </c>
      <c r="DA28" s="451">
        <v>0</v>
      </c>
      <c r="DB28" s="451">
        <v>0</v>
      </c>
      <c r="DC28" s="451">
        <v>0</v>
      </c>
      <c r="DD28" s="451">
        <v>0</v>
      </c>
      <c r="DE28" s="451">
        <v>0</v>
      </c>
      <c r="DF28" s="451">
        <v>0</v>
      </c>
      <c r="DG28" s="451">
        <v>0</v>
      </c>
      <c r="DH28" s="451">
        <v>0</v>
      </c>
      <c r="DI28" s="451">
        <v>0</v>
      </c>
      <c r="DJ28" s="451">
        <v>0</v>
      </c>
      <c r="DK28" s="451">
        <v>0</v>
      </c>
      <c r="DL28" s="451">
        <v>0</v>
      </c>
      <c r="DM28" s="451">
        <v>0</v>
      </c>
      <c r="DN28" s="451">
        <v>0</v>
      </c>
      <c r="DO28" s="451">
        <v>0</v>
      </c>
      <c r="DP28" s="451">
        <v>0</v>
      </c>
      <c r="DQ28" s="451">
        <v>0</v>
      </c>
      <c r="DR28" s="451">
        <v>0</v>
      </c>
      <c r="DS28" s="451">
        <v>0</v>
      </c>
      <c r="DT28" s="451">
        <v>0</v>
      </c>
      <c r="DU28" s="451">
        <v>0</v>
      </c>
      <c r="DV28" s="451">
        <v>0</v>
      </c>
      <c r="DW28" s="451">
        <v>0</v>
      </c>
      <c r="DX28" s="451">
        <v>0</v>
      </c>
      <c r="DY28" s="451">
        <v>0</v>
      </c>
      <c r="DZ28" s="451">
        <v>0</v>
      </c>
      <c r="EA28" s="451">
        <v>0</v>
      </c>
      <c r="EB28" s="451">
        <v>0</v>
      </c>
      <c r="EC28" s="451">
        <v>0</v>
      </c>
      <c r="ED28" s="451">
        <v>0</v>
      </c>
      <c r="EE28" s="451">
        <v>0</v>
      </c>
      <c r="EF28" s="451">
        <v>0</v>
      </c>
      <c r="EG28" s="451">
        <v>0</v>
      </c>
      <c r="EH28" s="451">
        <v>0</v>
      </c>
      <c r="EI28" s="451">
        <v>0</v>
      </c>
      <c r="EJ28" s="451">
        <v>0</v>
      </c>
      <c r="EK28" s="451">
        <v>0</v>
      </c>
      <c r="EL28" s="451">
        <v>0</v>
      </c>
      <c r="EM28" s="451">
        <v>0</v>
      </c>
    </row>
    <row r="29" spans="1:143" ht="12.75" x14ac:dyDescent="0.2">
      <c r="A29" s="446">
        <v>23</v>
      </c>
      <c r="B29" s="447" t="s">
        <v>627</v>
      </c>
      <c r="C29" s="448" t="s">
        <v>1093</v>
      </c>
      <c r="D29" s="449" t="s">
        <v>1096</v>
      </c>
      <c r="E29" s="450" t="s">
        <v>626</v>
      </c>
      <c r="F29" s="451">
        <v>64213</v>
      </c>
      <c r="G29" s="451">
        <v>0</v>
      </c>
      <c r="H29" s="451">
        <v>0</v>
      </c>
      <c r="I29" s="451">
        <v>64213</v>
      </c>
      <c r="J29" s="451">
        <v>-90287</v>
      </c>
      <c r="K29" s="451">
        <v>0</v>
      </c>
      <c r="L29" s="451">
        <v>0</v>
      </c>
      <c r="M29" s="451">
        <v>-90287</v>
      </c>
      <c r="N29" s="451">
        <v>65634</v>
      </c>
      <c r="O29" s="451">
        <v>0</v>
      </c>
      <c r="P29" s="451">
        <v>0</v>
      </c>
      <c r="Q29" s="451">
        <v>65634</v>
      </c>
      <c r="R29" s="451">
        <v>-6367</v>
      </c>
      <c r="S29" s="451">
        <v>0</v>
      </c>
      <c r="T29" s="451">
        <v>0</v>
      </c>
      <c r="U29" s="451">
        <v>-6367</v>
      </c>
      <c r="V29" s="451">
        <v>1162151</v>
      </c>
      <c r="W29" s="451">
        <v>0</v>
      </c>
      <c r="X29" s="451">
        <v>0</v>
      </c>
      <c r="Y29" s="451">
        <v>1162151</v>
      </c>
      <c r="Z29" s="451">
        <v>28363</v>
      </c>
      <c r="AA29" s="451">
        <v>0</v>
      </c>
      <c r="AB29" s="451">
        <v>0</v>
      </c>
      <c r="AC29" s="451">
        <v>28363</v>
      </c>
      <c r="AD29" s="451">
        <v>403684</v>
      </c>
      <c r="AE29" s="451">
        <v>0</v>
      </c>
      <c r="AF29" s="451">
        <v>0</v>
      </c>
      <c r="AG29" s="451">
        <v>403684</v>
      </c>
      <c r="AH29" s="451">
        <v>-8916</v>
      </c>
      <c r="AI29" s="451">
        <v>0</v>
      </c>
      <c r="AJ29" s="451">
        <v>0</v>
      </c>
      <c r="AK29" s="451">
        <v>-8916</v>
      </c>
      <c r="AL29" s="451">
        <v>467111</v>
      </c>
      <c r="AM29" s="451">
        <v>0</v>
      </c>
      <c r="AN29" s="451">
        <v>0</v>
      </c>
      <c r="AO29" s="451">
        <v>467111</v>
      </c>
      <c r="AP29" s="451">
        <v>63585</v>
      </c>
      <c r="AQ29" s="451">
        <v>0</v>
      </c>
      <c r="AR29" s="451">
        <v>0</v>
      </c>
      <c r="AS29" s="451">
        <v>63585</v>
      </c>
      <c r="AT29" s="451">
        <v>0</v>
      </c>
      <c r="AU29" s="451">
        <v>0</v>
      </c>
      <c r="AV29" s="451">
        <v>0</v>
      </c>
      <c r="AW29" s="451">
        <v>0</v>
      </c>
      <c r="AX29" s="451">
        <v>0</v>
      </c>
      <c r="AY29" s="451">
        <v>0</v>
      </c>
      <c r="AZ29" s="451">
        <v>0</v>
      </c>
      <c r="BA29" s="451">
        <v>0</v>
      </c>
      <c r="BB29" s="451">
        <v>13290</v>
      </c>
      <c r="BC29" s="451">
        <v>0</v>
      </c>
      <c r="BD29" s="451">
        <v>0</v>
      </c>
      <c r="BE29" s="451">
        <v>13290</v>
      </c>
      <c r="BF29" s="451">
        <v>0</v>
      </c>
      <c r="BG29" s="451">
        <v>0</v>
      </c>
      <c r="BH29" s="451">
        <v>0</v>
      </c>
      <c r="BI29" s="451">
        <v>0</v>
      </c>
      <c r="BJ29" s="451">
        <v>419838</v>
      </c>
      <c r="BK29" s="451">
        <v>0</v>
      </c>
      <c r="BL29" s="451">
        <v>0</v>
      </c>
      <c r="BM29" s="451">
        <v>419838</v>
      </c>
      <c r="BN29" s="451">
        <v>37507</v>
      </c>
      <c r="BO29" s="451">
        <v>0</v>
      </c>
      <c r="BP29" s="451">
        <v>0</v>
      </c>
      <c r="BQ29" s="451">
        <v>37507</v>
      </c>
      <c r="BR29" s="451">
        <v>510755</v>
      </c>
      <c r="BS29" s="451">
        <v>0</v>
      </c>
      <c r="BT29" s="451">
        <v>0</v>
      </c>
      <c r="BU29" s="451">
        <v>510755</v>
      </c>
      <c r="BV29" s="451">
        <v>-75938</v>
      </c>
      <c r="BW29" s="451">
        <v>0</v>
      </c>
      <c r="BX29" s="451">
        <v>0</v>
      </c>
      <c r="BY29" s="451">
        <v>-75938</v>
      </c>
      <c r="BZ29" s="451">
        <v>0</v>
      </c>
      <c r="CA29" s="451">
        <v>0</v>
      </c>
      <c r="CB29" s="451">
        <v>0</v>
      </c>
      <c r="CC29" s="451">
        <v>0</v>
      </c>
      <c r="CD29" s="451">
        <v>20</v>
      </c>
      <c r="CE29" s="451">
        <v>0</v>
      </c>
      <c r="CF29" s="451">
        <v>0</v>
      </c>
      <c r="CG29" s="451">
        <v>20</v>
      </c>
      <c r="CH29" s="451">
        <v>26549</v>
      </c>
      <c r="CI29" s="451">
        <v>0</v>
      </c>
      <c r="CJ29" s="451">
        <v>0</v>
      </c>
      <c r="CK29" s="451">
        <v>26549</v>
      </c>
      <c r="CL29" s="451">
        <v>-3153</v>
      </c>
      <c r="CM29" s="451">
        <v>0</v>
      </c>
      <c r="CN29" s="451">
        <v>0</v>
      </c>
      <c r="CO29" s="451">
        <v>-3153</v>
      </c>
      <c r="CP29" s="451">
        <v>0</v>
      </c>
      <c r="CQ29" s="451">
        <v>0</v>
      </c>
      <c r="CR29" s="451">
        <v>0</v>
      </c>
      <c r="CS29" s="451">
        <v>0</v>
      </c>
      <c r="CT29" s="451">
        <v>0</v>
      </c>
      <c r="CU29" s="451">
        <v>0</v>
      </c>
      <c r="CV29" s="451">
        <v>0</v>
      </c>
      <c r="CW29" s="451">
        <v>0</v>
      </c>
      <c r="CX29" s="451">
        <v>0</v>
      </c>
      <c r="CY29" s="451">
        <v>0</v>
      </c>
      <c r="CZ29" s="451">
        <v>0</v>
      </c>
      <c r="DA29" s="451">
        <v>0</v>
      </c>
      <c r="DB29" s="451">
        <v>0</v>
      </c>
      <c r="DC29" s="451">
        <v>0</v>
      </c>
      <c r="DD29" s="451">
        <v>0</v>
      </c>
      <c r="DE29" s="451">
        <v>0</v>
      </c>
      <c r="DF29" s="451">
        <v>0</v>
      </c>
      <c r="DG29" s="451">
        <v>0</v>
      </c>
      <c r="DH29" s="451">
        <v>0</v>
      </c>
      <c r="DI29" s="451">
        <v>0</v>
      </c>
      <c r="DJ29" s="451">
        <v>0</v>
      </c>
      <c r="DK29" s="451">
        <v>0</v>
      </c>
      <c r="DL29" s="451">
        <v>0</v>
      </c>
      <c r="DM29" s="451">
        <v>0</v>
      </c>
      <c r="DN29" s="451">
        <v>0</v>
      </c>
      <c r="DO29" s="451">
        <v>0</v>
      </c>
      <c r="DP29" s="451">
        <v>0</v>
      </c>
      <c r="DQ29" s="451">
        <v>0</v>
      </c>
      <c r="DR29" s="451">
        <v>0</v>
      </c>
      <c r="DS29" s="451">
        <v>0</v>
      </c>
      <c r="DT29" s="451">
        <v>0</v>
      </c>
      <c r="DU29" s="451">
        <v>0</v>
      </c>
      <c r="DV29" s="451">
        <v>0</v>
      </c>
      <c r="DW29" s="451">
        <v>0</v>
      </c>
      <c r="DX29" s="451">
        <v>0</v>
      </c>
      <c r="DY29" s="451">
        <v>0</v>
      </c>
      <c r="DZ29" s="451">
        <v>0</v>
      </c>
      <c r="EA29" s="451">
        <v>0</v>
      </c>
      <c r="EB29" s="451">
        <v>0</v>
      </c>
      <c r="EC29" s="451">
        <v>0</v>
      </c>
      <c r="ED29" s="451">
        <v>0</v>
      </c>
      <c r="EE29" s="451">
        <v>0</v>
      </c>
      <c r="EF29" s="451">
        <v>0</v>
      </c>
      <c r="EG29" s="451">
        <v>0</v>
      </c>
      <c r="EH29" s="451">
        <v>0</v>
      </c>
      <c r="EI29" s="451">
        <v>0</v>
      </c>
      <c r="EJ29" s="451">
        <v>0</v>
      </c>
      <c r="EK29" s="451">
        <v>0</v>
      </c>
      <c r="EL29" s="451">
        <v>0</v>
      </c>
      <c r="EM29" s="451">
        <v>0</v>
      </c>
    </row>
    <row r="30" spans="1:143" ht="12.75" x14ac:dyDescent="0.2">
      <c r="A30" s="446">
        <v>24</v>
      </c>
      <c r="B30" s="447" t="s">
        <v>629</v>
      </c>
      <c r="C30" s="448" t="s">
        <v>1100</v>
      </c>
      <c r="D30" s="449" t="s">
        <v>1095</v>
      </c>
      <c r="E30" s="450" t="s">
        <v>628</v>
      </c>
      <c r="F30" s="451">
        <v>457222</v>
      </c>
      <c r="G30" s="451">
        <v>0</v>
      </c>
      <c r="H30" s="451">
        <v>0</v>
      </c>
      <c r="I30" s="451">
        <v>457222</v>
      </c>
      <c r="J30" s="451">
        <v>-338867</v>
      </c>
      <c r="K30" s="451">
        <v>0</v>
      </c>
      <c r="L30" s="451">
        <v>0</v>
      </c>
      <c r="M30" s="451">
        <v>-338867</v>
      </c>
      <c r="N30" s="451">
        <v>96634</v>
      </c>
      <c r="O30" s="451">
        <v>0</v>
      </c>
      <c r="P30" s="451">
        <v>0</v>
      </c>
      <c r="Q30" s="451">
        <v>96634</v>
      </c>
      <c r="R30" s="451">
        <v>523729</v>
      </c>
      <c r="S30" s="451">
        <v>0</v>
      </c>
      <c r="T30" s="451">
        <v>0</v>
      </c>
      <c r="U30" s="451">
        <v>523729</v>
      </c>
      <c r="V30" s="451">
        <v>7038978</v>
      </c>
      <c r="W30" s="451">
        <v>0</v>
      </c>
      <c r="X30" s="451">
        <v>0</v>
      </c>
      <c r="Y30" s="451">
        <v>7038978</v>
      </c>
      <c r="Z30" s="451">
        <v>196676</v>
      </c>
      <c r="AA30" s="451">
        <v>0</v>
      </c>
      <c r="AB30" s="451">
        <v>0</v>
      </c>
      <c r="AC30" s="451">
        <v>196676</v>
      </c>
      <c r="AD30" s="451">
        <v>1768079</v>
      </c>
      <c r="AE30" s="451">
        <v>0</v>
      </c>
      <c r="AF30" s="451">
        <v>0</v>
      </c>
      <c r="AG30" s="451">
        <v>1768079</v>
      </c>
      <c r="AH30" s="451">
        <v>70187</v>
      </c>
      <c r="AI30" s="451">
        <v>0</v>
      </c>
      <c r="AJ30" s="451">
        <v>0</v>
      </c>
      <c r="AK30" s="451">
        <v>70187</v>
      </c>
      <c r="AL30" s="451">
        <v>5597850</v>
      </c>
      <c r="AM30" s="451">
        <v>0</v>
      </c>
      <c r="AN30" s="451">
        <v>0</v>
      </c>
      <c r="AO30" s="451">
        <v>5597850</v>
      </c>
      <c r="AP30" s="451">
        <v>-124740</v>
      </c>
      <c r="AQ30" s="451">
        <v>0</v>
      </c>
      <c r="AR30" s="451">
        <v>0</v>
      </c>
      <c r="AS30" s="451">
        <v>-124740</v>
      </c>
      <c r="AT30" s="451">
        <v>99909</v>
      </c>
      <c r="AU30" s="451">
        <v>0</v>
      </c>
      <c r="AV30" s="451">
        <v>0</v>
      </c>
      <c r="AW30" s="451">
        <v>99909</v>
      </c>
      <c r="AX30" s="451">
        <v>0</v>
      </c>
      <c r="AY30" s="451">
        <v>0</v>
      </c>
      <c r="AZ30" s="451">
        <v>0</v>
      </c>
      <c r="BA30" s="451">
        <v>0</v>
      </c>
      <c r="BB30" s="451">
        <v>0</v>
      </c>
      <c r="BC30" s="451">
        <v>0</v>
      </c>
      <c r="BD30" s="451">
        <v>0</v>
      </c>
      <c r="BE30" s="451">
        <v>0</v>
      </c>
      <c r="BF30" s="451">
        <v>0</v>
      </c>
      <c r="BG30" s="451">
        <v>0</v>
      </c>
      <c r="BH30" s="451">
        <v>0</v>
      </c>
      <c r="BI30" s="451">
        <v>0</v>
      </c>
      <c r="BJ30" s="451">
        <v>246402</v>
      </c>
      <c r="BK30" s="451">
        <v>0</v>
      </c>
      <c r="BL30" s="451">
        <v>0</v>
      </c>
      <c r="BM30" s="451">
        <v>246402</v>
      </c>
      <c r="BN30" s="451">
        <v>85515</v>
      </c>
      <c r="BO30" s="451">
        <v>0</v>
      </c>
      <c r="BP30" s="451">
        <v>0</v>
      </c>
      <c r="BQ30" s="451">
        <v>85515</v>
      </c>
      <c r="BR30" s="451">
        <v>5274560</v>
      </c>
      <c r="BS30" s="451">
        <v>0</v>
      </c>
      <c r="BT30" s="451">
        <v>0</v>
      </c>
      <c r="BU30" s="451">
        <v>5274560</v>
      </c>
      <c r="BV30" s="451">
        <v>-141490</v>
      </c>
      <c r="BW30" s="451">
        <v>0</v>
      </c>
      <c r="BX30" s="451">
        <v>0</v>
      </c>
      <c r="BY30" s="451">
        <v>-141490</v>
      </c>
      <c r="BZ30" s="451">
        <v>703100</v>
      </c>
      <c r="CA30" s="451">
        <v>0</v>
      </c>
      <c r="CB30" s="451">
        <v>0</v>
      </c>
      <c r="CC30" s="451">
        <v>703100</v>
      </c>
      <c r="CD30" s="451">
        <v>-27241</v>
      </c>
      <c r="CE30" s="451">
        <v>0</v>
      </c>
      <c r="CF30" s="451">
        <v>0</v>
      </c>
      <c r="CG30" s="451">
        <v>-27241</v>
      </c>
      <c r="CH30" s="451">
        <v>258183</v>
      </c>
      <c r="CI30" s="451">
        <v>0</v>
      </c>
      <c r="CJ30" s="451">
        <v>0</v>
      </c>
      <c r="CK30" s="451">
        <v>258183</v>
      </c>
      <c r="CL30" s="451">
        <v>-6601</v>
      </c>
      <c r="CM30" s="451">
        <v>0</v>
      </c>
      <c r="CN30" s="451">
        <v>0</v>
      </c>
      <c r="CO30" s="451">
        <v>-6601</v>
      </c>
      <c r="CP30" s="451">
        <v>4277</v>
      </c>
      <c r="CQ30" s="451">
        <v>0</v>
      </c>
      <c r="CR30" s="451">
        <v>0</v>
      </c>
      <c r="CS30" s="451">
        <v>4277</v>
      </c>
      <c r="CT30" s="451">
        <v>0</v>
      </c>
      <c r="CU30" s="451">
        <v>0</v>
      </c>
      <c r="CV30" s="451">
        <v>0</v>
      </c>
      <c r="CW30" s="451">
        <v>0</v>
      </c>
      <c r="CX30" s="451">
        <v>0</v>
      </c>
      <c r="CY30" s="451">
        <v>0</v>
      </c>
      <c r="CZ30" s="451">
        <v>0</v>
      </c>
      <c r="DA30" s="451">
        <v>0</v>
      </c>
      <c r="DB30" s="451">
        <v>0</v>
      </c>
      <c r="DC30" s="451">
        <v>0</v>
      </c>
      <c r="DD30" s="451">
        <v>0</v>
      </c>
      <c r="DE30" s="451">
        <v>0</v>
      </c>
      <c r="DF30" s="451">
        <v>0</v>
      </c>
      <c r="DG30" s="451">
        <v>0</v>
      </c>
      <c r="DH30" s="451">
        <v>0</v>
      </c>
      <c r="DI30" s="451">
        <v>0</v>
      </c>
      <c r="DJ30" s="451">
        <v>0</v>
      </c>
      <c r="DK30" s="451">
        <v>0</v>
      </c>
      <c r="DL30" s="451">
        <v>0</v>
      </c>
      <c r="DM30" s="451">
        <v>0</v>
      </c>
      <c r="DN30" s="451">
        <v>0</v>
      </c>
      <c r="DO30" s="451">
        <v>0</v>
      </c>
      <c r="DP30" s="451">
        <v>0</v>
      </c>
      <c r="DQ30" s="451">
        <v>0</v>
      </c>
      <c r="DR30" s="451">
        <v>0</v>
      </c>
      <c r="DS30" s="451">
        <v>0</v>
      </c>
      <c r="DT30" s="451">
        <v>0</v>
      </c>
      <c r="DU30" s="451">
        <v>0</v>
      </c>
      <c r="DV30" s="451">
        <v>0</v>
      </c>
      <c r="DW30" s="451">
        <v>0</v>
      </c>
      <c r="DX30" s="451">
        <v>0</v>
      </c>
      <c r="DY30" s="451">
        <v>0</v>
      </c>
      <c r="DZ30" s="451">
        <v>0</v>
      </c>
      <c r="EA30" s="451">
        <v>0</v>
      </c>
      <c r="EB30" s="451">
        <v>0</v>
      </c>
      <c r="EC30" s="451">
        <v>0</v>
      </c>
      <c r="ED30" s="451">
        <v>0</v>
      </c>
      <c r="EE30" s="451">
        <v>0</v>
      </c>
      <c r="EF30" s="451">
        <v>0</v>
      </c>
      <c r="EG30" s="451">
        <v>0</v>
      </c>
      <c r="EH30" s="451">
        <v>0</v>
      </c>
      <c r="EI30" s="451">
        <v>0</v>
      </c>
      <c r="EJ30" s="451">
        <v>0</v>
      </c>
      <c r="EK30" s="451">
        <v>0</v>
      </c>
      <c r="EL30" s="451">
        <v>0</v>
      </c>
      <c r="EM30" s="451">
        <v>0</v>
      </c>
    </row>
    <row r="31" spans="1:143" ht="12.75" x14ac:dyDescent="0.2">
      <c r="A31" s="446">
        <v>25</v>
      </c>
      <c r="B31" s="447" t="s">
        <v>631</v>
      </c>
      <c r="C31" s="448" t="s">
        <v>1093</v>
      </c>
      <c r="D31" s="449" t="s">
        <v>1096</v>
      </c>
      <c r="E31" s="450" t="s">
        <v>630</v>
      </c>
      <c r="F31" s="451">
        <v>14671</v>
      </c>
      <c r="G31" s="451">
        <v>0</v>
      </c>
      <c r="H31" s="451">
        <v>0</v>
      </c>
      <c r="I31" s="451">
        <v>14671</v>
      </c>
      <c r="J31" s="451">
        <v>-8509</v>
      </c>
      <c r="K31" s="451">
        <v>0</v>
      </c>
      <c r="L31" s="451">
        <v>0</v>
      </c>
      <c r="M31" s="451">
        <v>-8509</v>
      </c>
      <c r="N31" s="451">
        <v>2231</v>
      </c>
      <c r="O31" s="451">
        <v>0</v>
      </c>
      <c r="P31" s="451">
        <v>0</v>
      </c>
      <c r="Q31" s="451">
        <v>2231</v>
      </c>
      <c r="R31" s="451">
        <v>35963</v>
      </c>
      <c r="S31" s="451">
        <v>0</v>
      </c>
      <c r="T31" s="451">
        <v>0</v>
      </c>
      <c r="U31" s="451">
        <v>35963</v>
      </c>
      <c r="V31" s="451">
        <v>1296309</v>
      </c>
      <c r="W31" s="451">
        <v>0</v>
      </c>
      <c r="X31" s="451">
        <v>0</v>
      </c>
      <c r="Y31" s="451">
        <v>1296309</v>
      </c>
      <c r="Z31" s="451">
        <v>33273</v>
      </c>
      <c r="AA31" s="451">
        <v>0</v>
      </c>
      <c r="AB31" s="451">
        <v>0</v>
      </c>
      <c r="AC31" s="451">
        <v>33273</v>
      </c>
      <c r="AD31" s="451">
        <v>368483</v>
      </c>
      <c r="AE31" s="451">
        <v>0</v>
      </c>
      <c r="AF31" s="451">
        <v>0</v>
      </c>
      <c r="AG31" s="451">
        <v>368483</v>
      </c>
      <c r="AH31" s="451">
        <v>-7973</v>
      </c>
      <c r="AI31" s="451">
        <v>0</v>
      </c>
      <c r="AJ31" s="451">
        <v>0</v>
      </c>
      <c r="AK31" s="451">
        <v>-7973</v>
      </c>
      <c r="AL31" s="451">
        <v>1304697</v>
      </c>
      <c r="AM31" s="451">
        <v>0</v>
      </c>
      <c r="AN31" s="451">
        <v>0</v>
      </c>
      <c r="AO31" s="451">
        <v>1304697</v>
      </c>
      <c r="AP31" s="451">
        <v>-10907</v>
      </c>
      <c r="AQ31" s="451">
        <v>0</v>
      </c>
      <c r="AR31" s="451">
        <v>0</v>
      </c>
      <c r="AS31" s="451">
        <v>-10907</v>
      </c>
      <c r="AT31" s="451">
        <v>54730</v>
      </c>
      <c r="AU31" s="451">
        <v>0</v>
      </c>
      <c r="AV31" s="451">
        <v>0</v>
      </c>
      <c r="AW31" s="451">
        <v>54730</v>
      </c>
      <c r="AX31" s="451">
        <v>30586</v>
      </c>
      <c r="AY31" s="451">
        <v>0</v>
      </c>
      <c r="AZ31" s="451">
        <v>0</v>
      </c>
      <c r="BA31" s="451">
        <v>30586</v>
      </c>
      <c r="BB31" s="451">
        <v>22241</v>
      </c>
      <c r="BC31" s="451">
        <v>0</v>
      </c>
      <c r="BD31" s="451">
        <v>0</v>
      </c>
      <c r="BE31" s="451">
        <v>22241</v>
      </c>
      <c r="BF31" s="451">
        <v>-142</v>
      </c>
      <c r="BG31" s="451">
        <v>0</v>
      </c>
      <c r="BH31" s="451">
        <v>0</v>
      </c>
      <c r="BI31" s="451">
        <v>-142</v>
      </c>
      <c r="BJ31" s="451">
        <v>4603</v>
      </c>
      <c r="BK31" s="451">
        <v>0</v>
      </c>
      <c r="BL31" s="451">
        <v>0</v>
      </c>
      <c r="BM31" s="451">
        <v>4603</v>
      </c>
      <c r="BN31" s="451">
        <v>3504</v>
      </c>
      <c r="BO31" s="451">
        <v>0</v>
      </c>
      <c r="BP31" s="451">
        <v>0</v>
      </c>
      <c r="BQ31" s="451">
        <v>3504</v>
      </c>
      <c r="BR31" s="451">
        <v>930838</v>
      </c>
      <c r="BS31" s="451">
        <v>0</v>
      </c>
      <c r="BT31" s="451">
        <v>0</v>
      </c>
      <c r="BU31" s="451">
        <v>930838</v>
      </c>
      <c r="BV31" s="451">
        <v>56546</v>
      </c>
      <c r="BW31" s="451">
        <v>0</v>
      </c>
      <c r="BX31" s="451">
        <v>0</v>
      </c>
      <c r="BY31" s="451">
        <v>56546</v>
      </c>
      <c r="BZ31" s="451">
        <v>61639</v>
      </c>
      <c r="CA31" s="451">
        <v>0</v>
      </c>
      <c r="CB31" s="451">
        <v>0</v>
      </c>
      <c r="CC31" s="451">
        <v>61639</v>
      </c>
      <c r="CD31" s="451">
        <v>0</v>
      </c>
      <c r="CE31" s="451">
        <v>0</v>
      </c>
      <c r="CF31" s="451">
        <v>0</v>
      </c>
      <c r="CG31" s="451">
        <v>0</v>
      </c>
      <c r="CH31" s="451">
        <v>42009</v>
      </c>
      <c r="CI31" s="451">
        <v>0</v>
      </c>
      <c r="CJ31" s="451">
        <v>0</v>
      </c>
      <c r="CK31" s="451">
        <v>42009</v>
      </c>
      <c r="CL31" s="451">
        <v>0</v>
      </c>
      <c r="CM31" s="451">
        <v>0</v>
      </c>
      <c r="CN31" s="451">
        <v>0</v>
      </c>
      <c r="CO31" s="451">
        <v>0</v>
      </c>
      <c r="CP31" s="451">
        <v>10951</v>
      </c>
      <c r="CQ31" s="451">
        <v>0</v>
      </c>
      <c r="CR31" s="451">
        <v>0</v>
      </c>
      <c r="CS31" s="451">
        <v>10951</v>
      </c>
      <c r="CT31" s="451">
        <v>0</v>
      </c>
      <c r="CU31" s="451">
        <v>0</v>
      </c>
      <c r="CV31" s="451">
        <v>0</v>
      </c>
      <c r="CW31" s="451">
        <v>0</v>
      </c>
      <c r="CX31" s="451">
        <v>1280</v>
      </c>
      <c r="CY31" s="451">
        <v>0</v>
      </c>
      <c r="CZ31" s="451">
        <v>0</v>
      </c>
      <c r="DA31" s="451">
        <v>1280</v>
      </c>
      <c r="DB31" s="451">
        <v>-142</v>
      </c>
      <c r="DC31" s="451">
        <v>0</v>
      </c>
      <c r="DD31" s="451">
        <v>0</v>
      </c>
      <c r="DE31" s="451">
        <v>-142</v>
      </c>
      <c r="DF31" s="451">
        <v>0</v>
      </c>
      <c r="DG31" s="451">
        <v>0</v>
      </c>
      <c r="DH31" s="451">
        <v>0</v>
      </c>
      <c r="DI31" s="451">
        <v>0</v>
      </c>
      <c r="DJ31" s="451">
        <v>0</v>
      </c>
      <c r="DK31" s="451">
        <v>0</v>
      </c>
      <c r="DL31" s="451">
        <v>0</v>
      </c>
      <c r="DM31" s="451">
        <v>0</v>
      </c>
      <c r="DN31" s="451">
        <v>0</v>
      </c>
      <c r="DO31" s="451">
        <v>0</v>
      </c>
      <c r="DP31" s="451">
        <v>0</v>
      </c>
      <c r="DQ31" s="451">
        <v>0</v>
      </c>
      <c r="DR31" s="451">
        <v>0</v>
      </c>
      <c r="DS31" s="451">
        <v>0</v>
      </c>
      <c r="DT31" s="451">
        <v>0</v>
      </c>
      <c r="DU31" s="451">
        <v>0</v>
      </c>
      <c r="DV31" s="451">
        <v>0</v>
      </c>
      <c r="DW31" s="451">
        <v>0</v>
      </c>
      <c r="DX31" s="451">
        <v>0</v>
      </c>
      <c r="DY31" s="451">
        <v>0</v>
      </c>
      <c r="DZ31" s="451">
        <v>0</v>
      </c>
      <c r="EA31" s="451">
        <v>0</v>
      </c>
      <c r="EB31" s="451">
        <v>68797</v>
      </c>
      <c r="EC31" s="451">
        <v>0</v>
      </c>
      <c r="ED31" s="451">
        <v>0</v>
      </c>
      <c r="EE31" s="451">
        <v>68797</v>
      </c>
      <c r="EF31" s="451">
        <v>0</v>
      </c>
      <c r="EG31" s="451">
        <v>0</v>
      </c>
      <c r="EH31" s="451">
        <v>0</v>
      </c>
      <c r="EI31" s="451">
        <v>0</v>
      </c>
      <c r="EJ31" s="451">
        <v>0</v>
      </c>
      <c r="EK31" s="451">
        <v>0</v>
      </c>
      <c r="EL31" s="451">
        <v>0</v>
      </c>
      <c r="EM31" s="451">
        <v>0</v>
      </c>
    </row>
    <row r="32" spans="1:143" ht="12.75" x14ac:dyDescent="0.2">
      <c r="A32" s="446">
        <v>26</v>
      </c>
      <c r="B32" s="447" t="s">
        <v>633</v>
      </c>
      <c r="C32" s="448" t="s">
        <v>794</v>
      </c>
      <c r="D32" s="449" t="s">
        <v>1102</v>
      </c>
      <c r="E32" s="450" t="s">
        <v>711</v>
      </c>
      <c r="F32" s="451">
        <v>131079</v>
      </c>
      <c r="G32" s="451">
        <v>0</v>
      </c>
      <c r="H32" s="451">
        <v>0</v>
      </c>
      <c r="I32" s="451">
        <v>131079</v>
      </c>
      <c r="J32" s="451">
        <v>-585421</v>
      </c>
      <c r="K32" s="451">
        <v>0</v>
      </c>
      <c r="L32" s="451">
        <v>0</v>
      </c>
      <c r="M32" s="451">
        <v>-585421</v>
      </c>
      <c r="N32" s="451">
        <v>211118</v>
      </c>
      <c r="O32" s="451">
        <v>0</v>
      </c>
      <c r="P32" s="451">
        <v>0</v>
      </c>
      <c r="Q32" s="451">
        <v>211118</v>
      </c>
      <c r="R32" s="451">
        <v>479859</v>
      </c>
      <c r="S32" s="451">
        <v>0</v>
      </c>
      <c r="T32" s="451">
        <v>0</v>
      </c>
      <c r="U32" s="451">
        <v>479859</v>
      </c>
      <c r="V32" s="451">
        <v>4284855</v>
      </c>
      <c r="W32" s="451">
        <v>0</v>
      </c>
      <c r="X32" s="451">
        <v>0</v>
      </c>
      <c r="Y32" s="451">
        <v>4284855</v>
      </c>
      <c r="Z32" s="451">
        <v>101598</v>
      </c>
      <c r="AA32" s="451">
        <v>0</v>
      </c>
      <c r="AB32" s="451">
        <v>0</v>
      </c>
      <c r="AC32" s="451">
        <v>101598</v>
      </c>
      <c r="AD32" s="451">
        <v>1272360</v>
      </c>
      <c r="AE32" s="451">
        <v>0</v>
      </c>
      <c r="AF32" s="451">
        <v>0</v>
      </c>
      <c r="AG32" s="451">
        <v>1272360</v>
      </c>
      <c r="AH32" s="451">
        <v>-62661</v>
      </c>
      <c r="AI32" s="451">
        <v>0</v>
      </c>
      <c r="AJ32" s="451">
        <v>0</v>
      </c>
      <c r="AK32" s="451">
        <v>-62661</v>
      </c>
      <c r="AL32" s="451">
        <v>4766906</v>
      </c>
      <c r="AM32" s="451">
        <v>0</v>
      </c>
      <c r="AN32" s="451">
        <v>0</v>
      </c>
      <c r="AO32" s="451">
        <v>4766906</v>
      </c>
      <c r="AP32" s="451">
        <v>-81532</v>
      </c>
      <c r="AQ32" s="451">
        <v>0</v>
      </c>
      <c r="AR32" s="451">
        <v>0</v>
      </c>
      <c r="AS32" s="451">
        <v>-81532</v>
      </c>
      <c r="AT32" s="451">
        <v>109272</v>
      </c>
      <c r="AU32" s="451">
        <v>0</v>
      </c>
      <c r="AV32" s="451">
        <v>0</v>
      </c>
      <c r="AW32" s="451">
        <v>109272</v>
      </c>
      <c r="AX32" s="451">
        <v>0</v>
      </c>
      <c r="AY32" s="451">
        <v>0</v>
      </c>
      <c r="AZ32" s="451">
        <v>0</v>
      </c>
      <c r="BA32" s="451">
        <v>0</v>
      </c>
      <c r="BB32" s="451">
        <v>0</v>
      </c>
      <c r="BC32" s="451">
        <v>0</v>
      </c>
      <c r="BD32" s="451">
        <v>0</v>
      </c>
      <c r="BE32" s="451">
        <v>0</v>
      </c>
      <c r="BF32" s="451">
        <v>0</v>
      </c>
      <c r="BG32" s="451">
        <v>0</v>
      </c>
      <c r="BH32" s="451">
        <v>0</v>
      </c>
      <c r="BI32" s="451">
        <v>0</v>
      </c>
      <c r="BJ32" s="451">
        <v>0</v>
      </c>
      <c r="BK32" s="451">
        <v>0</v>
      </c>
      <c r="BL32" s="451">
        <v>0</v>
      </c>
      <c r="BM32" s="451">
        <v>0</v>
      </c>
      <c r="BN32" s="451">
        <v>-899</v>
      </c>
      <c r="BO32" s="451">
        <v>0</v>
      </c>
      <c r="BP32" s="451">
        <v>0</v>
      </c>
      <c r="BQ32" s="451">
        <v>-899</v>
      </c>
      <c r="BR32" s="451">
        <v>2337109</v>
      </c>
      <c r="BS32" s="451">
        <v>0</v>
      </c>
      <c r="BT32" s="451">
        <v>0</v>
      </c>
      <c r="BU32" s="451">
        <v>2337109</v>
      </c>
      <c r="BV32" s="451">
        <v>-378576</v>
      </c>
      <c r="BW32" s="451">
        <v>0</v>
      </c>
      <c r="BX32" s="451">
        <v>0</v>
      </c>
      <c r="BY32" s="451">
        <v>-378576</v>
      </c>
      <c r="BZ32" s="451">
        <v>167199</v>
      </c>
      <c r="CA32" s="451">
        <v>0</v>
      </c>
      <c r="CB32" s="451">
        <v>0</v>
      </c>
      <c r="CC32" s="451">
        <v>167199</v>
      </c>
      <c r="CD32" s="451">
        <v>0</v>
      </c>
      <c r="CE32" s="451">
        <v>0</v>
      </c>
      <c r="CF32" s="451">
        <v>0</v>
      </c>
      <c r="CG32" s="451">
        <v>0</v>
      </c>
      <c r="CH32" s="451">
        <v>37682</v>
      </c>
      <c r="CI32" s="451">
        <v>0</v>
      </c>
      <c r="CJ32" s="451">
        <v>0</v>
      </c>
      <c r="CK32" s="451">
        <v>37682</v>
      </c>
      <c r="CL32" s="451">
        <v>2314</v>
      </c>
      <c r="CM32" s="451">
        <v>0</v>
      </c>
      <c r="CN32" s="451">
        <v>0</v>
      </c>
      <c r="CO32" s="451">
        <v>2314</v>
      </c>
      <c r="CP32" s="451">
        <v>16391</v>
      </c>
      <c r="CQ32" s="451">
        <v>0</v>
      </c>
      <c r="CR32" s="451">
        <v>0</v>
      </c>
      <c r="CS32" s="451">
        <v>16391</v>
      </c>
      <c r="CT32" s="451">
        <v>0</v>
      </c>
      <c r="CU32" s="451">
        <v>0</v>
      </c>
      <c r="CV32" s="451">
        <v>0</v>
      </c>
      <c r="CW32" s="451">
        <v>0</v>
      </c>
      <c r="CX32" s="451">
        <v>0</v>
      </c>
      <c r="CY32" s="451">
        <v>0</v>
      </c>
      <c r="CZ32" s="451">
        <v>0</v>
      </c>
      <c r="DA32" s="451">
        <v>0</v>
      </c>
      <c r="DB32" s="451">
        <v>0</v>
      </c>
      <c r="DC32" s="451">
        <v>0</v>
      </c>
      <c r="DD32" s="451">
        <v>0</v>
      </c>
      <c r="DE32" s="451">
        <v>0</v>
      </c>
      <c r="DF32" s="451">
        <v>0</v>
      </c>
      <c r="DG32" s="451">
        <v>0</v>
      </c>
      <c r="DH32" s="451">
        <v>0</v>
      </c>
      <c r="DI32" s="451">
        <v>0</v>
      </c>
      <c r="DJ32" s="451">
        <v>0</v>
      </c>
      <c r="DK32" s="451">
        <v>0</v>
      </c>
      <c r="DL32" s="451">
        <v>0</v>
      </c>
      <c r="DM32" s="451">
        <v>0</v>
      </c>
      <c r="DN32" s="451">
        <v>0</v>
      </c>
      <c r="DO32" s="451">
        <v>0</v>
      </c>
      <c r="DP32" s="451">
        <v>0</v>
      </c>
      <c r="DQ32" s="451">
        <v>0</v>
      </c>
      <c r="DR32" s="451">
        <v>0</v>
      </c>
      <c r="DS32" s="451">
        <v>0</v>
      </c>
      <c r="DT32" s="451">
        <v>0</v>
      </c>
      <c r="DU32" s="451">
        <v>0</v>
      </c>
      <c r="DV32" s="451">
        <v>0</v>
      </c>
      <c r="DW32" s="451">
        <v>0</v>
      </c>
      <c r="DX32" s="451">
        <v>0</v>
      </c>
      <c r="DY32" s="451">
        <v>0</v>
      </c>
      <c r="DZ32" s="451">
        <v>0</v>
      </c>
      <c r="EA32" s="451">
        <v>0</v>
      </c>
      <c r="EB32" s="451">
        <v>0</v>
      </c>
      <c r="EC32" s="451">
        <v>0</v>
      </c>
      <c r="ED32" s="451">
        <v>0</v>
      </c>
      <c r="EE32" s="451">
        <v>0</v>
      </c>
      <c r="EF32" s="451">
        <v>0</v>
      </c>
      <c r="EG32" s="451">
        <v>0</v>
      </c>
      <c r="EH32" s="451">
        <v>0</v>
      </c>
      <c r="EI32" s="451">
        <v>0</v>
      </c>
      <c r="EJ32" s="451">
        <v>0</v>
      </c>
      <c r="EK32" s="451">
        <v>0</v>
      </c>
      <c r="EL32" s="451">
        <v>0</v>
      </c>
      <c r="EM32" s="451">
        <v>0</v>
      </c>
    </row>
    <row r="33" spans="1:143" ht="12.75" x14ac:dyDescent="0.2">
      <c r="A33" s="446">
        <v>27</v>
      </c>
      <c r="B33" s="447" t="s">
        <v>635</v>
      </c>
      <c r="C33" s="448" t="s">
        <v>794</v>
      </c>
      <c r="D33" s="449" t="s">
        <v>1094</v>
      </c>
      <c r="E33" s="450" t="s">
        <v>712</v>
      </c>
      <c r="F33" s="451">
        <v>88077</v>
      </c>
      <c r="G33" s="451">
        <v>0</v>
      </c>
      <c r="H33" s="451">
        <v>0</v>
      </c>
      <c r="I33" s="451">
        <v>88077</v>
      </c>
      <c r="J33" s="451">
        <v>-48764</v>
      </c>
      <c r="K33" s="451">
        <v>0</v>
      </c>
      <c r="L33" s="451">
        <v>0</v>
      </c>
      <c r="M33" s="451">
        <v>-48764</v>
      </c>
      <c r="N33" s="451">
        <v>31670</v>
      </c>
      <c r="O33" s="451">
        <v>0</v>
      </c>
      <c r="P33" s="451">
        <v>0</v>
      </c>
      <c r="Q33" s="451">
        <v>31670</v>
      </c>
      <c r="R33" s="451">
        <v>879409</v>
      </c>
      <c r="S33" s="451">
        <v>0</v>
      </c>
      <c r="T33" s="451">
        <v>0</v>
      </c>
      <c r="U33" s="451">
        <v>879409</v>
      </c>
      <c r="V33" s="451">
        <v>769966</v>
      </c>
      <c r="W33" s="451">
        <v>0</v>
      </c>
      <c r="X33" s="451">
        <v>0</v>
      </c>
      <c r="Y33" s="451">
        <v>769966</v>
      </c>
      <c r="Z33" s="451">
        <v>77946</v>
      </c>
      <c r="AA33" s="451">
        <v>0</v>
      </c>
      <c r="AB33" s="451">
        <v>0</v>
      </c>
      <c r="AC33" s="451">
        <v>77946</v>
      </c>
      <c r="AD33" s="451">
        <v>1458022</v>
      </c>
      <c r="AE33" s="451">
        <v>0</v>
      </c>
      <c r="AF33" s="451">
        <v>0</v>
      </c>
      <c r="AG33" s="451">
        <v>1458022</v>
      </c>
      <c r="AH33" s="451">
        <v>-41679</v>
      </c>
      <c r="AI33" s="451">
        <v>0</v>
      </c>
      <c r="AJ33" s="451">
        <v>0</v>
      </c>
      <c r="AK33" s="451">
        <v>-41679</v>
      </c>
      <c r="AL33" s="451">
        <v>1834793</v>
      </c>
      <c r="AM33" s="451">
        <v>0</v>
      </c>
      <c r="AN33" s="451">
        <v>0</v>
      </c>
      <c r="AO33" s="451">
        <v>1834793</v>
      </c>
      <c r="AP33" s="451">
        <v>-35254</v>
      </c>
      <c r="AQ33" s="451">
        <v>0</v>
      </c>
      <c r="AR33" s="451">
        <v>0</v>
      </c>
      <c r="AS33" s="451">
        <v>-35254</v>
      </c>
      <c r="AT33" s="451">
        <v>3354</v>
      </c>
      <c r="AU33" s="451">
        <v>0</v>
      </c>
      <c r="AV33" s="451">
        <v>0</v>
      </c>
      <c r="AW33" s="451">
        <v>3354</v>
      </c>
      <c r="AX33" s="451">
        <v>0</v>
      </c>
      <c r="AY33" s="451">
        <v>0</v>
      </c>
      <c r="AZ33" s="451">
        <v>0</v>
      </c>
      <c r="BA33" s="451">
        <v>0</v>
      </c>
      <c r="BB33" s="451">
        <v>0</v>
      </c>
      <c r="BC33" s="451">
        <v>0</v>
      </c>
      <c r="BD33" s="451">
        <v>0</v>
      </c>
      <c r="BE33" s="451">
        <v>0</v>
      </c>
      <c r="BF33" s="451">
        <v>0</v>
      </c>
      <c r="BG33" s="451">
        <v>0</v>
      </c>
      <c r="BH33" s="451">
        <v>0</v>
      </c>
      <c r="BI33" s="451">
        <v>0</v>
      </c>
      <c r="BJ33" s="451">
        <v>75869</v>
      </c>
      <c r="BK33" s="451">
        <v>0</v>
      </c>
      <c r="BL33" s="451">
        <v>0</v>
      </c>
      <c r="BM33" s="451">
        <v>75869</v>
      </c>
      <c r="BN33" s="451">
        <v>-24966</v>
      </c>
      <c r="BO33" s="451">
        <v>0</v>
      </c>
      <c r="BP33" s="451">
        <v>0</v>
      </c>
      <c r="BQ33" s="451">
        <v>-24966</v>
      </c>
      <c r="BR33" s="451">
        <v>2591939</v>
      </c>
      <c r="BS33" s="451">
        <v>0</v>
      </c>
      <c r="BT33" s="451">
        <v>0</v>
      </c>
      <c r="BU33" s="451">
        <v>2591939</v>
      </c>
      <c r="BV33" s="451">
        <v>148235</v>
      </c>
      <c r="BW33" s="451">
        <v>0</v>
      </c>
      <c r="BX33" s="451">
        <v>0</v>
      </c>
      <c r="BY33" s="451">
        <v>148235</v>
      </c>
      <c r="BZ33" s="451">
        <v>71632</v>
      </c>
      <c r="CA33" s="451">
        <v>0</v>
      </c>
      <c r="CB33" s="451">
        <v>0</v>
      </c>
      <c r="CC33" s="451">
        <v>71632</v>
      </c>
      <c r="CD33" s="451">
        <v>1404</v>
      </c>
      <c r="CE33" s="451">
        <v>0</v>
      </c>
      <c r="CF33" s="451">
        <v>0</v>
      </c>
      <c r="CG33" s="451">
        <v>1404</v>
      </c>
      <c r="CH33" s="451">
        <v>49072</v>
      </c>
      <c r="CI33" s="451">
        <v>0</v>
      </c>
      <c r="CJ33" s="451">
        <v>0</v>
      </c>
      <c r="CK33" s="451">
        <v>49072</v>
      </c>
      <c r="CL33" s="451">
        <v>0</v>
      </c>
      <c r="CM33" s="451">
        <v>0</v>
      </c>
      <c r="CN33" s="451">
        <v>0</v>
      </c>
      <c r="CO33" s="451">
        <v>0</v>
      </c>
      <c r="CP33" s="451">
        <v>0</v>
      </c>
      <c r="CQ33" s="451">
        <v>0</v>
      </c>
      <c r="CR33" s="451">
        <v>0</v>
      </c>
      <c r="CS33" s="451">
        <v>0</v>
      </c>
      <c r="CT33" s="451">
        <v>0</v>
      </c>
      <c r="CU33" s="451">
        <v>0</v>
      </c>
      <c r="CV33" s="451">
        <v>0</v>
      </c>
      <c r="CW33" s="451">
        <v>0</v>
      </c>
      <c r="CX33" s="451">
        <v>0</v>
      </c>
      <c r="CY33" s="451">
        <v>0</v>
      </c>
      <c r="CZ33" s="451">
        <v>0</v>
      </c>
      <c r="DA33" s="451">
        <v>0</v>
      </c>
      <c r="DB33" s="451">
        <v>0</v>
      </c>
      <c r="DC33" s="451">
        <v>0</v>
      </c>
      <c r="DD33" s="451">
        <v>0</v>
      </c>
      <c r="DE33" s="451">
        <v>0</v>
      </c>
      <c r="DF33" s="451">
        <v>0</v>
      </c>
      <c r="DG33" s="451">
        <v>0</v>
      </c>
      <c r="DH33" s="451">
        <v>0</v>
      </c>
      <c r="DI33" s="451">
        <v>0</v>
      </c>
      <c r="DJ33" s="451">
        <v>0</v>
      </c>
      <c r="DK33" s="451">
        <v>0</v>
      </c>
      <c r="DL33" s="451">
        <v>0</v>
      </c>
      <c r="DM33" s="451">
        <v>0</v>
      </c>
      <c r="DN33" s="451">
        <v>0</v>
      </c>
      <c r="DO33" s="451">
        <v>0</v>
      </c>
      <c r="DP33" s="451">
        <v>0</v>
      </c>
      <c r="DQ33" s="451">
        <v>0</v>
      </c>
      <c r="DR33" s="451">
        <v>0</v>
      </c>
      <c r="DS33" s="451">
        <v>0</v>
      </c>
      <c r="DT33" s="451">
        <v>0</v>
      </c>
      <c r="DU33" s="451">
        <v>0</v>
      </c>
      <c r="DV33" s="451">
        <v>0</v>
      </c>
      <c r="DW33" s="451">
        <v>0</v>
      </c>
      <c r="DX33" s="451">
        <v>0</v>
      </c>
      <c r="DY33" s="451">
        <v>0</v>
      </c>
      <c r="DZ33" s="451">
        <v>0</v>
      </c>
      <c r="EA33" s="451">
        <v>0</v>
      </c>
      <c r="EB33" s="451">
        <v>0</v>
      </c>
      <c r="EC33" s="451">
        <v>0</v>
      </c>
      <c r="ED33" s="451">
        <v>0</v>
      </c>
      <c r="EE33" s="451">
        <v>0</v>
      </c>
      <c r="EF33" s="451">
        <v>0</v>
      </c>
      <c r="EG33" s="451">
        <v>0</v>
      </c>
      <c r="EH33" s="451">
        <v>0</v>
      </c>
      <c r="EI33" s="451">
        <v>0</v>
      </c>
      <c r="EJ33" s="451">
        <v>0</v>
      </c>
      <c r="EK33" s="451">
        <v>0</v>
      </c>
      <c r="EL33" s="451">
        <v>0</v>
      </c>
      <c r="EM33" s="451">
        <v>0</v>
      </c>
    </row>
    <row r="34" spans="1:143" ht="12.75" x14ac:dyDescent="0.2">
      <c r="A34" s="446">
        <v>28</v>
      </c>
      <c r="B34" s="447" t="s">
        <v>637</v>
      </c>
      <c r="C34" s="448" t="s">
        <v>1100</v>
      </c>
      <c r="D34" s="449" t="s">
        <v>1101</v>
      </c>
      <c r="E34" s="450" t="s">
        <v>636</v>
      </c>
      <c r="F34" s="451">
        <v>496430.88</v>
      </c>
      <c r="G34" s="451">
        <v>0</v>
      </c>
      <c r="H34" s="451">
        <v>0</v>
      </c>
      <c r="I34" s="451">
        <v>496430.88</v>
      </c>
      <c r="J34" s="451">
        <v>-661880.68000000005</v>
      </c>
      <c r="K34" s="451">
        <v>0</v>
      </c>
      <c r="L34" s="451">
        <v>0</v>
      </c>
      <c r="M34" s="451">
        <v>-661880.68000000005</v>
      </c>
      <c r="N34" s="451">
        <v>133413.42000000001</v>
      </c>
      <c r="O34" s="451">
        <v>0</v>
      </c>
      <c r="P34" s="451">
        <v>0</v>
      </c>
      <c r="Q34" s="451">
        <v>133413.42000000001</v>
      </c>
      <c r="R34" s="451">
        <v>710315.3</v>
      </c>
      <c r="S34" s="451">
        <v>0</v>
      </c>
      <c r="T34" s="451">
        <v>0</v>
      </c>
      <c r="U34" s="451">
        <v>710315.3</v>
      </c>
      <c r="V34" s="451">
        <v>13692295</v>
      </c>
      <c r="W34" s="451">
        <v>0</v>
      </c>
      <c r="X34" s="451">
        <v>0</v>
      </c>
      <c r="Y34" s="451">
        <v>13692295</v>
      </c>
      <c r="Z34" s="451">
        <v>417257.5</v>
      </c>
      <c r="AA34" s="451">
        <v>0</v>
      </c>
      <c r="AB34" s="451">
        <v>0</v>
      </c>
      <c r="AC34" s="451">
        <v>417257.5</v>
      </c>
      <c r="AD34" s="451">
        <v>2796219.19</v>
      </c>
      <c r="AE34" s="451">
        <v>0</v>
      </c>
      <c r="AF34" s="451">
        <v>0</v>
      </c>
      <c r="AG34" s="451">
        <v>2796219.19</v>
      </c>
      <c r="AH34" s="451">
        <v>-21441.040000000001</v>
      </c>
      <c r="AI34" s="451">
        <v>0</v>
      </c>
      <c r="AJ34" s="451">
        <v>0</v>
      </c>
      <c r="AK34" s="451">
        <v>-21441.040000000001</v>
      </c>
      <c r="AL34" s="451">
        <v>11205065.4</v>
      </c>
      <c r="AM34" s="451">
        <v>0</v>
      </c>
      <c r="AN34" s="451">
        <v>0</v>
      </c>
      <c r="AO34" s="451">
        <v>11205065.4</v>
      </c>
      <c r="AP34" s="451">
        <v>307750.27</v>
      </c>
      <c r="AQ34" s="451">
        <v>0</v>
      </c>
      <c r="AR34" s="451">
        <v>0</v>
      </c>
      <c r="AS34" s="451">
        <v>307750.27</v>
      </c>
      <c r="AT34" s="451">
        <v>131561.37</v>
      </c>
      <c r="AU34" s="451">
        <v>0</v>
      </c>
      <c r="AV34" s="451">
        <v>0</v>
      </c>
      <c r="AW34" s="451">
        <v>131561.37</v>
      </c>
      <c r="AX34" s="451">
        <v>-19930.849999999999</v>
      </c>
      <c r="AY34" s="451">
        <v>0</v>
      </c>
      <c r="AZ34" s="451">
        <v>0</v>
      </c>
      <c r="BA34" s="451">
        <v>-19930.849999999999</v>
      </c>
      <c r="BB34" s="451">
        <v>10300.1</v>
      </c>
      <c r="BC34" s="451">
        <v>0</v>
      </c>
      <c r="BD34" s="451">
        <v>0</v>
      </c>
      <c r="BE34" s="451">
        <v>10300.1</v>
      </c>
      <c r="BF34" s="451">
        <v>0</v>
      </c>
      <c r="BG34" s="451">
        <v>0</v>
      </c>
      <c r="BH34" s="451">
        <v>0</v>
      </c>
      <c r="BI34" s="451">
        <v>0</v>
      </c>
      <c r="BJ34" s="451">
        <v>202070.66</v>
      </c>
      <c r="BK34" s="451">
        <v>0</v>
      </c>
      <c r="BL34" s="451">
        <v>0</v>
      </c>
      <c r="BM34" s="451">
        <v>202070.66</v>
      </c>
      <c r="BN34" s="451">
        <v>17974.68</v>
      </c>
      <c r="BO34" s="451">
        <v>0</v>
      </c>
      <c r="BP34" s="451">
        <v>0</v>
      </c>
      <c r="BQ34" s="451">
        <v>17974.68</v>
      </c>
      <c r="BR34" s="451">
        <v>8272116.7400000002</v>
      </c>
      <c r="BS34" s="451">
        <v>0</v>
      </c>
      <c r="BT34" s="451">
        <v>0</v>
      </c>
      <c r="BU34" s="451">
        <v>8272116.7400000002</v>
      </c>
      <c r="BV34" s="451">
        <v>-55239.09</v>
      </c>
      <c r="BW34" s="451">
        <v>0</v>
      </c>
      <c r="BX34" s="451">
        <v>0</v>
      </c>
      <c r="BY34" s="451">
        <v>-55239.09</v>
      </c>
      <c r="BZ34" s="451">
        <v>8425</v>
      </c>
      <c r="CA34" s="451">
        <v>0</v>
      </c>
      <c r="CB34" s="451">
        <v>0</v>
      </c>
      <c r="CC34" s="451">
        <v>8425</v>
      </c>
      <c r="CD34" s="451">
        <v>-4394.87</v>
      </c>
      <c r="CE34" s="451">
        <v>0</v>
      </c>
      <c r="CF34" s="451">
        <v>0</v>
      </c>
      <c r="CG34" s="451">
        <v>-4394.87</v>
      </c>
      <c r="CH34" s="451">
        <v>404534.59</v>
      </c>
      <c r="CI34" s="451">
        <v>0</v>
      </c>
      <c r="CJ34" s="451">
        <v>0</v>
      </c>
      <c r="CK34" s="451">
        <v>404534.59</v>
      </c>
      <c r="CL34" s="451">
        <v>-31241.75</v>
      </c>
      <c r="CM34" s="451">
        <v>0</v>
      </c>
      <c r="CN34" s="451">
        <v>0</v>
      </c>
      <c r="CO34" s="451">
        <v>-31241.75</v>
      </c>
      <c r="CP34" s="451">
        <v>0</v>
      </c>
      <c r="CQ34" s="451">
        <v>0</v>
      </c>
      <c r="CR34" s="451">
        <v>0</v>
      </c>
      <c r="CS34" s="451">
        <v>0</v>
      </c>
      <c r="CT34" s="451">
        <v>0</v>
      </c>
      <c r="CU34" s="451">
        <v>0</v>
      </c>
      <c r="CV34" s="451">
        <v>0</v>
      </c>
      <c r="CW34" s="451">
        <v>0</v>
      </c>
      <c r="CX34" s="451">
        <v>7868.19</v>
      </c>
      <c r="CY34" s="451">
        <v>0</v>
      </c>
      <c r="CZ34" s="451">
        <v>0</v>
      </c>
      <c r="DA34" s="451">
        <v>7868.19</v>
      </c>
      <c r="DB34" s="451">
        <v>0</v>
      </c>
      <c r="DC34" s="451">
        <v>0</v>
      </c>
      <c r="DD34" s="451">
        <v>0</v>
      </c>
      <c r="DE34" s="451">
        <v>0</v>
      </c>
      <c r="DF34" s="451">
        <v>0</v>
      </c>
      <c r="DG34" s="451">
        <v>0</v>
      </c>
      <c r="DH34" s="451">
        <v>0</v>
      </c>
      <c r="DI34" s="451">
        <v>0</v>
      </c>
      <c r="DJ34" s="451">
        <v>0</v>
      </c>
      <c r="DK34" s="451">
        <v>0</v>
      </c>
      <c r="DL34" s="451">
        <v>0</v>
      </c>
      <c r="DM34" s="451">
        <v>0</v>
      </c>
      <c r="DN34" s="451">
        <v>0</v>
      </c>
      <c r="DO34" s="451">
        <v>0</v>
      </c>
      <c r="DP34" s="451">
        <v>0</v>
      </c>
      <c r="DQ34" s="451">
        <v>0</v>
      </c>
      <c r="DR34" s="451">
        <v>0</v>
      </c>
      <c r="DS34" s="451">
        <v>0</v>
      </c>
      <c r="DT34" s="451">
        <v>0</v>
      </c>
      <c r="DU34" s="451">
        <v>0</v>
      </c>
      <c r="DV34" s="451">
        <v>0</v>
      </c>
      <c r="DW34" s="451">
        <v>0</v>
      </c>
      <c r="DX34" s="451">
        <v>0</v>
      </c>
      <c r="DY34" s="451">
        <v>0</v>
      </c>
      <c r="DZ34" s="451">
        <v>0</v>
      </c>
      <c r="EA34" s="451">
        <v>0</v>
      </c>
      <c r="EB34" s="451">
        <v>0</v>
      </c>
      <c r="EC34" s="451">
        <v>0</v>
      </c>
      <c r="ED34" s="451">
        <v>0</v>
      </c>
      <c r="EE34" s="451">
        <v>0</v>
      </c>
      <c r="EF34" s="451">
        <v>23645.15</v>
      </c>
      <c r="EG34" s="451">
        <v>0</v>
      </c>
      <c r="EH34" s="451">
        <v>0</v>
      </c>
      <c r="EI34" s="451">
        <v>23645.15</v>
      </c>
      <c r="EJ34" s="451">
        <v>52148.01</v>
      </c>
      <c r="EK34" s="451">
        <v>0</v>
      </c>
      <c r="EL34" s="451">
        <v>0</v>
      </c>
      <c r="EM34" s="451">
        <v>52148.01</v>
      </c>
    </row>
    <row r="35" spans="1:143" ht="12.75" x14ac:dyDescent="0.2">
      <c r="A35" s="446">
        <v>29</v>
      </c>
      <c r="B35" s="447" t="s">
        <v>639</v>
      </c>
      <c r="C35" s="448" t="s">
        <v>1093</v>
      </c>
      <c r="D35" s="449" t="s">
        <v>1097</v>
      </c>
      <c r="E35" s="450" t="s">
        <v>638</v>
      </c>
      <c r="F35" s="451">
        <v>125020</v>
      </c>
      <c r="G35" s="451">
        <v>0</v>
      </c>
      <c r="H35" s="451">
        <v>0</v>
      </c>
      <c r="I35" s="451">
        <v>125020</v>
      </c>
      <c r="J35" s="451">
        <v>-78867</v>
      </c>
      <c r="K35" s="451">
        <v>0</v>
      </c>
      <c r="L35" s="451">
        <v>0</v>
      </c>
      <c r="M35" s="451">
        <v>-78867</v>
      </c>
      <c r="N35" s="451">
        <v>11612</v>
      </c>
      <c r="O35" s="451">
        <v>0</v>
      </c>
      <c r="P35" s="451">
        <v>0</v>
      </c>
      <c r="Q35" s="451">
        <v>11612</v>
      </c>
      <c r="R35" s="451">
        <v>31902</v>
      </c>
      <c r="S35" s="451">
        <v>0</v>
      </c>
      <c r="T35" s="451">
        <v>0</v>
      </c>
      <c r="U35" s="451">
        <v>31902</v>
      </c>
      <c r="V35" s="451">
        <v>2790475</v>
      </c>
      <c r="W35" s="451">
        <v>0</v>
      </c>
      <c r="X35" s="451">
        <v>0</v>
      </c>
      <c r="Y35" s="451">
        <v>2790475</v>
      </c>
      <c r="Z35" s="451">
        <v>97121</v>
      </c>
      <c r="AA35" s="451">
        <v>0</v>
      </c>
      <c r="AB35" s="451">
        <v>0</v>
      </c>
      <c r="AC35" s="451">
        <v>97121</v>
      </c>
      <c r="AD35" s="451">
        <v>762550</v>
      </c>
      <c r="AE35" s="451">
        <v>0</v>
      </c>
      <c r="AF35" s="451">
        <v>0</v>
      </c>
      <c r="AG35" s="451">
        <v>762550</v>
      </c>
      <c r="AH35" s="451">
        <v>-10370</v>
      </c>
      <c r="AI35" s="451">
        <v>0</v>
      </c>
      <c r="AJ35" s="451">
        <v>0</v>
      </c>
      <c r="AK35" s="451">
        <v>-10370</v>
      </c>
      <c r="AL35" s="451">
        <v>2522361</v>
      </c>
      <c r="AM35" s="451">
        <v>0</v>
      </c>
      <c r="AN35" s="451">
        <v>0</v>
      </c>
      <c r="AO35" s="451">
        <v>2522361</v>
      </c>
      <c r="AP35" s="451">
        <v>25137</v>
      </c>
      <c r="AQ35" s="451">
        <v>0</v>
      </c>
      <c r="AR35" s="451">
        <v>0</v>
      </c>
      <c r="AS35" s="451">
        <v>25137</v>
      </c>
      <c r="AT35" s="451">
        <v>99331</v>
      </c>
      <c r="AU35" s="451">
        <v>0</v>
      </c>
      <c r="AV35" s="451">
        <v>0</v>
      </c>
      <c r="AW35" s="451">
        <v>99331</v>
      </c>
      <c r="AX35" s="451">
        <v>10486</v>
      </c>
      <c r="AY35" s="451">
        <v>0</v>
      </c>
      <c r="AZ35" s="451">
        <v>0</v>
      </c>
      <c r="BA35" s="451">
        <v>10486</v>
      </c>
      <c r="BB35" s="451">
        <v>14173</v>
      </c>
      <c r="BC35" s="451">
        <v>0</v>
      </c>
      <c r="BD35" s="451">
        <v>0</v>
      </c>
      <c r="BE35" s="451">
        <v>14173</v>
      </c>
      <c r="BF35" s="451">
        <v>1962</v>
      </c>
      <c r="BG35" s="451">
        <v>0</v>
      </c>
      <c r="BH35" s="451">
        <v>0</v>
      </c>
      <c r="BI35" s="451">
        <v>1962</v>
      </c>
      <c r="BJ35" s="451">
        <v>2240</v>
      </c>
      <c r="BK35" s="451">
        <v>0</v>
      </c>
      <c r="BL35" s="451">
        <v>0</v>
      </c>
      <c r="BM35" s="451">
        <v>2240</v>
      </c>
      <c r="BN35" s="451">
        <v>40588</v>
      </c>
      <c r="BO35" s="451">
        <v>0</v>
      </c>
      <c r="BP35" s="451">
        <v>0</v>
      </c>
      <c r="BQ35" s="451">
        <v>40588</v>
      </c>
      <c r="BR35" s="451">
        <v>1484573</v>
      </c>
      <c r="BS35" s="451">
        <v>0</v>
      </c>
      <c r="BT35" s="451">
        <v>0</v>
      </c>
      <c r="BU35" s="451">
        <v>1484573</v>
      </c>
      <c r="BV35" s="451">
        <v>-461</v>
      </c>
      <c r="BW35" s="451">
        <v>0</v>
      </c>
      <c r="BX35" s="451">
        <v>0</v>
      </c>
      <c r="BY35" s="451">
        <v>-461</v>
      </c>
      <c r="BZ35" s="451">
        <v>72017</v>
      </c>
      <c r="CA35" s="451">
        <v>0</v>
      </c>
      <c r="CB35" s="451">
        <v>0</v>
      </c>
      <c r="CC35" s="451">
        <v>72017</v>
      </c>
      <c r="CD35" s="451">
        <v>-2592</v>
      </c>
      <c r="CE35" s="451">
        <v>0</v>
      </c>
      <c r="CF35" s="451">
        <v>0</v>
      </c>
      <c r="CG35" s="451">
        <v>-2592</v>
      </c>
      <c r="CH35" s="451">
        <v>162111</v>
      </c>
      <c r="CI35" s="451">
        <v>0</v>
      </c>
      <c r="CJ35" s="451">
        <v>0</v>
      </c>
      <c r="CK35" s="451">
        <v>162111</v>
      </c>
      <c r="CL35" s="451">
        <v>4851</v>
      </c>
      <c r="CM35" s="451">
        <v>0</v>
      </c>
      <c r="CN35" s="451">
        <v>0</v>
      </c>
      <c r="CO35" s="451">
        <v>4851</v>
      </c>
      <c r="CP35" s="451">
        <v>610</v>
      </c>
      <c r="CQ35" s="451">
        <v>0</v>
      </c>
      <c r="CR35" s="451">
        <v>0</v>
      </c>
      <c r="CS35" s="451">
        <v>610</v>
      </c>
      <c r="CT35" s="451">
        <v>0</v>
      </c>
      <c r="CU35" s="451">
        <v>0</v>
      </c>
      <c r="CV35" s="451">
        <v>0</v>
      </c>
      <c r="CW35" s="451">
        <v>0</v>
      </c>
      <c r="CX35" s="451">
        <v>3303</v>
      </c>
      <c r="CY35" s="451">
        <v>0</v>
      </c>
      <c r="CZ35" s="451">
        <v>0</v>
      </c>
      <c r="DA35" s="451">
        <v>3303</v>
      </c>
      <c r="DB35" s="451">
        <v>740</v>
      </c>
      <c r="DC35" s="451">
        <v>0</v>
      </c>
      <c r="DD35" s="451">
        <v>0</v>
      </c>
      <c r="DE35" s="451">
        <v>740</v>
      </c>
      <c r="DF35" s="451">
        <v>0</v>
      </c>
      <c r="DG35" s="451">
        <v>0</v>
      </c>
      <c r="DH35" s="451">
        <v>0</v>
      </c>
      <c r="DI35" s="451">
        <v>0</v>
      </c>
      <c r="DJ35" s="451">
        <v>0</v>
      </c>
      <c r="DK35" s="451">
        <v>0</v>
      </c>
      <c r="DL35" s="451">
        <v>0</v>
      </c>
      <c r="DM35" s="451">
        <v>0</v>
      </c>
      <c r="DN35" s="451">
        <v>0</v>
      </c>
      <c r="DO35" s="451">
        <v>0</v>
      </c>
      <c r="DP35" s="451">
        <v>0</v>
      </c>
      <c r="DQ35" s="451">
        <v>0</v>
      </c>
      <c r="DR35" s="451">
        <v>0</v>
      </c>
      <c r="DS35" s="451">
        <v>0</v>
      </c>
      <c r="DT35" s="451">
        <v>0</v>
      </c>
      <c r="DU35" s="451">
        <v>0</v>
      </c>
      <c r="DV35" s="451">
        <v>0</v>
      </c>
      <c r="DW35" s="451">
        <v>0</v>
      </c>
      <c r="DX35" s="451">
        <v>0</v>
      </c>
      <c r="DY35" s="451">
        <v>0</v>
      </c>
      <c r="DZ35" s="451">
        <v>0</v>
      </c>
      <c r="EA35" s="451">
        <v>0</v>
      </c>
      <c r="EB35" s="451">
        <v>0</v>
      </c>
      <c r="EC35" s="451">
        <v>0</v>
      </c>
      <c r="ED35" s="451">
        <v>0</v>
      </c>
      <c r="EE35" s="451">
        <v>0</v>
      </c>
      <c r="EF35" s="451">
        <v>0</v>
      </c>
      <c r="EG35" s="451">
        <v>0</v>
      </c>
      <c r="EH35" s="451">
        <v>0</v>
      </c>
      <c r="EI35" s="451">
        <v>0</v>
      </c>
      <c r="EJ35" s="451">
        <v>0</v>
      </c>
      <c r="EK35" s="451">
        <v>0</v>
      </c>
      <c r="EL35" s="451">
        <v>0</v>
      </c>
      <c r="EM35" s="451">
        <v>0</v>
      </c>
    </row>
    <row r="36" spans="1:143" ht="12.75" x14ac:dyDescent="0.2">
      <c r="A36" s="446">
        <v>30</v>
      </c>
      <c r="B36" s="447" t="s">
        <v>641</v>
      </c>
      <c r="C36" s="448" t="s">
        <v>1093</v>
      </c>
      <c r="D36" s="449" t="s">
        <v>1097</v>
      </c>
      <c r="E36" s="450" t="s">
        <v>640</v>
      </c>
      <c r="F36" s="451">
        <v>416357</v>
      </c>
      <c r="G36" s="451">
        <v>0</v>
      </c>
      <c r="H36" s="451">
        <v>0</v>
      </c>
      <c r="I36" s="451">
        <v>416357</v>
      </c>
      <c r="J36" s="451">
        <v>-57417</v>
      </c>
      <c r="K36" s="451">
        <v>0</v>
      </c>
      <c r="L36" s="451">
        <v>0</v>
      </c>
      <c r="M36" s="451">
        <v>-57417</v>
      </c>
      <c r="N36" s="451">
        <v>60749.04</v>
      </c>
      <c r="O36" s="451">
        <v>0</v>
      </c>
      <c r="P36" s="451">
        <v>0</v>
      </c>
      <c r="Q36" s="451">
        <v>60749.04</v>
      </c>
      <c r="R36" s="451">
        <v>-24174.1</v>
      </c>
      <c r="S36" s="451">
        <v>0</v>
      </c>
      <c r="T36" s="451">
        <v>0</v>
      </c>
      <c r="U36" s="451">
        <v>-24174.1</v>
      </c>
      <c r="V36" s="451">
        <v>2696601.54</v>
      </c>
      <c r="W36" s="451">
        <v>0</v>
      </c>
      <c r="X36" s="451">
        <v>0</v>
      </c>
      <c r="Y36" s="451">
        <v>2696601.54</v>
      </c>
      <c r="Z36" s="451">
        <v>51831.62</v>
      </c>
      <c r="AA36" s="451">
        <v>0</v>
      </c>
      <c r="AB36" s="451">
        <v>0</v>
      </c>
      <c r="AC36" s="451">
        <v>51831.62</v>
      </c>
      <c r="AD36" s="451">
        <v>539067.68000000005</v>
      </c>
      <c r="AE36" s="451">
        <v>0</v>
      </c>
      <c r="AF36" s="451">
        <v>0</v>
      </c>
      <c r="AG36" s="451">
        <v>539067.68000000005</v>
      </c>
      <c r="AH36" s="451">
        <v>-4203.45</v>
      </c>
      <c r="AI36" s="451">
        <v>0</v>
      </c>
      <c r="AJ36" s="451">
        <v>0</v>
      </c>
      <c r="AK36" s="451">
        <v>-4203.45</v>
      </c>
      <c r="AL36" s="451">
        <v>1499720.86</v>
      </c>
      <c r="AM36" s="451">
        <v>0</v>
      </c>
      <c r="AN36" s="451">
        <v>0</v>
      </c>
      <c r="AO36" s="451">
        <v>1499720.86</v>
      </c>
      <c r="AP36" s="451">
        <v>52282.55</v>
      </c>
      <c r="AQ36" s="451">
        <v>0</v>
      </c>
      <c r="AR36" s="451">
        <v>0</v>
      </c>
      <c r="AS36" s="451">
        <v>52282.55</v>
      </c>
      <c r="AT36" s="451">
        <v>26632.61</v>
      </c>
      <c r="AU36" s="451">
        <v>0</v>
      </c>
      <c r="AV36" s="451">
        <v>0</v>
      </c>
      <c r="AW36" s="451">
        <v>26632.61</v>
      </c>
      <c r="AX36" s="451">
        <v>0</v>
      </c>
      <c r="AY36" s="451">
        <v>0</v>
      </c>
      <c r="AZ36" s="451">
        <v>0</v>
      </c>
      <c r="BA36" s="451">
        <v>0</v>
      </c>
      <c r="BB36" s="451">
        <v>79222.97</v>
      </c>
      <c r="BC36" s="451">
        <v>0</v>
      </c>
      <c r="BD36" s="451">
        <v>0</v>
      </c>
      <c r="BE36" s="451">
        <v>79222.97</v>
      </c>
      <c r="BF36" s="451">
        <v>5796.33</v>
      </c>
      <c r="BG36" s="451">
        <v>0</v>
      </c>
      <c r="BH36" s="451">
        <v>0</v>
      </c>
      <c r="BI36" s="451">
        <v>5796.33</v>
      </c>
      <c r="BJ36" s="451">
        <v>66337.509999999995</v>
      </c>
      <c r="BK36" s="451">
        <v>0</v>
      </c>
      <c r="BL36" s="451">
        <v>0</v>
      </c>
      <c r="BM36" s="451">
        <v>66337.509999999995</v>
      </c>
      <c r="BN36" s="451">
        <v>3993.93</v>
      </c>
      <c r="BO36" s="451">
        <v>0</v>
      </c>
      <c r="BP36" s="451">
        <v>0</v>
      </c>
      <c r="BQ36" s="451">
        <v>3993.93</v>
      </c>
      <c r="BR36" s="451">
        <v>1132572.4099999999</v>
      </c>
      <c r="BS36" s="451">
        <v>0</v>
      </c>
      <c r="BT36" s="451">
        <v>0</v>
      </c>
      <c r="BU36" s="451">
        <v>1132572.4099999999</v>
      </c>
      <c r="BV36" s="451">
        <v>-4960.82</v>
      </c>
      <c r="BW36" s="451">
        <v>0</v>
      </c>
      <c r="BX36" s="451">
        <v>0</v>
      </c>
      <c r="BY36" s="451">
        <v>-4960.82</v>
      </c>
      <c r="BZ36" s="451">
        <v>61549.64</v>
      </c>
      <c r="CA36" s="451">
        <v>0</v>
      </c>
      <c r="CB36" s="451">
        <v>0</v>
      </c>
      <c r="CC36" s="451">
        <v>61549.64</v>
      </c>
      <c r="CD36" s="451">
        <v>-47.56</v>
      </c>
      <c r="CE36" s="451">
        <v>0</v>
      </c>
      <c r="CF36" s="451">
        <v>0</v>
      </c>
      <c r="CG36" s="451">
        <v>-47.56</v>
      </c>
      <c r="CH36" s="451">
        <v>6743.36</v>
      </c>
      <c r="CI36" s="451">
        <v>0</v>
      </c>
      <c r="CJ36" s="451">
        <v>0</v>
      </c>
      <c r="CK36" s="451">
        <v>6743.36</v>
      </c>
      <c r="CL36" s="451">
        <v>0</v>
      </c>
      <c r="CM36" s="451">
        <v>0</v>
      </c>
      <c r="CN36" s="451">
        <v>0</v>
      </c>
      <c r="CO36" s="451">
        <v>0</v>
      </c>
      <c r="CP36" s="451">
        <v>942.63</v>
      </c>
      <c r="CQ36" s="451">
        <v>0</v>
      </c>
      <c r="CR36" s="451">
        <v>0</v>
      </c>
      <c r="CS36" s="451">
        <v>942.63</v>
      </c>
      <c r="CT36" s="451">
        <v>0</v>
      </c>
      <c r="CU36" s="451">
        <v>0</v>
      </c>
      <c r="CV36" s="451">
        <v>0</v>
      </c>
      <c r="CW36" s="451">
        <v>0</v>
      </c>
      <c r="CX36" s="451">
        <v>10606.4</v>
      </c>
      <c r="CY36" s="451">
        <v>0</v>
      </c>
      <c r="CZ36" s="451">
        <v>0</v>
      </c>
      <c r="DA36" s="451">
        <v>10606.4</v>
      </c>
      <c r="DB36" s="451">
        <v>8.3699999999999992</v>
      </c>
      <c r="DC36" s="451">
        <v>0</v>
      </c>
      <c r="DD36" s="451">
        <v>0</v>
      </c>
      <c r="DE36" s="451">
        <v>8.3699999999999992</v>
      </c>
      <c r="DF36" s="451">
        <v>0</v>
      </c>
      <c r="DG36" s="451">
        <v>0</v>
      </c>
      <c r="DH36" s="451">
        <v>0</v>
      </c>
      <c r="DI36" s="451">
        <v>0</v>
      </c>
      <c r="DJ36" s="451">
        <v>-0.02</v>
      </c>
      <c r="DK36" s="451">
        <v>0</v>
      </c>
      <c r="DL36" s="451">
        <v>0</v>
      </c>
      <c r="DM36" s="451">
        <v>-0.02</v>
      </c>
      <c r="DN36" s="451">
        <v>0</v>
      </c>
      <c r="DO36" s="451">
        <v>0</v>
      </c>
      <c r="DP36" s="451">
        <v>0</v>
      </c>
      <c r="DQ36" s="451">
        <v>0</v>
      </c>
      <c r="DR36" s="451">
        <v>0</v>
      </c>
      <c r="DS36" s="451">
        <v>0</v>
      </c>
      <c r="DT36" s="451">
        <v>0</v>
      </c>
      <c r="DU36" s="451">
        <v>0</v>
      </c>
      <c r="DV36" s="451">
        <v>0</v>
      </c>
      <c r="DW36" s="451">
        <v>0</v>
      </c>
      <c r="DX36" s="451">
        <v>0</v>
      </c>
      <c r="DY36" s="451">
        <v>0</v>
      </c>
      <c r="DZ36" s="451">
        <v>0</v>
      </c>
      <c r="EA36" s="451">
        <v>0</v>
      </c>
      <c r="EB36" s="451">
        <v>0</v>
      </c>
      <c r="EC36" s="451">
        <v>0</v>
      </c>
      <c r="ED36" s="451">
        <v>0</v>
      </c>
      <c r="EE36" s="451">
        <v>0</v>
      </c>
      <c r="EF36" s="451">
        <v>0</v>
      </c>
      <c r="EG36" s="451">
        <v>0</v>
      </c>
      <c r="EH36" s="451">
        <v>0</v>
      </c>
      <c r="EI36" s="451">
        <v>0</v>
      </c>
      <c r="EJ36" s="451">
        <v>0</v>
      </c>
      <c r="EK36" s="451">
        <v>0</v>
      </c>
      <c r="EL36" s="451">
        <v>0</v>
      </c>
      <c r="EM36" s="451">
        <v>0</v>
      </c>
    </row>
    <row r="37" spans="1:143" ht="12.75" x14ac:dyDescent="0.2">
      <c r="A37" s="446">
        <v>31</v>
      </c>
      <c r="B37" s="447" t="s">
        <v>643</v>
      </c>
      <c r="C37" s="448" t="s">
        <v>1098</v>
      </c>
      <c r="D37" s="449" t="s">
        <v>1099</v>
      </c>
      <c r="E37" s="450" t="s">
        <v>642</v>
      </c>
      <c r="F37" s="451">
        <v>425600</v>
      </c>
      <c r="G37" s="451">
        <v>0</v>
      </c>
      <c r="H37" s="451">
        <v>0</v>
      </c>
      <c r="I37" s="451">
        <v>425600</v>
      </c>
      <c r="J37" s="451">
        <v>-186897</v>
      </c>
      <c r="K37" s="451">
        <v>0</v>
      </c>
      <c r="L37" s="451">
        <v>0</v>
      </c>
      <c r="M37" s="451">
        <v>-186897</v>
      </c>
      <c r="N37" s="451">
        <v>147313</v>
      </c>
      <c r="O37" s="451">
        <v>0</v>
      </c>
      <c r="P37" s="451">
        <v>0</v>
      </c>
      <c r="Q37" s="451">
        <v>147313</v>
      </c>
      <c r="R37" s="451">
        <v>19344</v>
      </c>
      <c r="S37" s="451">
        <v>0</v>
      </c>
      <c r="T37" s="451">
        <v>0</v>
      </c>
      <c r="U37" s="451">
        <v>19344</v>
      </c>
      <c r="V37" s="451">
        <v>4003563</v>
      </c>
      <c r="W37" s="451">
        <v>0</v>
      </c>
      <c r="X37" s="451">
        <v>0</v>
      </c>
      <c r="Y37" s="451">
        <v>4003563</v>
      </c>
      <c r="Z37" s="451">
        <v>147245</v>
      </c>
      <c r="AA37" s="451">
        <v>0</v>
      </c>
      <c r="AB37" s="451">
        <v>0</v>
      </c>
      <c r="AC37" s="451">
        <v>147245</v>
      </c>
      <c r="AD37" s="451">
        <v>2001538</v>
      </c>
      <c r="AE37" s="451">
        <v>0</v>
      </c>
      <c r="AF37" s="451">
        <v>0</v>
      </c>
      <c r="AG37" s="451">
        <v>2001538</v>
      </c>
      <c r="AH37" s="451">
        <v>-52874</v>
      </c>
      <c r="AI37" s="451">
        <v>0</v>
      </c>
      <c r="AJ37" s="451">
        <v>0</v>
      </c>
      <c r="AK37" s="451">
        <v>-52874</v>
      </c>
      <c r="AL37" s="451">
        <v>6720418</v>
      </c>
      <c r="AM37" s="451">
        <v>0</v>
      </c>
      <c r="AN37" s="451">
        <v>0</v>
      </c>
      <c r="AO37" s="451">
        <v>6720418</v>
      </c>
      <c r="AP37" s="451">
        <v>-22383</v>
      </c>
      <c r="AQ37" s="451">
        <v>0</v>
      </c>
      <c r="AR37" s="451">
        <v>0</v>
      </c>
      <c r="AS37" s="451">
        <v>-22383</v>
      </c>
      <c r="AT37" s="451">
        <v>24360</v>
      </c>
      <c r="AU37" s="451">
        <v>0</v>
      </c>
      <c r="AV37" s="451">
        <v>0</v>
      </c>
      <c r="AW37" s="451">
        <v>24360</v>
      </c>
      <c r="AX37" s="451">
        <v>0</v>
      </c>
      <c r="AY37" s="451">
        <v>0</v>
      </c>
      <c r="AZ37" s="451">
        <v>0</v>
      </c>
      <c r="BA37" s="451">
        <v>0</v>
      </c>
      <c r="BB37" s="451">
        <v>0</v>
      </c>
      <c r="BC37" s="451">
        <v>0</v>
      </c>
      <c r="BD37" s="451">
        <v>0</v>
      </c>
      <c r="BE37" s="451">
        <v>0</v>
      </c>
      <c r="BF37" s="451">
        <v>0</v>
      </c>
      <c r="BG37" s="451">
        <v>0</v>
      </c>
      <c r="BH37" s="451">
        <v>0</v>
      </c>
      <c r="BI37" s="451">
        <v>0</v>
      </c>
      <c r="BJ37" s="451">
        <v>37392</v>
      </c>
      <c r="BK37" s="451">
        <v>0</v>
      </c>
      <c r="BL37" s="451">
        <v>0</v>
      </c>
      <c r="BM37" s="451">
        <v>37392</v>
      </c>
      <c r="BN37" s="451">
        <v>9246</v>
      </c>
      <c r="BO37" s="451">
        <v>0</v>
      </c>
      <c r="BP37" s="451">
        <v>0</v>
      </c>
      <c r="BQ37" s="451">
        <v>9246</v>
      </c>
      <c r="BR37" s="451">
        <v>5698972</v>
      </c>
      <c r="BS37" s="451">
        <v>0</v>
      </c>
      <c r="BT37" s="451">
        <v>0</v>
      </c>
      <c r="BU37" s="451">
        <v>5698972</v>
      </c>
      <c r="BV37" s="451">
        <v>-667544</v>
      </c>
      <c r="BW37" s="451">
        <v>0</v>
      </c>
      <c r="BX37" s="451">
        <v>0</v>
      </c>
      <c r="BY37" s="451">
        <v>-667544</v>
      </c>
      <c r="BZ37" s="451">
        <v>406073</v>
      </c>
      <c r="CA37" s="451">
        <v>0</v>
      </c>
      <c r="CB37" s="451">
        <v>0</v>
      </c>
      <c r="CC37" s="451">
        <v>406073</v>
      </c>
      <c r="CD37" s="451">
        <v>-989</v>
      </c>
      <c r="CE37" s="451">
        <v>0</v>
      </c>
      <c r="CF37" s="451">
        <v>0</v>
      </c>
      <c r="CG37" s="451">
        <v>-989</v>
      </c>
      <c r="CH37" s="451">
        <v>108566</v>
      </c>
      <c r="CI37" s="451">
        <v>0</v>
      </c>
      <c r="CJ37" s="451">
        <v>0</v>
      </c>
      <c r="CK37" s="451">
        <v>108566</v>
      </c>
      <c r="CL37" s="451">
        <v>0</v>
      </c>
      <c r="CM37" s="451">
        <v>0</v>
      </c>
      <c r="CN37" s="451">
        <v>0</v>
      </c>
      <c r="CO37" s="451">
        <v>0</v>
      </c>
      <c r="CP37" s="451">
        <v>2407</v>
      </c>
      <c r="CQ37" s="451">
        <v>0</v>
      </c>
      <c r="CR37" s="451">
        <v>0</v>
      </c>
      <c r="CS37" s="451">
        <v>2407</v>
      </c>
      <c r="CT37" s="451">
        <v>0</v>
      </c>
      <c r="CU37" s="451">
        <v>0</v>
      </c>
      <c r="CV37" s="451">
        <v>0</v>
      </c>
      <c r="CW37" s="451">
        <v>0</v>
      </c>
      <c r="CX37" s="451">
        <v>0</v>
      </c>
      <c r="CY37" s="451">
        <v>0</v>
      </c>
      <c r="CZ37" s="451">
        <v>0</v>
      </c>
      <c r="DA37" s="451">
        <v>0</v>
      </c>
      <c r="DB37" s="451">
        <v>0</v>
      </c>
      <c r="DC37" s="451">
        <v>0</v>
      </c>
      <c r="DD37" s="451">
        <v>0</v>
      </c>
      <c r="DE37" s="451">
        <v>0</v>
      </c>
      <c r="DF37" s="451">
        <v>0</v>
      </c>
      <c r="DG37" s="451">
        <v>0</v>
      </c>
      <c r="DH37" s="451">
        <v>0</v>
      </c>
      <c r="DI37" s="451">
        <v>0</v>
      </c>
      <c r="DJ37" s="451">
        <v>0</v>
      </c>
      <c r="DK37" s="451">
        <v>0</v>
      </c>
      <c r="DL37" s="451">
        <v>0</v>
      </c>
      <c r="DM37" s="451">
        <v>0</v>
      </c>
      <c r="DN37" s="451">
        <v>0</v>
      </c>
      <c r="DO37" s="451">
        <v>0</v>
      </c>
      <c r="DP37" s="451">
        <v>0</v>
      </c>
      <c r="DQ37" s="451">
        <v>0</v>
      </c>
      <c r="DR37" s="451">
        <v>0</v>
      </c>
      <c r="DS37" s="451">
        <v>0</v>
      </c>
      <c r="DT37" s="451">
        <v>0</v>
      </c>
      <c r="DU37" s="451">
        <v>0</v>
      </c>
      <c r="DV37" s="451">
        <v>0</v>
      </c>
      <c r="DW37" s="451">
        <v>0</v>
      </c>
      <c r="DX37" s="451">
        <v>0</v>
      </c>
      <c r="DY37" s="451">
        <v>0</v>
      </c>
      <c r="DZ37" s="451">
        <v>0</v>
      </c>
      <c r="EA37" s="451">
        <v>0</v>
      </c>
      <c r="EB37" s="451">
        <v>0</v>
      </c>
      <c r="EC37" s="451">
        <v>0</v>
      </c>
      <c r="ED37" s="451">
        <v>0</v>
      </c>
      <c r="EE37" s="451">
        <v>0</v>
      </c>
      <c r="EF37" s="451">
        <v>0</v>
      </c>
      <c r="EG37" s="451">
        <v>0</v>
      </c>
      <c r="EH37" s="451">
        <v>0</v>
      </c>
      <c r="EI37" s="451">
        <v>0</v>
      </c>
      <c r="EJ37" s="451">
        <v>-26</v>
      </c>
      <c r="EK37" s="451">
        <v>0</v>
      </c>
      <c r="EL37" s="451">
        <v>0</v>
      </c>
      <c r="EM37" s="451">
        <v>-26</v>
      </c>
    </row>
    <row r="38" spans="1:143" ht="12.75" x14ac:dyDescent="0.2">
      <c r="A38" s="446">
        <v>32</v>
      </c>
      <c r="B38" s="447" t="s">
        <v>645</v>
      </c>
      <c r="C38" s="448" t="s">
        <v>1093</v>
      </c>
      <c r="D38" s="449" t="s">
        <v>1097</v>
      </c>
      <c r="E38" s="450" t="s">
        <v>644</v>
      </c>
      <c r="F38" s="451">
        <v>48694.01</v>
      </c>
      <c r="G38" s="451">
        <v>0</v>
      </c>
      <c r="H38" s="451">
        <v>0</v>
      </c>
      <c r="I38" s="451">
        <v>48694.01</v>
      </c>
      <c r="J38" s="451">
        <v>34899</v>
      </c>
      <c r="K38" s="451">
        <v>0</v>
      </c>
      <c r="L38" s="451">
        <v>0</v>
      </c>
      <c r="M38" s="451">
        <v>34899</v>
      </c>
      <c r="N38" s="451">
        <v>8043</v>
      </c>
      <c r="O38" s="451">
        <v>0</v>
      </c>
      <c r="P38" s="451">
        <v>0</v>
      </c>
      <c r="Q38" s="451">
        <v>8043</v>
      </c>
      <c r="R38" s="451">
        <v>184114</v>
      </c>
      <c r="S38" s="451">
        <v>0</v>
      </c>
      <c r="T38" s="451">
        <v>0</v>
      </c>
      <c r="U38" s="451">
        <v>184114</v>
      </c>
      <c r="V38" s="451">
        <v>1033559</v>
      </c>
      <c r="W38" s="451">
        <v>0</v>
      </c>
      <c r="X38" s="451">
        <v>0</v>
      </c>
      <c r="Y38" s="451">
        <v>1033559</v>
      </c>
      <c r="Z38" s="451">
        <v>84634</v>
      </c>
      <c r="AA38" s="451">
        <v>0</v>
      </c>
      <c r="AB38" s="451">
        <v>0</v>
      </c>
      <c r="AC38" s="451">
        <v>84634</v>
      </c>
      <c r="AD38" s="451">
        <v>590890</v>
      </c>
      <c r="AE38" s="451">
        <v>0</v>
      </c>
      <c r="AF38" s="451">
        <v>0</v>
      </c>
      <c r="AG38" s="451">
        <v>590890</v>
      </c>
      <c r="AH38" s="451">
        <v>6759</v>
      </c>
      <c r="AI38" s="451">
        <v>0</v>
      </c>
      <c r="AJ38" s="451">
        <v>0</v>
      </c>
      <c r="AK38" s="451">
        <v>6759</v>
      </c>
      <c r="AL38" s="451">
        <v>2114094</v>
      </c>
      <c r="AM38" s="451">
        <v>0</v>
      </c>
      <c r="AN38" s="451">
        <v>0</v>
      </c>
      <c r="AO38" s="451">
        <v>2114094</v>
      </c>
      <c r="AP38" s="451">
        <v>150939</v>
      </c>
      <c r="AQ38" s="451">
        <v>0</v>
      </c>
      <c r="AR38" s="451">
        <v>0</v>
      </c>
      <c r="AS38" s="451">
        <v>150939</v>
      </c>
      <c r="AT38" s="451">
        <v>41731</v>
      </c>
      <c r="AU38" s="451">
        <v>0</v>
      </c>
      <c r="AV38" s="451">
        <v>0</v>
      </c>
      <c r="AW38" s="451">
        <v>41731</v>
      </c>
      <c r="AX38" s="451">
        <v>0</v>
      </c>
      <c r="AY38" s="451">
        <v>0</v>
      </c>
      <c r="AZ38" s="451">
        <v>0</v>
      </c>
      <c r="BA38" s="451">
        <v>0</v>
      </c>
      <c r="BB38" s="451">
        <v>4054</v>
      </c>
      <c r="BC38" s="451">
        <v>0</v>
      </c>
      <c r="BD38" s="451">
        <v>0</v>
      </c>
      <c r="BE38" s="451">
        <v>4054</v>
      </c>
      <c r="BF38" s="451">
        <v>0</v>
      </c>
      <c r="BG38" s="451">
        <v>0</v>
      </c>
      <c r="BH38" s="451">
        <v>0</v>
      </c>
      <c r="BI38" s="451">
        <v>0</v>
      </c>
      <c r="BJ38" s="451">
        <v>35121</v>
      </c>
      <c r="BK38" s="451">
        <v>0</v>
      </c>
      <c r="BL38" s="451">
        <v>0</v>
      </c>
      <c r="BM38" s="451">
        <v>35121</v>
      </c>
      <c r="BN38" s="451">
        <v>7362</v>
      </c>
      <c r="BO38" s="451">
        <v>0</v>
      </c>
      <c r="BP38" s="451">
        <v>0</v>
      </c>
      <c r="BQ38" s="451">
        <v>7362</v>
      </c>
      <c r="BR38" s="451">
        <v>1465166</v>
      </c>
      <c r="BS38" s="451">
        <v>0</v>
      </c>
      <c r="BT38" s="451">
        <v>0</v>
      </c>
      <c r="BU38" s="451">
        <v>1465166</v>
      </c>
      <c r="BV38" s="451">
        <v>125185</v>
      </c>
      <c r="BW38" s="451">
        <v>0</v>
      </c>
      <c r="BX38" s="451">
        <v>0</v>
      </c>
      <c r="BY38" s="451">
        <v>125185</v>
      </c>
      <c r="BZ38" s="451">
        <v>120280</v>
      </c>
      <c r="CA38" s="451">
        <v>0</v>
      </c>
      <c r="CB38" s="451">
        <v>0</v>
      </c>
      <c r="CC38" s="451">
        <v>120280</v>
      </c>
      <c r="CD38" s="451">
        <v>1022</v>
      </c>
      <c r="CE38" s="451">
        <v>0</v>
      </c>
      <c r="CF38" s="451">
        <v>0</v>
      </c>
      <c r="CG38" s="451">
        <v>1022</v>
      </c>
      <c r="CH38" s="451">
        <v>50403</v>
      </c>
      <c r="CI38" s="451">
        <v>0</v>
      </c>
      <c r="CJ38" s="451">
        <v>0</v>
      </c>
      <c r="CK38" s="451">
        <v>50403</v>
      </c>
      <c r="CL38" s="451">
        <v>4149</v>
      </c>
      <c r="CM38" s="451">
        <v>0</v>
      </c>
      <c r="CN38" s="451">
        <v>0</v>
      </c>
      <c r="CO38" s="451">
        <v>4149</v>
      </c>
      <c r="CP38" s="451">
        <v>5216</v>
      </c>
      <c r="CQ38" s="451">
        <v>0</v>
      </c>
      <c r="CR38" s="451">
        <v>0</v>
      </c>
      <c r="CS38" s="451">
        <v>5216</v>
      </c>
      <c r="CT38" s="451">
        <v>0</v>
      </c>
      <c r="CU38" s="451">
        <v>0</v>
      </c>
      <c r="CV38" s="451">
        <v>0</v>
      </c>
      <c r="CW38" s="451">
        <v>0</v>
      </c>
      <c r="CX38" s="451">
        <v>5371</v>
      </c>
      <c r="CY38" s="451">
        <v>0</v>
      </c>
      <c r="CZ38" s="451">
        <v>0</v>
      </c>
      <c r="DA38" s="451">
        <v>5371</v>
      </c>
      <c r="DB38" s="451">
        <v>0</v>
      </c>
      <c r="DC38" s="451">
        <v>0</v>
      </c>
      <c r="DD38" s="451">
        <v>0</v>
      </c>
      <c r="DE38" s="451">
        <v>0</v>
      </c>
      <c r="DF38" s="451">
        <v>10389</v>
      </c>
      <c r="DG38" s="451">
        <v>0</v>
      </c>
      <c r="DH38" s="451">
        <v>0</v>
      </c>
      <c r="DI38" s="451">
        <v>10389</v>
      </c>
      <c r="DJ38" s="451">
        <v>246</v>
      </c>
      <c r="DK38" s="451">
        <v>0</v>
      </c>
      <c r="DL38" s="451">
        <v>0</v>
      </c>
      <c r="DM38" s="451">
        <v>246</v>
      </c>
      <c r="DN38" s="451">
        <v>0</v>
      </c>
      <c r="DO38" s="451">
        <v>0</v>
      </c>
      <c r="DP38" s="451">
        <v>0</v>
      </c>
      <c r="DQ38" s="451">
        <v>0</v>
      </c>
      <c r="DR38" s="451">
        <v>0</v>
      </c>
      <c r="DS38" s="451">
        <v>0</v>
      </c>
      <c r="DT38" s="451">
        <v>0</v>
      </c>
      <c r="DU38" s="451">
        <v>0</v>
      </c>
      <c r="DV38" s="451">
        <v>0</v>
      </c>
      <c r="DW38" s="451">
        <v>0</v>
      </c>
      <c r="DX38" s="451">
        <v>0</v>
      </c>
      <c r="DY38" s="451">
        <v>0</v>
      </c>
      <c r="DZ38" s="451">
        <v>0</v>
      </c>
      <c r="EA38" s="451">
        <v>0</v>
      </c>
      <c r="EB38" s="451">
        <v>0</v>
      </c>
      <c r="EC38" s="451">
        <v>0</v>
      </c>
      <c r="ED38" s="451">
        <v>0</v>
      </c>
      <c r="EE38" s="451">
        <v>0</v>
      </c>
      <c r="EF38" s="451">
        <v>0</v>
      </c>
      <c r="EG38" s="451">
        <v>0</v>
      </c>
      <c r="EH38" s="451">
        <v>0</v>
      </c>
      <c r="EI38" s="451">
        <v>0</v>
      </c>
      <c r="EJ38" s="451">
        <v>0</v>
      </c>
      <c r="EK38" s="451">
        <v>0</v>
      </c>
      <c r="EL38" s="451">
        <v>0</v>
      </c>
      <c r="EM38" s="451">
        <v>0</v>
      </c>
    </row>
    <row r="39" spans="1:143" ht="12.75" x14ac:dyDescent="0.2">
      <c r="A39" s="446">
        <v>33</v>
      </c>
      <c r="B39" s="447" t="s">
        <v>647</v>
      </c>
      <c r="C39" s="448" t="s">
        <v>794</v>
      </c>
      <c r="D39" s="449" t="s">
        <v>1094</v>
      </c>
      <c r="E39" s="450" t="s">
        <v>1111</v>
      </c>
      <c r="F39" s="451">
        <v>267997</v>
      </c>
      <c r="G39" s="451">
        <v>0</v>
      </c>
      <c r="H39" s="451">
        <v>0</v>
      </c>
      <c r="I39" s="451">
        <v>267997</v>
      </c>
      <c r="J39" s="451">
        <v>-332791</v>
      </c>
      <c r="K39" s="451">
        <v>0</v>
      </c>
      <c r="L39" s="451">
        <v>0</v>
      </c>
      <c r="M39" s="451">
        <v>-332791</v>
      </c>
      <c r="N39" s="451">
        <v>103103</v>
      </c>
      <c r="O39" s="451">
        <v>0</v>
      </c>
      <c r="P39" s="451">
        <v>0</v>
      </c>
      <c r="Q39" s="451">
        <v>103103</v>
      </c>
      <c r="R39" s="451">
        <v>133137</v>
      </c>
      <c r="S39" s="451">
        <v>0</v>
      </c>
      <c r="T39" s="451">
        <v>0</v>
      </c>
      <c r="U39" s="451">
        <v>133137</v>
      </c>
      <c r="V39" s="451">
        <v>5779175</v>
      </c>
      <c r="W39" s="451">
        <v>0</v>
      </c>
      <c r="X39" s="451">
        <v>0</v>
      </c>
      <c r="Y39" s="451">
        <v>5779175</v>
      </c>
      <c r="Z39" s="451">
        <v>193772</v>
      </c>
      <c r="AA39" s="451">
        <v>0</v>
      </c>
      <c r="AB39" s="451">
        <v>0</v>
      </c>
      <c r="AC39" s="451">
        <v>193772</v>
      </c>
      <c r="AD39" s="451">
        <v>2038806</v>
      </c>
      <c r="AE39" s="451">
        <v>0</v>
      </c>
      <c r="AF39" s="451">
        <v>0</v>
      </c>
      <c r="AG39" s="451">
        <v>2038806</v>
      </c>
      <c r="AH39" s="451">
        <v>-19987</v>
      </c>
      <c r="AI39" s="451">
        <v>0</v>
      </c>
      <c r="AJ39" s="451">
        <v>0</v>
      </c>
      <c r="AK39" s="451">
        <v>-19987</v>
      </c>
      <c r="AL39" s="451">
        <v>7945253</v>
      </c>
      <c r="AM39" s="451">
        <v>0</v>
      </c>
      <c r="AN39" s="451">
        <v>0</v>
      </c>
      <c r="AO39" s="451">
        <v>7945253</v>
      </c>
      <c r="AP39" s="451">
        <v>358366</v>
      </c>
      <c r="AQ39" s="451">
        <v>0</v>
      </c>
      <c r="AR39" s="451">
        <v>0</v>
      </c>
      <c r="AS39" s="451">
        <v>358366</v>
      </c>
      <c r="AT39" s="451">
        <v>54588</v>
      </c>
      <c r="AU39" s="451">
        <v>0</v>
      </c>
      <c r="AV39" s="451">
        <v>0</v>
      </c>
      <c r="AW39" s="451">
        <v>54588</v>
      </c>
      <c r="AX39" s="451">
        <v>-54</v>
      </c>
      <c r="AY39" s="451">
        <v>0</v>
      </c>
      <c r="AZ39" s="451">
        <v>0</v>
      </c>
      <c r="BA39" s="451">
        <v>-54</v>
      </c>
      <c r="BB39" s="451">
        <v>0</v>
      </c>
      <c r="BC39" s="451">
        <v>0</v>
      </c>
      <c r="BD39" s="451">
        <v>0</v>
      </c>
      <c r="BE39" s="451">
        <v>0</v>
      </c>
      <c r="BF39" s="451">
        <v>0</v>
      </c>
      <c r="BG39" s="451">
        <v>0</v>
      </c>
      <c r="BH39" s="451">
        <v>0</v>
      </c>
      <c r="BI39" s="451">
        <v>0</v>
      </c>
      <c r="BJ39" s="451">
        <v>27232</v>
      </c>
      <c r="BK39" s="451">
        <v>0</v>
      </c>
      <c r="BL39" s="451">
        <v>0</v>
      </c>
      <c r="BM39" s="451">
        <v>27232</v>
      </c>
      <c r="BN39" s="451">
        <v>6845</v>
      </c>
      <c r="BO39" s="451">
        <v>0</v>
      </c>
      <c r="BP39" s="451">
        <v>0</v>
      </c>
      <c r="BQ39" s="451">
        <v>6845</v>
      </c>
      <c r="BR39" s="451">
        <v>3706998</v>
      </c>
      <c r="BS39" s="451">
        <v>0</v>
      </c>
      <c r="BT39" s="451">
        <v>0</v>
      </c>
      <c r="BU39" s="451">
        <v>3706998</v>
      </c>
      <c r="BV39" s="451">
        <v>272341</v>
      </c>
      <c r="BW39" s="451">
        <v>0</v>
      </c>
      <c r="BX39" s="451">
        <v>0</v>
      </c>
      <c r="BY39" s="451">
        <v>272341</v>
      </c>
      <c r="BZ39" s="451">
        <v>89511</v>
      </c>
      <c r="CA39" s="451">
        <v>0</v>
      </c>
      <c r="CB39" s="451">
        <v>0</v>
      </c>
      <c r="CC39" s="451">
        <v>89511</v>
      </c>
      <c r="CD39" s="451">
        <v>-1112</v>
      </c>
      <c r="CE39" s="451">
        <v>0</v>
      </c>
      <c r="CF39" s="451">
        <v>0</v>
      </c>
      <c r="CG39" s="451">
        <v>-1112</v>
      </c>
      <c r="CH39" s="451">
        <v>64508</v>
      </c>
      <c r="CI39" s="451">
        <v>0</v>
      </c>
      <c r="CJ39" s="451">
        <v>0</v>
      </c>
      <c r="CK39" s="451">
        <v>64508</v>
      </c>
      <c r="CL39" s="451">
        <v>6019</v>
      </c>
      <c r="CM39" s="451">
        <v>0</v>
      </c>
      <c r="CN39" s="451">
        <v>0</v>
      </c>
      <c r="CO39" s="451">
        <v>6019</v>
      </c>
      <c r="CP39" s="451">
        <v>2265</v>
      </c>
      <c r="CQ39" s="451">
        <v>0</v>
      </c>
      <c r="CR39" s="451">
        <v>0</v>
      </c>
      <c r="CS39" s="451">
        <v>2265</v>
      </c>
      <c r="CT39" s="451">
        <v>-14</v>
      </c>
      <c r="CU39" s="451">
        <v>0</v>
      </c>
      <c r="CV39" s="451">
        <v>0</v>
      </c>
      <c r="CW39" s="451">
        <v>-14</v>
      </c>
      <c r="CX39" s="451">
        <v>0</v>
      </c>
      <c r="CY39" s="451">
        <v>0</v>
      </c>
      <c r="CZ39" s="451">
        <v>0</v>
      </c>
      <c r="DA39" s="451">
        <v>0</v>
      </c>
      <c r="DB39" s="451">
        <v>0</v>
      </c>
      <c r="DC39" s="451">
        <v>0</v>
      </c>
      <c r="DD39" s="451">
        <v>0</v>
      </c>
      <c r="DE39" s="451">
        <v>0</v>
      </c>
      <c r="DF39" s="451">
        <v>0</v>
      </c>
      <c r="DG39" s="451">
        <v>0</v>
      </c>
      <c r="DH39" s="451">
        <v>0</v>
      </c>
      <c r="DI39" s="451">
        <v>0</v>
      </c>
      <c r="DJ39" s="451">
        <v>0</v>
      </c>
      <c r="DK39" s="451">
        <v>0</v>
      </c>
      <c r="DL39" s="451">
        <v>0</v>
      </c>
      <c r="DM39" s="451">
        <v>0</v>
      </c>
      <c r="DN39" s="451">
        <v>51105</v>
      </c>
      <c r="DO39" s="451">
        <v>0</v>
      </c>
      <c r="DP39" s="451">
        <v>0</v>
      </c>
      <c r="DQ39" s="451">
        <v>51105</v>
      </c>
      <c r="DR39" s="451">
        <v>-2000</v>
      </c>
      <c r="DS39" s="451">
        <v>0</v>
      </c>
      <c r="DT39" s="451">
        <v>0</v>
      </c>
      <c r="DU39" s="451">
        <v>-2000</v>
      </c>
      <c r="DV39" s="451">
        <v>0</v>
      </c>
      <c r="DW39" s="451">
        <v>0</v>
      </c>
      <c r="DX39" s="451">
        <v>0</v>
      </c>
      <c r="DY39" s="451">
        <v>0</v>
      </c>
      <c r="DZ39" s="451">
        <v>0</v>
      </c>
      <c r="EA39" s="451">
        <v>0</v>
      </c>
      <c r="EB39" s="451">
        <v>0</v>
      </c>
      <c r="EC39" s="451">
        <v>0</v>
      </c>
      <c r="ED39" s="451">
        <v>0</v>
      </c>
      <c r="EE39" s="451">
        <v>0</v>
      </c>
      <c r="EF39" s="451">
        <v>0</v>
      </c>
      <c r="EG39" s="451">
        <v>0</v>
      </c>
      <c r="EH39" s="451">
        <v>0</v>
      </c>
      <c r="EI39" s="451">
        <v>0</v>
      </c>
      <c r="EJ39" s="451">
        <v>0</v>
      </c>
      <c r="EK39" s="451">
        <v>0</v>
      </c>
      <c r="EL39" s="451">
        <v>0</v>
      </c>
      <c r="EM39" s="451">
        <v>0</v>
      </c>
    </row>
    <row r="40" spans="1:143" ht="12.75" x14ac:dyDescent="0.2">
      <c r="A40" s="446">
        <v>34</v>
      </c>
      <c r="B40" s="447" t="s">
        <v>649</v>
      </c>
      <c r="C40" s="448" t="s">
        <v>794</v>
      </c>
      <c r="D40" s="449" t="s">
        <v>1102</v>
      </c>
      <c r="E40" s="450" t="s">
        <v>648</v>
      </c>
      <c r="F40" s="451">
        <v>2836521</v>
      </c>
      <c r="G40" s="451">
        <v>0</v>
      </c>
      <c r="H40" s="451">
        <v>83504</v>
      </c>
      <c r="I40" s="451">
        <v>2920025</v>
      </c>
      <c r="J40" s="451">
        <v>-442799</v>
      </c>
      <c r="K40" s="451">
        <v>0</v>
      </c>
      <c r="L40" s="451">
        <v>0</v>
      </c>
      <c r="M40" s="451">
        <v>-442799</v>
      </c>
      <c r="N40" s="451">
        <v>89313</v>
      </c>
      <c r="O40" s="451">
        <v>0</v>
      </c>
      <c r="P40" s="451">
        <v>0</v>
      </c>
      <c r="Q40" s="451">
        <v>89313</v>
      </c>
      <c r="R40" s="451">
        <v>215168</v>
      </c>
      <c r="S40" s="451">
        <v>0</v>
      </c>
      <c r="T40" s="451">
        <v>0</v>
      </c>
      <c r="U40" s="451">
        <v>215168</v>
      </c>
      <c r="V40" s="451">
        <v>7694601</v>
      </c>
      <c r="W40" s="451">
        <v>0</v>
      </c>
      <c r="X40" s="451">
        <v>75096</v>
      </c>
      <c r="Y40" s="451">
        <v>7769697</v>
      </c>
      <c r="Z40" s="451">
        <v>363567</v>
      </c>
      <c r="AA40" s="451">
        <v>0</v>
      </c>
      <c r="AB40" s="451">
        <v>0</v>
      </c>
      <c r="AC40" s="451">
        <v>363567</v>
      </c>
      <c r="AD40" s="451">
        <v>4031045</v>
      </c>
      <c r="AE40" s="451">
        <v>0</v>
      </c>
      <c r="AF40" s="451">
        <v>207297</v>
      </c>
      <c r="AG40" s="451">
        <v>4238342</v>
      </c>
      <c r="AH40" s="451">
        <v>64654</v>
      </c>
      <c r="AI40" s="451">
        <v>0</v>
      </c>
      <c r="AJ40" s="451">
        <v>0</v>
      </c>
      <c r="AK40" s="451">
        <v>64654</v>
      </c>
      <c r="AL40" s="451">
        <v>15328041</v>
      </c>
      <c r="AM40" s="451">
        <v>0</v>
      </c>
      <c r="AN40" s="451">
        <v>28764</v>
      </c>
      <c r="AO40" s="451">
        <v>15356805</v>
      </c>
      <c r="AP40" s="451">
        <v>737635</v>
      </c>
      <c r="AQ40" s="451">
        <v>0</v>
      </c>
      <c r="AR40" s="451">
        <v>0</v>
      </c>
      <c r="AS40" s="451">
        <v>737635</v>
      </c>
      <c r="AT40" s="451">
        <v>143723</v>
      </c>
      <c r="AU40" s="451">
        <v>0</v>
      </c>
      <c r="AV40" s="451">
        <v>0</v>
      </c>
      <c r="AW40" s="451">
        <v>143723</v>
      </c>
      <c r="AX40" s="451">
        <v>0</v>
      </c>
      <c r="AY40" s="451">
        <v>0</v>
      </c>
      <c r="AZ40" s="451">
        <v>0</v>
      </c>
      <c r="BA40" s="451">
        <v>0</v>
      </c>
      <c r="BB40" s="451">
        <v>0</v>
      </c>
      <c r="BC40" s="451">
        <v>0</v>
      </c>
      <c r="BD40" s="451">
        <v>0</v>
      </c>
      <c r="BE40" s="451">
        <v>0</v>
      </c>
      <c r="BF40" s="451">
        <v>0</v>
      </c>
      <c r="BG40" s="451">
        <v>0</v>
      </c>
      <c r="BH40" s="451">
        <v>0</v>
      </c>
      <c r="BI40" s="451">
        <v>0</v>
      </c>
      <c r="BJ40" s="451">
        <v>444702</v>
      </c>
      <c r="BK40" s="451">
        <v>0</v>
      </c>
      <c r="BL40" s="451">
        <v>79467</v>
      </c>
      <c r="BM40" s="451">
        <v>524169</v>
      </c>
      <c r="BN40" s="451">
        <v>-34873</v>
      </c>
      <c r="BO40" s="451">
        <v>0</v>
      </c>
      <c r="BP40" s="451">
        <v>0</v>
      </c>
      <c r="BQ40" s="451">
        <v>-34873</v>
      </c>
      <c r="BR40" s="451">
        <v>12558052</v>
      </c>
      <c r="BS40" s="451">
        <v>0</v>
      </c>
      <c r="BT40" s="451">
        <v>297331</v>
      </c>
      <c r="BU40" s="451">
        <v>12855383</v>
      </c>
      <c r="BV40" s="451">
        <v>-404256</v>
      </c>
      <c r="BW40" s="451">
        <v>0</v>
      </c>
      <c r="BX40" s="451">
        <v>0</v>
      </c>
      <c r="BY40" s="451">
        <v>-404256</v>
      </c>
      <c r="BZ40" s="451">
        <v>307911</v>
      </c>
      <c r="CA40" s="451">
        <v>0</v>
      </c>
      <c r="CB40" s="451">
        <v>0</v>
      </c>
      <c r="CC40" s="451">
        <v>307911</v>
      </c>
      <c r="CD40" s="451">
        <v>-5962</v>
      </c>
      <c r="CE40" s="451">
        <v>0</v>
      </c>
      <c r="CF40" s="451">
        <v>0</v>
      </c>
      <c r="CG40" s="451">
        <v>-5962</v>
      </c>
      <c r="CH40" s="451">
        <v>447700</v>
      </c>
      <c r="CI40" s="451">
        <v>0</v>
      </c>
      <c r="CJ40" s="451">
        <v>15186</v>
      </c>
      <c r="CK40" s="451">
        <v>462886</v>
      </c>
      <c r="CL40" s="451">
        <v>-5755</v>
      </c>
      <c r="CM40" s="451">
        <v>0</v>
      </c>
      <c r="CN40" s="451">
        <v>0</v>
      </c>
      <c r="CO40" s="451">
        <v>-5755</v>
      </c>
      <c r="CP40" s="451">
        <v>5113</v>
      </c>
      <c r="CQ40" s="451">
        <v>0</v>
      </c>
      <c r="CR40" s="451">
        <v>0</v>
      </c>
      <c r="CS40" s="451">
        <v>5113</v>
      </c>
      <c r="CT40" s="451">
        <v>0</v>
      </c>
      <c r="CU40" s="451">
        <v>0</v>
      </c>
      <c r="CV40" s="451">
        <v>0</v>
      </c>
      <c r="CW40" s="451">
        <v>0</v>
      </c>
      <c r="CX40" s="451">
        <v>0</v>
      </c>
      <c r="CY40" s="451">
        <v>0</v>
      </c>
      <c r="CZ40" s="451">
        <v>0</v>
      </c>
      <c r="DA40" s="451">
        <v>0</v>
      </c>
      <c r="DB40" s="451">
        <v>0</v>
      </c>
      <c r="DC40" s="451">
        <v>0</v>
      </c>
      <c r="DD40" s="451">
        <v>0</v>
      </c>
      <c r="DE40" s="451">
        <v>0</v>
      </c>
      <c r="DF40" s="451">
        <v>0</v>
      </c>
      <c r="DG40" s="451">
        <v>0</v>
      </c>
      <c r="DH40" s="451">
        <v>0</v>
      </c>
      <c r="DI40" s="451">
        <v>0</v>
      </c>
      <c r="DJ40" s="451">
        <v>0</v>
      </c>
      <c r="DK40" s="451">
        <v>0</v>
      </c>
      <c r="DL40" s="451">
        <v>0</v>
      </c>
      <c r="DM40" s="451">
        <v>0</v>
      </c>
      <c r="DN40" s="451">
        <v>0</v>
      </c>
      <c r="DO40" s="451">
        <v>0</v>
      </c>
      <c r="DP40" s="451">
        <v>341768</v>
      </c>
      <c r="DQ40" s="451">
        <v>341768</v>
      </c>
      <c r="DR40" s="451">
        <v>0</v>
      </c>
      <c r="DS40" s="451">
        <v>0</v>
      </c>
      <c r="DT40" s="451">
        <v>0</v>
      </c>
      <c r="DU40" s="451">
        <v>0</v>
      </c>
      <c r="DV40" s="451">
        <v>341768</v>
      </c>
      <c r="DW40" s="451">
        <v>0</v>
      </c>
      <c r="DX40" s="451">
        <v>0</v>
      </c>
      <c r="DY40" s="451">
        <v>0</v>
      </c>
      <c r="DZ40" s="451">
        <v>0</v>
      </c>
      <c r="EA40" s="451">
        <v>0</v>
      </c>
      <c r="EB40" s="451">
        <v>0</v>
      </c>
      <c r="EC40" s="451">
        <v>0</v>
      </c>
      <c r="ED40" s="451">
        <v>0</v>
      </c>
      <c r="EE40" s="451">
        <v>0</v>
      </c>
      <c r="EF40" s="451">
        <v>0</v>
      </c>
      <c r="EG40" s="451">
        <v>0</v>
      </c>
      <c r="EH40" s="451">
        <v>0</v>
      </c>
      <c r="EI40" s="451">
        <v>0</v>
      </c>
      <c r="EJ40" s="451">
        <v>6811</v>
      </c>
      <c r="EK40" s="451">
        <v>0</v>
      </c>
      <c r="EL40" s="451">
        <v>0</v>
      </c>
      <c r="EM40" s="451">
        <v>6811</v>
      </c>
    </row>
    <row r="41" spans="1:143" ht="12.75" x14ac:dyDescent="0.2">
      <c r="A41" s="446">
        <v>35</v>
      </c>
      <c r="B41" s="447" t="s">
        <v>651</v>
      </c>
      <c r="C41" s="448" t="s">
        <v>1093</v>
      </c>
      <c r="D41" s="449" t="s">
        <v>1097</v>
      </c>
      <c r="E41" s="450" t="s">
        <v>650</v>
      </c>
      <c r="F41" s="451">
        <v>98552</v>
      </c>
      <c r="G41" s="451">
        <v>0</v>
      </c>
      <c r="H41" s="451">
        <v>0</v>
      </c>
      <c r="I41" s="451">
        <v>98552</v>
      </c>
      <c r="J41" s="451">
        <v>-59187</v>
      </c>
      <c r="K41" s="451">
        <v>0</v>
      </c>
      <c r="L41" s="451">
        <v>0</v>
      </c>
      <c r="M41" s="451">
        <v>-59187</v>
      </c>
      <c r="N41" s="451">
        <v>119496</v>
      </c>
      <c r="O41" s="451">
        <v>0</v>
      </c>
      <c r="P41" s="451">
        <v>0</v>
      </c>
      <c r="Q41" s="451">
        <v>119496</v>
      </c>
      <c r="R41" s="451">
        <v>197153</v>
      </c>
      <c r="S41" s="451">
        <v>0</v>
      </c>
      <c r="T41" s="451">
        <v>0</v>
      </c>
      <c r="U41" s="451">
        <v>197153</v>
      </c>
      <c r="V41" s="451">
        <v>2363343</v>
      </c>
      <c r="W41" s="451">
        <v>0</v>
      </c>
      <c r="X41" s="451">
        <v>0</v>
      </c>
      <c r="Y41" s="451">
        <v>2363343</v>
      </c>
      <c r="Z41" s="451">
        <v>45211</v>
      </c>
      <c r="AA41" s="451">
        <v>0</v>
      </c>
      <c r="AB41" s="451">
        <v>0</v>
      </c>
      <c r="AC41" s="451">
        <v>45211</v>
      </c>
      <c r="AD41" s="451">
        <v>541974</v>
      </c>
      <c r="AE41" s="451">
        <v>0</v>
      </c>
      <c r="AF41" s="451">
        <v>0</v>
      </c>
      <c r="AG41" s="451">
        <v>541974</v>
      </c>
      <c r="AH41" s="451">
        <v>4043</v>
      </c>
      <c r="AI41" s="451">
        <v>0</v>
      </c>
      <c r="AJ41" s="451">
        <v>0</v>
      </c>
      <c r="AK41" s="451">
        <v>4043</v>
      </c>
      <c r="AL41" s="451">
        <v>1298930</v>
      </c>
      <c r="AM41" s="451">
        <v>0</v>
      </c>
      <c r="AN41" s="451">
        <v>0</v>
      </c>
      <c r="AO41" s="451">
        <v>1298930</v>
      </c>
      <c r="AP41" s="451">
        <v>14684</v>
      </c>
      <c r="AQ41" s="451">
        <v>0</v>
      </c>
      <c r="AR41" s="451">
        <v>0</v>
      </c>
      <c r="AS41" s="451">
        <v>14684</v>
      </c>
      <c r="AT41" s="451">
        <v>39036</v>
      </c>
      <c r="AU41" s="451">
        <v>0</v>
      </c>
      <c r="AV41" s="451">
        <v>0</v>
      </c>
      <c r="AW41" s="451">
        <v>39036</v>
      </c>
      <c r="AX41" s="451">
        <v>0</v>
      </c>
      <c r="AY41" s="451">
        <v>0</v>
      </c>
      <c r="AZ41" s="451">
        <v>0</v>
      </c>
      <c r="BA41" s="451">
        <v>0</v>
      </c>
      <c r="BB41" s="451">
        <v>53315</v>
      </c>
      <c r="BC41" s="451">
        <v>0</v>
      </c>
      <c r="BD41" s="451">
        <v>0</v>
      </c>
      <c r="BE41" s="451">
        <v>53315</v>
      </c>
      <c r="BF41" s="451">
        <v>-101</v>
      </c>
      <c r="BG41" s="451">
        <v>0</v>
      </c>
      <c r="BH41" s="451">
        <v>0</v>
      </c>
      <c r="BI41" s="451">
        <v>-101</v>
      </c>
      <c r="BJ41" s="451">
        <v>3824</v>
      </c>
      <c r="BK41" s="451">
        <v>0</v>
      </c>
      <c r="BL41" s="451">
        <v>0</v>
      </c>
      <c r="BM41" s="451">
        <v>3824</v>
      </c>
      <c r="BN41" s="451">
        <v>13393</v>
      </c>
      <c r="BO41" s="451">
        <v>0</v>
      </c>
      <c r="BP41" s="451">
        <v>0</v>
      </c>
      <c r="BQ41" s="451">
        <v>13393</v>
      </c>
      <c r="BR41" s="451">
        <v>636239</v>
      </c>
      <c r="BS41" s="451">
        <v>0</v>
      </c>
      <c r="BT41" s="451">
        <v>0</v>
      </c>
      <c r="BU41" s="451">
        <v>636239</v>
      </c>
      <c r="BV41" s="451">
        <v>-19717</v>
      </c>
      <c r="BW41" s="451">
        <v>0</v>
      </c>
      <c r="BX41" s="451">
        <v>0</v>
      </c>
      <c r="BY41" s="451">
        <v>-19717</v>
      </c>
      <c r="BZ41" s="451">
        <v>13042</v>
      </c>
      <c r="CA41" s="451">
        <v>0</v>
      </c>
      <c r="CB41" s="451">
        <v>0</v>
      </c>
      <c r="CC41" s="451">
        <v>13042</v>
      </c>
      <c r="CD41" s="451">
        <v>3</v>
      </c>
      <c r="CE41" s="451">
        <v>0</v>
      </c>
      <c r="CF41" s="451">
        <v>0</v>
      </c>
      <c r="CG41" s="451">
        <v>3</v>
      </c>
      <c r="CH41" s="451">
        <v>53594</v>
      </c>
      <c r="CI41" s="451">
        <v>0</v>
      </c>
      <c r="CJ41" s="451">
        <v>0</v>
      </c>
      <c r="CK41" s="451">
        <v>53594</v>
      </c>
      <c r="CL41" s="451">
        <v>-1045</v>
      </c>
      <c r="CM41" s="451">
        <v>0</v>
      </c>
      <c r="CN41" s="451">
        <v>0</v>
      </c>
      <c r="CO41" s="451">
        <v>-1045</v>
      </c>
      <c r="CP41" s="451">
        <v>0</v>
      </c>
      <c r="CQ41" s="451">
        <v>0</v>
      </c>
      <c r="CR41" s="451">
        <v>0</v>
      </c>
      <c r="CS41" s="451">
        <v>0</v>
      </c>
      <c r="CT41" s="451">
        <v>0</v>
      </c>
      <c r="CU41" s="451">
        <v>0</v>
      </c>
      <c r="CV41" s="451">
        <v>0</v>
      </c>
      <c r="CW41" s="451">
        <v>0</v>
      </c>
      <c r="CX41" s="451">
        <v>53315</v>
      </c>
      <c r="CY41" s="451">
        <v>0</v>
      </c>
      <c r="CZ41" s="451">
        <v>0</v>
      </c>
      <c r="DA41" s="451">
        <v>53315</v>
      </c>
      <c r="DB41" s="451">
        <v>-101</v>
      </c>
      <c r="DC41" s="451">
        <v>0</v>
      </c>
      <c r="DD41" s="451">
        <v>0</v>
      </c>
      <c r="DE41" s="451">
        <v>-101</v>
      </c>
      <c r="DF41" s="451">
        <v>9119</v>
      </c>
      <c r="DG41" s="451">
        <v>0</v>
      </c>
      <c r="DH41" s="451">
        <v>0</v>
      </c>
      <c r="DI41" s="451">
        <v>9119</v>
      </c>
      <c r="DJ41" s="451">
        <v>0</v>
      </c>
      <c r="DK41" s="451">
        <v>0</v>
      </c>
      <c r="DL41" s="451">
        <v>0</v>
      </c>
      <c r="DM41" s="451">
        <v>0</v>
      </c>
      <c r="DN41" s="451">
        <v>0</v>
      </c>
      <c r="DO41" s="451">
        <v>0</v>
      </c>
      <c r="DP41" s="451">
        <v>0</v>
      </c>
      <c r="DQ41" s="451">
        <v>0</v>
      </c>
      <c r="DR41" s="451">
        <v>0</v>
      </c>
      <c r="DS41" s="451">
        <v>0</v>
      </c>
      <c r="DT41" s="451">
        <v>0</v>
      </c>
      <c r="DU41" s="451">
        <v>0</v>
      </c>
      <c r="DV41" s="451">
        <v>0</v>
      </c>
      <c r="DW41" s="451">
        <v>0</v>
      </c>
      <c r="DX41" s="451">
        <v>0</v>
      </c>
      <c r="DY41" s="451">
        <v>0</v>
      </c>
      <c r="DZ41" s="451">
        <v>0</v>
      </c>
      <c r="EA41" s="451">
        <v>0</v>
      </c>
      <c r="EB41" s="451">
        <v>0</v>
      </c>
      <c r="EC41" s="451">
        <v>0</v>
      </c>
      <c r="ED41" s="451">
        <v>0</v>
      </c>
      <c r="EE41" s="451">
        <v>0</v>
      </c>
      <c r="EF41" s="451">
        <v>0</v>
      </c>
      <c r="EG41" s="451">
        <v>0</v>
      </c>
      <c r="EH41" s="451">
        <v>0</v>
      </c>
      <c r="EI41" s="451">
        <v>0</v>
      </c>
      <c r="EJ41" s="451">
        <v>317</v>
      </c>
      <c r="EK41" s="451">
        <v>0</v>
      </c>
      <c r="EL41" s="451">
        <v>0</v>
      </c>
      <c r="EM41" s="451">
        <v>317</v>
      </c>
    </row>
    <row r="42" spans="1:143" ht="12.75" x14ac:dyDescent="0.2">
      <c r="A42" s="446">
        <v>36</v>
      </c>
      <c r="B42" s="447" t="s">
        <v>653</v>
      </c>
      <c r="C42" s="448" t="s">
        <v>1098</v>
      </c>
      <c r="D42" s="449" t="s">
        <v>1099</v>
      </c>
      <c r="E42" s="450" t="s">
        <v>652</v>
      </c>
      <c r="F42" s="451">
        <v>104258.44</v>
      </c>
      <c r="G42" s="451">
        <v>0</v>
      </c>
      <c r="H42" s="451">
        <v>0</v>
      </c>
      <c r="I42" s="451">
        <v>104258.44</v>
      </c>
      <c r="J42" s="451">
        <v>-2230.6799999999998</v>
      </c>
      <c r="K42" s="451">
        <v>0</v>
      </c>
      <c r="L42" s="451">
        <v>0</v>
      </c>
      <c r="M42" s="451">
        <v>-2230.6799999999998</v>
      </c>
      <c r="N42" s="451">
        <v>270055.01</v>
      </c>
      <c r="O42" s="451">
        <v>0</v>
      </c>
      <c r="P42" s="451">
        <v>0</v>
      </c>
      <c r="Q42" s="451">
        <v>270055.01</v>
      </c>
      <c r="R42" s="451">
        <v>208017.04</v>
      </c>
      <c r="S42" s="451">
        <v>0</v>
      </c>
      <c r="T42" s="451">
        <v>0</v>
      </c>
      <c r="U42" s="451">
        <v>208017.04</v>
      </c>
      <c r="V42" s="451">
        <v>4230896.76</v>
      </c>
      <c r="W42" s="451">
        <v>0</v>
      </c>
      <c r="X42" s="451">
        <v>0</v>
      </c>
      <c r="Y42" s="451">
        <v>4230896.76</v>
      </c>
      <c r="Z42" s="451">
        <v>79857.740000000005</v>
      </c>
      <c r="AA42" s="451">
        <v>0</v>
      </c>
      <c r="AB42" s="451">
        <v>0</v>
      </c>
      <c r="AC42" s="451">
        <v>79857.740000000005</v>
      </c>
      <c r="AD42" s="451">
        <v>1562063.92</v>
      </c>
      <c r="AE42" s="451">
        <v>0</v>
      </c>
      <c r="AF42" s="451">
        <v>0</v>
      </c>
      <c r="AG42" s="451">
        <v>1562063.92</v>
      </c>
      <c r="AH42" s="451">
        <v>23735.06</v>
      </c>
      <c r="AI42" s="451">
        <v>0</v>
      </c>
      <c r="AJ42" s="451">
        <v>0</v>
      </c>
      <c r="AK42" s="451">
        <v>23735.06</v>
      </c>
      <c r="AL42" s="451">
        <v>7781310.4000000004</v>
      </c>
      <c r="AM42" s="451">
        <v>0</v>
      </c>
      <c r="AN42" s="451">
        <v>0</v>
      </c>
      <c r="AO42" s="451">
        <v>7781310.4000000004</v>
      </c>
      <c r="AP42" s="451">
        <v>85699.28</v>
      </c>
      <c r="AQ42" s="451">
        <v>0</v>
      </c>
      <c r="AR42" s="451">
        <v>0</v>
      </c>
      <c r="AS42" s="451">
        <v>85699.28</v>
      </c>
      <c r="AT42" s="451">
        <v>162223.70000000001</v>
      </c>
      <c r="AU42" s="451">
        <v>0</v>
      </c>
      <c r="AV42" s="451">
        <v>0</v>
      </c>
      <c r="AW42" s="451">
        <v>162223.70000000001</v>
      </c>
      <c r="AX42" s="451">
        <v>8363.1200000000008</v>
      </c>
      <c r="AY42" s="451">
        <v>0</v>
      </c>
      <c r="AZ42" s="451">
        <v>0</v>
      </c>
      <c r="BA42" s="451">
        <v>8363.1200000000008</v>
      </c>
      <c r="BB42" s="451">
        <v>0</v>
      </c>
      <c r="BC42" s="451">
        <v>0</v>
      </c>
      <c r="BD42" s="451">
        <v>0</v>
      </c>
      <c r="BE42" s="451">
        <v>0</v>
      </c>
      <c r="BF42" s="451">
        <v>0</v>
      </c>
      <c r="BG42" s="451">
        <v>0</v>
      </c>
      <c r="BH42" s="451">
        <v>0</v>
      </c>
      <c r="BI42" s="451">
        <v>0</v>
      </c>
      <c r="BJ42" s="451">
        <v>8871.18</v>
      </c>
      <c r="BK42" s="451">
        <v>0</v>
      </c>
      <c r="BL42" s="451">
        <v>0</v>
      </c>
      <c r="BM42" s="451">
        <v>8871.18</v>
      </c>
      <c r="BN42" s="451">
        <v>-1157.4000000000001</v>
      </c>
      <c r="BO42" s="451">
        <v>0</v>
      </c>
      <c r="BP42" s="451">
        <v>0</v>
      </c>
      <c r="BQ42" s="451">
        <v>-1157.4000000000001</v>
      </c>
      <c r="BR42" s="451">
        <v>3350740.65</v>
      </c>
      <c r="BS42" s="451">
        <v>0</v>
      </c>
      <c r="BT42" s="451">
        <v>0</v>
      </c>
      <c r="BU42" s="451">
        <v>3350740.65</v>
      </c>
      <c r="BV42" s="451">
        <v>-393483.99</v>
      </c>
      <c r="BW42" s="451">
        <v>0</v>
      </c>
      <c r="BX42" s="451">
        <v>0</v>
      </c>
      <c r="BY42" s="451">
        <v>-393483.99</v>
      </c>
      <c r="BZ42" s="451">
        <v>208884.71</v>
      </c>
      <c r="CA42" s="451">
        <v>0</v>
      </c>
      <c r="CB42" s="451">
        <v>0</v>
      </c>
      <c r="CC42" s="451">
        <v>208884.71</v>
      </c>
      <c r="CD42" s="451">
        <v>-318.89</v>
      </c>
      <c r="CE42" s="451">
        <v>0</v>
      </c>
      <c r="CF42" s="451">
        <v>0</v>
      </c>
      <c r="CG42" s="451">
        <v>-318.89</v>
      </c>
      <c r="CH42" s="451">
        <v>193676.74</v>
      </c>
      <c r="CI42" s="451">
        <v>0</v>
      </c>
      <c r="CJ42" s="451">
        <v>0</v>
      </c>
      <c r="CK42" s="451">
        <v>193676.74</v>
      </c>
      <c r="CL42" s="451">
        <v>-6118.31</v>
      </c>
      <c r="CM42" s="451">
        <v>0</v>
      </c>
      <c r="CN42" s="451">
        <v>0</v>
      </c>
      <c r="CO42" s="451">
        <v>-6118.31</v>
      </c>
      <c r="CP42" s="451">
        <v>40555.919999999998</v>
      </c>
      <c r="CQ42" s="451">
        <v>0</v>
      </c>
      <c r="CR42" s="451">
        <v>0</v>
      </c>
      <c r="CS42" s="451">
        <v>40555.919999999998</v>
      </c>
      <c r="CT42" s="451">
        <v>2090.7800000000002</v>
      </c>
      <c r="CU42" s="451">
        <v>0</v>
      </c>
      <c r="CV42" s="451">
        <v>0</v>
      </c>
      <c r="CW42" s="451">
        <v>2090.7800000000002</v>
      </c>
      <c r="CX42" s="451">
        <v>0</v>
      </c>
      <c r="CY42" s="451">
        <v>0</v>
      </c>
      <c r="CZ42" s="451">
        <v>0</v>
      </c>
      <c r="DA42" s="451">
        <v>0</v>
      </c>
      <c r="DB42" s="451">
        <v>0</v>
      </c>
      <c r="DC42" s="451">
        <v>0</v>
      </c>
      <c r="DD42" s="451">
        <v>0</v>
      </c>
      <c r="DE42" s="451">
        <v>0</v>
      </c>
      <c r="DF42" s="451">
        <v>0</v>
      </c>
      <c r="DG42" s="451">
        <v>0</v>
      </c>
      <c r="DH42" s="451">
        <v>0</v>
      </c>
      <c r="DI42" s="451">
        <v>0</v>
      </c>
      <c r="DJ42" s="451">
        <v>0</v>
      </c>
      <c r="DK42" s="451">
        <v>0</v>
      </c>
      <c r="DL42" s="451">
        <v>0</v>
      </c>
      <c r="DM42" s="451">
        <v>0</v>
      </c>
      <c r="DN42" s="451">
        <v>0</v>
      </c>
      <c r="DO42" s="451">
        <v>0</v>
      </c>
      <c r="DP42" s="451">
        <v>0</v>
      </c>
      <c r="DQ42" s="451">
        <v>0</v>
      </c>
      <c r="DR42" s="451">
        <v>0</v>
      </c>
      <c r="DS42" s="451">
        <v>0</v>
      </c>
      <c r="DT42" s="451">
        <v>0</v>
      </c>
      <c r="DU42" s="451">
        <v>0</v>
      </c>
      <c r="DV42" s="451">
        <v>0</v>
      </c>
      <c r="DW42" s="451">
        <v>0</v>
      </c>
      <c r="DX42" s="451">
        <v>0</v>
      </c>
      <c r="DY42" s="451">
        <v>0</v>
      </c>
      <c r="DZ42" s="451">
        <v>0</v>
      </c>
      <c r="EA42" s="451">
        <v>0</v>
      </c>
      <c r="EB42" s="451">
        <v>0</v>
      </c>
      <c r="EC42" s="451">
        <v>0</v>
      </c>
      <c r="ED42" s="451">
        <v>0</v>
      </c>
      <c r="EE42" s="451">
        <v>0</v>
      </c>
      <c r="EF42" s="451">
        <v>0</v>
      </c>
      <c r="EG42" s="451">
        <v>0</v>
      </c>
      <c r="EH42" s="451">
        <v>0</v>
      </c>
      <c r="EI42" s="451">
        <v>0</v>
      </c>
      <c r="EJ42" s="451">
        <v>0</v>
      </c>
      <c r="EK42" s="451">
        <v>0</v>
      </c>
      <c r="EL42" s="451">
        <v>0</v>
      </c>
      <c r="EM42" s="451">
        <v>0</v>
      </c>
    </row>
    <row r="43" spans="1:143" ht="12.75" x14ac:dyDescent="0.2">
      <c r="A43" s="446">
        <v>37</v>
      </c>
      <c r="B43" s="447" t="s">
        <v>655</v>
      </c>
      <c r="C43" s="448" t="s">
        <v>1093</v>
      </c>
      <c r="D43" s="449" t="s">
        <v>1103</v>
      </c>
      <c r="E43" s="450" t="s">
        <v>654</v>
      </c>
      <c r="F43" s="451">
        <v>153560.32000000001</v>
      </c>
      <c r="G43" s="451">
        <v>0</v>
      </c>
      <c r="H43" s="451">
        <v>0</v>
      </c>
      <c r="I43" s="451">
        <v>153560.32000000001</v>
      </c>
      <c r="J43" s="451">
        <v>-37742.49</v>
      </c>
      <c r="K43" s="451">
        <v>0</v>
      </c>
      <c r="L43" s="451">
        <v>0</v>
      </c>
      <c r="M43" s="451">
        <v>-37742.49</v>
      </c>
      <c r="N43" s="451">
        <v>13498.93</v>
      </c>
      <c r="O43" s="451">
        <v>0</v>
      </c>
      <c r="P43" s="451">
        <v>0</v>
      </c>
      <c r="Q43" s="451">
        <v>13498.93</v>
      </c>
      <c r="R43" s="451">
        <v>321207.21999999997</v>
      </c>
      <c r="S43" s="451">
        <v>0</v>
      </c>
      <c r="T43" s="451">
        <v>0</v>
      </c>
      <c r="U43" s="451">
        <v>321207.21999999997</v>
      </c>
      <c r="V43" s="451">
        <v>1853565.74</v>
      </c>
      <c r="W43" s="451">
        <v>0</v>
      </c>
      <c r="X43" s="451">
        <v>0</v>
      </c>
      <c r="Y43" s="451">
        <v>1853565.74</v>
      </c>
      <c r="Z43" s="451">
        <v>124434.78</v>
      </c>
      <c r="AA43" s="451">
        <v>0</v>
      </c>
      <c r="AB43" s="451">
        <v>0</v>
      </c>
      <c r="AC43" s="451">
        <v>124434.78</v>
      </c>
      <c r="AD43" s="451">
        <v>498631.91</v>
      </c>
      <c r="AE43" s="451">
        <v>0</v>
      </c>
      <c r="AF43" s="451">
        <v>0</v>
      </c>
      <c r="AG43" s="451">
        <v>498631.91</v>
      </c>
      <c r="AH43" s="451">
        <v>17209.080000000002</v>
      </c>
      <c r="AI43" s="451">
        <v>0</v>
      </c>
      <c r="AJ43" s="451">
        <v>0</v>
      </c>
      <c r="AK43" s="451">
        <v>17209.080000000002</v>
      </c>
      <c r="AL43" s="451">
        <v>1831110.14</v>
      </c>
      <c r="AM43" s="451">
        <v>0</v>
      </c>
      <c r="AN43" s="451">
        <v>0</v>
      </c>
      <c r="AO43" s="451">
        <v>1831110.14</v>
      </c>
      <c r="AP43" s="451">
        <v>6895.53</v>
      </c>
      <c r="AQ43" s="451">
        <v>0</v>
      </c>
      <c r="AR43" s="451">
        <v>0</v>
      </c>
      <c r="AS43" s="451">
        <v>6895.53</v>
      </c>
      <c r="AT43" s="451">
        <v>15147.36</v>
      </c>
      <c r="AU43" s="451">
        <v>0</v>
      </c>
      <c r="AV43" s="451">
        <v>0</v>
      </c>
      <c r="AW43" s="451">
        <v>15147.36</v>
      </c>
      <c r="AX43" s="451">
        <v>0</v>
      </c>
      <c r="AY43" s="451">
        <v>0</v>
      </c>
      <c r="AZ43" s="451">
        <v>0</v>
      </c>
      <c r="BA43" s="451">
        <v>0</v>
      </c>
      <c r="BB43" s="451">
        <v>2107.7199999999998</v>
      </c>
      <c r="BC43" s="451">
        <v>0</v>
      </c>
      <c r="BD43" s="451">
        <v>0</v>
      </c>
      <c r="BE43" s="451">
        <v>2107.7199999999998</v>
      </c>
      <c r="BF43" s="451">
        <v>-3327.75</v>
      </c>
      <c r="BG43" s="451">
        <v>0</v>
      </c>
      <c r="BH43" s="451">
        <v>0</v>
      </c>
      <c r="BI43" s="451">
        <v>-3327.75</v>
      </c>
      <c r="BJ43" s="451">
        <v>0</v>
      </c>
      <c r="BK43" s="451">
        <v>0</v>
      </c>
      <c r="BL43" s="451">
        <v>0</v>
      </c>
      <c r="BM43" s="451">
        <v>0</v>
      </c>
      <c r="BN43" s="451">
        <v>-565.79</v>
      </c>
      <c r="BO43" s="451">
        <v>0</v>
      </c>
      <c r="BP43" s="451">
        <v>0</v>
      </c>
      <c r="BQ43" s="451">
        <v>-565.79</v>
      </c>
      <c r="BR43" s="451">
        <v>827738</v>
      </c>
      <c r="BS43" s="451">
        <v>0</v>
      </c>
      <c r="BT43" s="451">
        <v>0</v>
      </c>
      <c r="BU43" s="451">
        <v>827738</v>
      </c>
      <c r="BV43" s="451">
        <v>138656</v>
      </c>
      <c r="BW43" s="451">
        <v>0</v>
      </c>
      <c r="BX43" s="451">
        <v>0</v>
      </c>
      <c r="BY43" s="451">
        <v>138656</v>
      </c>
      <c r="BZ43" s="451">
        <v>122770.88</v>
      </c>
      <c r="CA43" s="451">
        <v>0</v>
      </c>
      <c r="CB43" s="451">
        <v>0</v>
      </c>
      <c r="CC43" s="451">
        <v>122770.88</v>
      </c>
      <c r="CD43" s="451">
        <v>86.39</v>
      </c>
      <c r="CE43" s="451">
        <v>0</v>
      </c>
      <c r="CF43" s="451">
        <v>0</v>
      </c>
      <c r="CG43" s="451">
        <v>86.39</v>
      </c>
      <c r="CH43" s="451">
        <v>131786.97</v>
      </c>
      <c r="CI43" s="451">
        <v>0</v>
      </c>
      <c r="CJ43" s="451">
        <v>0</v>
      </c>
      <c r="CK43" s="451">
        <v>131786.97</v>
      </c>
      <c r="CL43" s="451">
        <v>-237.27</v>
      </c>
      <c r="CM43" s="451">
        <v>0</v>
      </c>
      <c r="CN43" s="451">
        <v>0</v>
      </c>
      <c r="CO43" s="451">
        <v>-237.27</v>
      </c>
      <c r="CP43" s="451">
        <v>3424.17</v>
      </c>
      <c r="CQ43" s="451">
        <v>0</v>
      </c>
      <c r="CR43" s="451">
        <v>0</v>
      </c>
      <c r="CS43" s="451">
        <v>3424.17</v>
      </c>
      <c r="CT43" s="451">
        <v>0</v>
      </c>
      <c r="CU43" s="451">
        <v>0</v>
      </c>
      <c r="CV43" s="451">
        <v>0</v>
      </c>
      <c r="CW43" s="451">
        <v>0</v>
      </c>
      <c r="CX43" s="451">
        <v>1507.2</v>
      </c>
      <c r="CY43" s="451">
        <v>0</v>
      </c>
      <c r="CZ43" s="451">
        <v>0</v>
      </c>
      <c r="DA43" s="451">
        <v>1507.2</v>
      </c>
      <c r="DB43" s="451">
        <v>0</v>
      </c>
      <c r="DC43" s="451">
        <v>0</v>
      </c>
      <c r="DD43" s="451">
        <v>0</v>
      </c>
      <c r="DE43" s="451">
        <v>0</v>
      </c>
      <c r="DF43" s="451">
        <v>0</v>
      </c>
      <c r="DG43" s="451">
        <v>0</v>
      </c>
      <c r="DH43" s="451">
        <v>0</v>
      </c>
      <c r="DI43" s="451">
        <v>0</v>
      </c>
      <c r="DJ43" s="451">
        <v>0</v>
      </c>
      <c r="DK43" s="451">
        <v>0</v>
      </c>
      <c r="DL43" s="451">
        <v>0</v>
      </c>
      <c r="DM43" s="451">
        <v>0</v>
      </c>
      <c r="DN43" s="451">
        <v>0</v>
      </c>
      <c r="DO43" s="451">
        <v>0</v>
      </c>
      <c r="DP43" s="451">
        <v>0</v>
      </c>
      <c r="DQ43" s="451">
        <v>0</v>
      </c>
      <c r="DR43" s="451">
        <v>0</v>
      </c>
      <c r="DS43" s="451">
        <v>0</v>
      </c>
      <c r="DT43" s="451">
        <v>0</v>
      </c>
      <c r="DU43" s="451">
        <v>0</v>
      </c>
      <c r="DV43" s="451">
        <v>0</v>
      </c>
      <c r="DW43" s="451">
        <v>0</v>
      </c>
      <c r="DX43" s="451">
        <v>0</v>
      </c>
      <c r="DY43" s="451">
        <v>0</v>
      </c>
      <c r="DZ43" s="451">
        <v>0</v>
      </c>
      <c r="EA43" s="451">
        <v>0</v>
      </c>
      <c r="EB43" s="451">
        <v>0</v>
      </c>
      <c r="EC43" s="451">
        <v>0</v>
      </c>
      <c r="ED43" s="451">
        <v>0</v>
      </c>
      <c r="EE43" s="451">
        <v>0</v>
      </c>
      <c r="EF43" s="451">
        <v>0</v>
      </c>
      <c r="EG43" s="451">
        <v>0</v>
      </c>
      <c r="EH43" s="451">
        <v>0</v>
      </c>
      <c r="EI43" s="451">
        <v>0</v>
      </c>
      <c r="EJ43" s="451">
        <v>0</v>
      </c>
      <c r="EK43" s="451">
        <v>0</v>
      </c>
      <c r="EL43" s="451">
        <v>0</v>
      </c>
      <c r="EM43" s="451">
        <v>0</v>
      </c>
    </row>
    <row r="44" spans="1:143" ht="12.75" x14ac:dyDescent="0.2">
      <c r="A44" s="446">
        <v>38</v>
      </c>
      <c r="B44" s="447" t="s">
        <v>657</v>
      </c>
      <c r="C44" s="448" t="s">
        <v>1093</v>
      </c>
      <c r="D44" s="449" t="s">
        <v>1097</v>
      </c>
      <c r="E44" s="450" t="s">
        <v>656</v>
      </c>
      <c r="F44" s="451">
        <v>1016277</v>
      </c>
      <c r="G44" s="451">
        <v>0</v>
      </c>
      <c r="H44" s="451">
        <v>0</v>
      </c>
      <c r="I44" s="451">
        <v>1016277</v>
      </c>
      <c r="J44" s="451">
        <v>29918</v>
      </c>
      <c r="K44" s="451">
        <v>0</v>
      </c>
      <c r="L44" s="451">
        <v>0</v>
      </c>
      <c r="M44" s="451">
        <v>29918</v>
      </c>
      <c r="N44" s="451">
        <v>68443</v>
      </c>
      <c r="O44" s="451">
        <v>0</v>
      </c>
      <c r="P44" s="451">
        <v>0</v>
      </c>
      <c r="Q44" s="451">
        <v>68443</v>
      </c>
      <c r="R44" s="451">
        <v>22277</v>
      </c>
      <c r="S44" s="451">
        <v>0</v>
      </c>
      <c r="T44" s="451">
        <v>0</v>
      </c>
      <c r="U44" s="451">
        <v>22277</v>
      </c>
      <c r="V44" s="451">
        <v>1274016</v>
      </c>
      <c r="W44" s="451">
        <v>0</v>
      </c>
      <c r="X44" s="451">
        <v>0</v>
      </c>
      <c r="Y44" s="451">
        <v>1274016</v>
      </c>
      <c r="Z44" s="451">
        <v>44273</v>
      </c>
      <c r="AA44" s="451">
        <v>0</v>
      </c>
      <c r="AB44" s="451">
        <v>0</v>
      </c>
      <c r="AC44" s="451">
        <v>44273</v>
      </c>
      <c r="AD44" s="451">
        <v>763006</v>
      </c>
      <c r="AE44" s="451">
        <v>0</v>
      </c>
      <c r="AF44" s="451">
        <v>0</v>
      </c>
      <c r="AG44" s="451">
        <v>763006</v>
      </c>
      <c r="AH44" s="451">
        <v>19083</v>
      </c>
      <c r="AI44" s="451">
        <v>0</v>
      </c>
      <c r="AJ44" s="451">
        <v>0</v>
      </c>
      <c r="AK44" s="451">
        <v>19083</v>
      </c>
      <c r="AL44" s="451">
        <v>1674359</v>
      </c>
      <c r="AM44" s="451">
        <v>0</v>
      </c>
      <c r="AN44" s="451">
        <v>0</v>
      </c>
      <c r="AO44" s="451">
        <v>1674359</v>
      </c>
      <c r="AP44" s="451">
        <v>-20443</v>
      </c>
      <c r="AQ44" s="451">
        <v>0</v>
      </c>
      <c r="AR44" s="451">
        <v>0</v>
      </c>
      <c r="AS44" s="451">
        <v>-20443</v>
      </c>
      <c r="AT44" s="451">
        <v>70518</v>
      </c>
      <c r="AU44" s="451">
        <v>0</v>
      </c>
      <c r="AV44" s="451">
        <v>0</v>
      </c>
      <c r="AW44" s="451">
        <v>70518</v>
      </c>
      <c r="AX44" s="451">
        <v>0</v>
      </c>
      <c r="AY44" s="451">
        <v>0</v>
      </c>
      <c r="AZ44" s="451">
        <v>0</v>
      </c>
      <c r="BA44" s="451">
        <v>0</v>
      </c>
      <c r="BB44" s="451">
        <v>0</v>
      </c>
      <c r="BC44" s="451">
        <v>0</v>
      </c>
      <c r="BD44" s="451">
        <v>0</v>
      </c>
      <c r="BE44" s="451">
        <v>0</v>
      </c>
      <c r="BF44" s="451">
        <v>0</v>
      </c>
      <c r="BG44" s="451">
        <v>0</v>
      </c>
      <c r="BH44" s="451">
        <v>0</v>
      </c>
      <c r="BI44" s="451">
        <v>0</v>
      </c>
      <c r="BJ44" s="451">
        <v>41009</v>
      </c>
      <c r="BK44" s="451">
        <v>0</v>
      </c>
      <c r="BL44" s="451">
        <v>0</v>
      </c>
      <c r="BM44" s="451">
        <v>41009</v>
      </c>
      <c r="BN44" s="451">
        <v>-1345</v>
      </c>
      <c r="BO44" s="451">
        <v>0</v>
      </c>
      <c r="BP44" s="451">
        <v>0</v>
      </c>
      <c r="BQ44" s="451">
        <v>-1345</v>
      </c>
      <c r="BR44" s="451">
        <v>683853</v>
      </c>
      <c r="BS44" s="451">
        <v>0</v>
      </c>
      <c r="BT44" s="451">
        <v>0</v>
      </c>
      <c r="BU44" s="451">
        <v>683853</v>
      </c>
      <c r="BV44" s="451">
        <v>-1345</v>
      </c>
      <c r="BW44" s="451">
        <v>0</v>
      </c>
      <c r="BX44" s="451">
        <v>0</v>
      </c>
      <c r="BY44" s="451">
        <v>-1345</v>
      </c>
      <c r="BZ44" s="451">
        <v>92961</v>
      </c>
      <c r="CA44" s="451">
        <v>0</v>
      </c>
      <c r="CB44" s="451">
        <v>0</v>
      </c>
      <c r="CC44" s="451">
        <v>92961</v>
      </c>
      <c r="CD44" s="451">
        <v>304</v>
      </c>
      <c r="CE44" s="451">
        <v>0</v>
      </c>
      <c r="CF44" s="451">
        <v>0</v>
      </c>
      <c r="CG44" s="451">
        <v>304</v>
      </c>
      <c r="CH44" s="451">
        <v>11336</v>
      </c>
      <c r="CI44" s="451">
        <v>0</v>
      </c>
      <c r="CJ44" s="451">
        <v>0</v>
      </c>
      <c r="CK44" s="451">
        <v>11336</v>
      </c>
      <c r="CL44" s="451">
        <v>0</v>
      </c>
      <c r="CM44" s="451">
        <v>0</v>
      </c>
      <c r="CN44" s="451">
        <v>0</v>
      </c>
      <c r="CO44" s="451">
        <v>0</v>
      </c>
      <c r="CP44" s="451">
        <v>0</v>
      </c>
      <c r="CQ44" s="451">
        <v>0</v>
      </c>
      <c r="CR44" s="451">
        <v>0</v>
      </c>
      <c r="CS44" s="451">
        <v>0</v>
      </c>
      <c r="CT44" s="451">
        <v>0</v>
      </c>
      <c r="CU44" s="451">
        <v>0</v>
      </c>
      <c r="CV44" s="451">
        <v>0</v>
      </c>
      <c r="CW44" s="451">
        <v>0</v>
      </c>
      <c r="CX44" s="451">
        <v>0</v>
      </c>
      <c r="CY44" s="451">
        <v>0</v>
      </c>
      <c r="CZ44" s="451">
        <v>0</v>
      </c>
      <c r="DA44" s="451">
        <v>0</v>
      </c>
      <c r="DB44" s="451">
        <v>0</v>
      </c>
      <c r="DC44" s="451">
        <v>0</v>
      </c>
      <c r="DD44" s="451">
        <v>0</v>
      </c>
      <c r="DE44" s="451">
        <v>0</v>
      </c>
      <c r="DF44" s="451">
        <v>0</v>
      </c>
      <c r="DG44" s="451">
        <v>0</v>
      </c>
      <c r="DH44" s="451">
        <v>0</v>
      </c>
      <c r="DI44" s="451">
        <v>0</v>
      </c>
      <c r="DJ44" s="451">
        <v>0</v>
      </c>
      <c r="DK44" s="451">
        <v>0</v>
      </c>
      <c r="DL44" s="451">
        <v>0</v>
      </c>
      <c r="DM44" s="451">
        <v>0</v>
      </c>
      <c r="DN44" s="451">
        <v>0</v>
      </c>
      <c r="DO44" s="451">
        <v>0</v>
      </c>
      <c r="DP44" s="451">
        <v>0</v>
      </c>
      <c r="DQ44" s="451">
        <v>0</v>
      </c>
      <c r="DR44" s="451">
        <v>0</v>
      </c>
      <c r="DS44" s="451">
        <v>0</v>
      </c>
      <c r="DT44" s="451">
        <v>0</v>
      </c>
      <c r="DU44" s="451">
        <v>0</v>
      </c>
      <c r="DV44" s="451">
        <v>0</v>
      </c>
      <c r="DW44" s="451">
        <v>0</v>
      </c>
      <c r="DX44" s="451">
        <v>0</v>
      </c>
      <c r="DY44" s="451">
        <v>0</v>
      </c>
      <c r="DZ44" s="451">
        <v>0</v>
      </c>
      <c r="EA44" s="451">
        <v>0</v>
      </c>
      <c r="EB44" s="451">
        <v>0</v>
      </c>
      <c r="EC44" s="451">
        <v>0</v>
      </c>
      <c r="ED44" s="451">
        <v>0</v>
      </c>
      <c r="EE44" s="451">
        <v>0</v>
      </c>
      <c r="EF44" s="451">
        <v>3126</v>
      </c>
      <c r="EG44" s="451">
        <v>0</v>
      </c>
      <c r="EH44" s="451">
        <v>0</v>
      </c>
      <c r="EI44" s="451">
        <v>3126</v>
      </c>
      <c r="EJ44" s="451">
        <v>0</v>
      </c>
      <c r="EK44" s="451">
        <v>0</v>
      </c>
      <c r="EL44" s="451">
        <v>0</v>
      </c>
      <c r="EM44" s="451">
        <v>0</v>
      </c>
    </row>
    <row r="45" spans="1:143" ht="12.75" x14ac:dyDescent="0.2">
      <c r="A45" s="446">
        <v>39</v>
      </c>
      <c r="B45" s="447" t="s">
        <v>659</v>
      </c>
      <c r="C45" s="448" t="s">
        <v>1093</v>
      </c>
      <c r="D45" s="449" t="s">
        <v>1096</v>
      </c>
      <c r="E45" s="450" t="s">
        <v>658</v>
      </c>
      <c r="F45" s="451">
        <v>19514</v>
      </c>
      <c r="G45" s="451">
        <v>0</v>
      </c>
      <c r="H45" s="451">
        <v>-256</v>
      </c>
      <c r="I45" s="451">
        <v>19258</v>
      </c>
      <c r="J45" s="451">
        <v>-12227</v>
      </c>
      <c r="K45" s="451">
        <v>0</v>
      </c>
      <c r="L45" s="451">
        <v>0</v>
      </c>
      <c r="M45" s="451">
        <v>-12227</v>
      </c>
      <c r="N45" s="451">
        <v>120401</v>
      </c>
      <c r="O45" s="451">
        <v>0</v>
      </c>
      <c r="P45" s="451">
        <v>148</v>
      </c>
      <c r="Q45" s="451">
        <v>120549</v>
      </c>
      <c r="R45" s="451">
        <v>-224813.16</v>
      </c>
      <c r="S45" s="451">
        <v>0</v>
      </c>
      <c r="T45" s="451">
        <v>0</v>
      </c>
      <c r="U45" s="451">
        <v>-224813.16</v>
      </c>
      <c r="V45" s="451">
        <v>1495672</v>
      </c>
      <c r="W45" s="451">
        <v>0</v>
      </c>
      <c r="X45" s="451">
        <v>5118</v>
      </c>
      <c r="Y45" s="451">
        <v>1500790</v>
      </c>
      <c r="Z45" s="451">
        <v>78570.69</v>
      </c>
      <c r="AA45" s="451">
        <v>0</v>
      </c>
      <c r="AB45" s="451">
        <v>0</v>
      </c>
      <c r="AC45" s="451">
        <v>78570.69</v>
      </c>
      <c r="AD45" s="451">
        <v>433165</v>
      </c>
      <c r="AE45" s="451">
        <v>0</v>
      </c>
      <c r="AF45" s="451">
        <v>27731</v>
      </c>
      <c r="AG45" s="451">
        <v>460896</v>
      </c>
      <c r="AH45" s="451">
        <v>-7830.73</v>
      </c>
      <c r="AI45" s="451">
        <v>0</v>
      </c>
      <c r="AJ45" s="451">
        <v>0</v>
      </c>
      <c r="AK45" s="451">
        <v>-7830.73</v>
      </c>
      <c r="AL45" s="451">
        <v>950089.8</v>
      </c>
      <c r="AM45" s="451">
        <v>0</v>
      </c>
      <c r="AN45" s="451">
        <v>0</v>
      </c>
      <c r="AO45" s="451">
        <v>950089.8</v>
      </c>
      <c r="AP45" s="451">
        <v>-46482.77</v>
      </c>
      <c r="AQ45" s="451">
        <v>0</v>
      </c>
      <c r="AR45" s="451">
        <v>0</v>
      </c>
      <c r="AS45" s="451">
        <v>-46482.77</v>
      </c>
      <c r="AT45" s="451">
        <v>0</v>
      </c>
      <c r="AU45" s="451">
        <v>0</v>
      </c>
      <c r="AV45" s="451">
        <v>0</v>
      </c>
      <c r="AW45" s="451">
        <v>0</v>
      </c>
      <c r="AX45" s="451">
        <v>0</v>
      </c>
      <c r="AY45" s="451">
        <v>0</v>
      </c>
      <c r="AZ45" s="451">
        <v>0</v>
      </c>
      <c r="BA45" s="451">
        <v>0</v>
      </c>
      <c r="BB45" s="451">
        <v>2229.19</v>
      </c>
      <c r="BC45" s="451">
        <v>0</v>
      </c>
      <c r="BD45" s="451">
        <v>0</v>
      </c>
      <c r="BE45" s="451">
        <v>2229.19</v>
      </c>
      <c r="BF45" s="451">
        <v>0</v>
      </c>
      <c r="BG45" s="451">
        <v>0</v>
      </c>
      <c r="BH45" s="451">
        <v>0</v>
      </c>
      <c r="BI45" s="451">
        <v>0</v>
      </c>
      <c r="BJ45" s="451">
        <v>1800.09</v>
      </c>
      <c r="BK45" s="451">
        <v>0</v>
      </c>
      <c r="BL45" s="451">
        <v>0</v>
      </c>
      <c r="BM45" s="451">
        <v>1800.09</v>
      </c>
      <c r="BN45" s="451">
        <v>2967.87</v>
      </c>
      <c r="BO45" s="451">
        <v>0</v>
      </c>
      <c r="BP45" s="451">
        <v>0</v>
      </c>
      <c r="BQ45" s="451">
        <v>2967.87</v>
      </c>
      <c r="BR45" s="451">
        <v>705969</v>
      </c>
      <c r="BS45" s="451">
        <v>0</v>
      </c>
      <c r="BT45" s="451">
        <v>150250</v>
      </c>
      <c r="BU45" s="451">
        <v>856219</v>
      </c>
      <c r="BV45" s="451">
        <v>47963.360000000001</v>
      </c>
      <c r="BW45" s="451">
        <v>0</v>
      </c>
      <c r="BX45" s="451">
        <v>0</v>
      </c>
      <c r="BY45" s="451">
        <v>47963.360000000001</v>
      </c>
      <c r="BZ45" s="451">
        <v>33394.629999999997</v>
      </c>
      <c r="CA45" s="451">
        <v>0</v>
      </c>
      <c r="CB45" s="451">
        <v>0</v>
      </c>
      <c r="CC45" s="451">
        <v>33394.629999999997</v>
      </c>
      <c r="CD45" s="451">
        <v>339.61</v>
      </c>
      <c r="CE45" s="451">
        <v>0</v>
      </c>
      <c r="CF45" s="451">
        <v>0</v>
      </c>
      <c r="CG45" s="451">
        <v>339.61</v>
      </c>
      <c r="CH45" s="451">
        <v>51063</v>
      </c>
      <c r="CI45" s="451">
        <v>0</v>
      </c>
      <c r="CJ45" s="451">
        <v>15072</v>
      </c>
      <c r="CK45" s="451">
        <v>66135</v>
      </c>
      <c r="CL45" s="451">
        <v>1948.99</v>
      </c>
      <c r="CM45" s="451">
        <v>0</v>
      </c>
      <c r="CN45" s="451">
        <v>0</v>
      </c>
      <c r="CO45" s="451">
        <v>1948.99</v>
      </c>
      <c r="CP45" s="451">
        <v>0</v>
      </c>
      <c r="CQ45" s="451">
        <v>0</v>
      </c>
      <c r="CR45" s="451">
        <v>0</v>
      </c>
      <c r="CS45" s="451">
        <v>0</v>
      </c>
      <c r="CT45" s="451">
        <v>0</v>
      </c>
      <c r="CU45" s="451">
        <v>0</v>
      </c>
      <c r="CV45" s="451">
        <v>0</v>
      </c>
      <c r="CW45" s="451">
        <v>0</v>
      </c>
      <c r="CX45" s="451">
        <v>2229.16</v>
      </c>
      <c r="CY45" s="451">
        <v>0</v>
      </c>
      <c r="CZ45" s="451">
        <v>0</v>
      </c>
      <c r="DA45" s="451">
        <v>2229.16</v>
      </c>
      <c r="DB45" s="451">
        <v>0</v>
      </c>
      <c r="DC45" s="451">
        <v>0</v>
      </c>
      <c r="DD45" s="451">
        <v>0</v>
      </c>
      <c r="DE45" s="451">
        <v>0</v>
      </c>
      <c r="DF45" s="451">
        <v>0</v>
      </c>
      <c r="DG45" s="451">
        <v>0</v>
      </c>
      <c r="DH45" s="451">
        <v>0</v>
      </c>
      <c r="DI45" s="451">
        <v>0</v>
      </c>
      <c r="DJ45" s="451">
        <v>0</v>
      </c>
      <c r="DK45" s="451">
        <v>0</v>
      </c>
      <c r="DL45" s="451">
        <v>0</v>
      </c>
      <c r="DM45" s="451">
        <v>0</v>
      </c>
      <c r="DN45" s="451">
        <v>0</v>
      </c>
      <c r="DO45" s="451">
        <v>0</v>
      </c>
      <c r="DP45" s="451">
        <v>0</v>
      </c>
      <c r="DQ45" s="451">
        <v>0</v>
      </c>
      <c r="DR45" s="451">
        <v>0</v>
      </c>
      <c r="DS45" s="451">
        <v>0</v>
      </c>
      <c r="DT45" s="451">
        <v>0</v>
      </c>
      <c r="DU45" s="451">
        <v>0</v>
      </c>
      <c r="DV45" s="451">
        <v>0</v>
      </c>
      <c r="DW45" s="451">
        <v>0</v>
      </c>
      <c r="DX45" s="451">
        <v>0</v>
      </c>
      <c r="DY45" s="451">
        <v>0</v>
      </c>
      <c r="DZ45" s="451">
        <v>0</v>
      </c>
      <c r="EA45" s="451">
        <v>0</v>
      </c>
      <c r="EB45" s="451">
        <v>0</v>
      </c>
      <c r="EC45" s="451">
        <v>0</v>
      </c>
      <c r="ED45" s="451">
        <v>0</v>
      </c>
      <c r="EE45" s="451">
        <v>0</v>
      </c>
      <c r="EF45" s="451">
        <v>6718.81</v>
      </c>
      <c r="EG45" s="451">
        <v>0</v>
      </c>
      <c r="EH45" s="451">
        <v>0</v>
      </c>
      <c r="EI45" s="451">
        <v>6718.81</v>
      </c>
      <c r="EJ45" s="451">
        <v>4785.37</v>
      </c>
      <c r="EK45" s="451">
        <v>0</v>
      </c>
      <c r="EL45" s="451">
        <v>0</v>
      </c>
      <c r="EM45" s="451">
        <v>4785.37</v>
      </c>
    </row>
    <row r="46" spans="1:143" ht="12.75" x14ac:dyDescent="0.2">
      <c r="A46" s="446">
        <v>40</v>
      </c>
      <c r="B46" s="447" t="s">
        <v>661</v>
      </c>
      <c r="C46" s="448" t="s">
        <v>1093</v>
      </c>
      <c r="D46" s="449" t="s">
        <v>1095</v>
      </c>
      <c r="E46" s="450" t="s">
        <v>660</v>
      </c>
      <c r="F46" s="451">
        <v>118564.05</v>
      </c>
      <c r="G46" s="451">
        <v>0</v>
      </c>
      <c r="H46" s="451">
        <v>0</v>
      </c>
      <c r="I46" s="451">
        <v>118564.05</v>
      </c>
      <c r="J46" s="451">
        <v>-2518.62</v>
      </c>
      <c r="K46" s="451">
        <v>0</v>
      </c>
      <c r="L46" s="451">
        <v>0</v>
      </c>
      <c r="M46" s="451">
        <v>-2518.62</v>
      </c>
      <c r="N46" s="451">
        <v>9802.49</v>
      </c>
      <c r="O46" s="451">
        <v>0</v>
      </c>
      <c r="P46" s="451">
        <v>0</v>
      </c>
      <c r="Q46" s="451">
        <v>9802.49</v>
      </c>
      <c r="R46" s="451">
        <v>66156.77</v>
      </c>
      <c r="S46" s="451">
        <v>0</v>
      </c>
      <c r="T46" s="451">
        <v>0</v>
      </c>
      <c r="U46" s="451">
        <v>66156.77</v>
      </c>
      <c r="V46" s="451">
        <v>2403067.96</v>
      </c>
      <c r="W46" s="451">
        <v>0</v>
      </c>
      <c r="X46" s="451">
        <v>0</v>
      </c>
      <c r="Y46" s="451">
        <v>2403067.96</v>
      </c>
      <c r="Z46" s="451">
        <v>53121.34</v>
      </c>
      <c r="AA46" s="451">
        <v>0</v>
      </c>
      <c r="AB46" s="451">
        <v>0</v>
      </c>
      <c r="AC46" s="451">
        <v>53121.34</v>
      </c>
      <c r="AD46" s="451">
        <v>526928.12</v>
      </c>
      <c r="AE46" s="451">
        <v>0</v>
      </c>
      <c r="AF46" s="451">
        <v>0</v>
      </c>
      <c r="AG46" s="451">
        <v>526928.12</v>
      </c>
      <c r="AH46" s="451">
        <v>-1197.55</v>
      </c>
      <c r="AI46" s="451">
        <v>0</v>
      </c>
      <c r="AJ46" s="451">
        <v>0</v>
      </c>
      <c r="AK46" s="451">
        <v>-1197.55</v>
      </c>
      <c r="AL46" s="451">
        <v>1798397.13</v>
      </c>
      <c r="AM46" s="451">
        <v>0</v>
      </c>
      <c r="AN46" s="451">
        <v>0</v>
      </c>
      <c r="AO46" s="451">
        <v>1798397.13</v>
      </c>
      <c r="AP46" s="451">
        <v>-119610.34</v>
      </c>
      <c r="AQ46" s="451">
        <v>0</v>
      </c>
      <c r="AR46" s="451">
        <v>0</v>
      </c>
      <c r="AS46" s="451">
        <v>-119610.34</v>
      </c>
      <c r="AT46" s="451">
        <v>21421.08</v>
      </c>
      <c r="AU46" s="451">
        <v>0</v>
      </c>
      <c r="AV46" s="451">
        <v>0</v>
      </c>
      <c r="AW46" s="451">
        <v>21421.08</v>
      </c>
      <c r="AX46" s="451">
        <v>0</v>
      </c>
      <c r="AY46" s="451">
        <v>0</v>
      </c>
      <c r="AZ46" s="451">
        <v>0</v>
      </c>
      <c r="BA46" s="451">
        <v>0</v>
      </c>
      <c r="BB46" s="451">
        <v>3065.46</v>
      </c>
      <c r="BC46" s="451">
        <v>0</v>
      </c>
      <c r="BD46" s="451">
        <v>0</v>
      </c>
      <c r="BE46" s="451">
        <v>3065.46</v>
      </c>
      <c r="BF46" s="451">
        <v>0</v>
      </c>
      <c r="BG46" s="451">
        <v>0</v>
      </c>
      <c r="BH46" s="451">
        <v>0</v>
      </c>
      <c r="BI46" s="451">
        <v>0</v>
      </c>
      <c r="BJ46" s="451">
        <v>63950</v>
      </c>
      <c r="BK46" s="451">
        <v>0</v>
      </c>
      <c r="BL46" s="451">
        <v>0</v>
      </c>
      <c r="BM46" s="451">
        <v>63950</v>
      </c>
      <c r="BN46" s="451">
        <v>-12300.8</v>
      </c>
      <c r="BO46" s="451">
        <v>0</v>
      </c>
      <c r="BP46" s="451">
        <v>0</v>
      </c>
      <c r="BQ46" s="451">
        <v>-12300.8</v>
      </c>
      <c r="BR46" s="451">
        <v>1184231.25</v>
      </c>
      <c r="BS46" s="451">
        <v>0</v>
      </c>
      <c r="BT46" s="451">
        <v>0</v>
      </c>
      <c r="BU46" s="451">
        <v>1184231.25</v>
      </c>
      <c r="BV46" s="451">
        <v>-90662.68</v>
      </c>
      <c r="BW46" s="451">
        <v>0</v>
      </c>
      <c r="BX46" s="451">
        <v>0</v>
      </c>
      <c r="BY46" s="451">
        <v>-90662.68</v>
      </c>
      <c r="BZ46" s="451">
        <v>40566.959999999999</v>
      </c>
      <c r="CA46" s="451">
        <v>0</v>
      </c>
      <c r="CB46" s="451">
        <v>0</v>
      </c>
      <c r="CC46" s="451">
        <v>40566.959999999999</v>
      </c>
      <c r="CD46" s="451">
        <v>1681.48</v>
      </c>
      <c r="CE46" s="451">
        <v>0</v>
      </c>
      <c r="CF46" s="451">
        <v>0</v>
      </c>
      <c r="CG46" s="451">
        <v>1681.48</v>
      </c>
      <c r="CH46" s="451">
        <v>62651.41</v>
      </c>
      <c r="CI46" s="451">
        <v>0</v>
      </c>
      <c r="CJ46" s="451">
        <v>0</v>
      </c>
      <c r="CK46" s="451">
        <v>62651.41</v>
      </c>
      <c r="CL46" s="451">
        <v>3627.23</v>
      </c>
      <c r="CM46" s="451">
        <v>0</v>
      </c>
      <c r="CN46" s="451">
        <v>0</v>
      </c>
      <c r="CO46" s="451">
        <v>3627.23</v>
      </c>
      <c r="CP46" s="451">
        <v>0</v>
      </c>
      <c r="CQ46" s="451">
        <v>0</v>
      </c>
      <c r="CR46" s="451">
        <v>0</v>
      </c>
      <c r="CS46" s="451">
        <v>0</v>
      </c>
      <c r="CT46" s="451">
        <v>0</v>
      </c>
      <c r="CU46" s="451">
        <v>0</v>
      </c>
      <c r="CV46" s="451">
        <v>0</v>
      </c>
      <c r="CW46" s="451">
        <v>0</v>
      </c>
      <c r="CX46" s="451">
        <v>0</v>
      </c>
      <c r="CY46" s="451">
        <v>0</v>
      </c>
      <c r="CZ46" s="451">
        <v>0</v>
      </c>
      <c r="DA46" s="451">
        <v>0</v>
      </c>
      <c r="DB46" s="451">
        <v>0</v>
      </c>
      <c r="DC46" s="451">
        <v>0</v>
      </c>
      <c r="DD46" s="451">
        <v>0</v>
      </c>
      <c r="DE46" s="451">
        <v>0</v>
      </c>
      <c r="DF46" s="451">
        <v>0</v>
      </c>
      <c r="DG46" s="451">
        <v>0</v>
      </c>
      <c r="DH46" s="451">
        <v>0</v>
      </c>
      <c r="DI46" s="451">
        <v>0</v>
      </c>
      <c r="DJ46" s="451">
        <v>0</v>
      </c>
      <c r="DK46" s="451">
        <v>0</v>
      </c>
      <c r="DL46" s="451">
        <v>0</v>
      </c>
      <c r="DM46" s="451">
        <v>0</v>
      </c>
      <c r="DN46" s="451">
        <v>4417.72</v>
      </c>
      <c r="DO46" s="451">
        <v>0</v>
      </c>
      <c r="DP46" s="451">
        <v>0</v>
      </c>
      <c r="DQ46" s="451">
        <v>4417.72</v>
      </c>
      <c r="DR46" s="451">
        <v>0</v>
      </c>
      <c r="DS46" s="451">
        <v>0</v>
      </c>
      <c r="DT46" s="451">
        <v>0</v>
      </c>
      <c r="DU46" s="451">
        <v>0</v>
      </c>
      <c r="DV46" s="451">
        <v>0</v>
      </c>
      <c r="DW46" s="451">
        <v>0</v>
      </c>
      <c r="DX46" s="451">
        <v>0</v>
      </c>
      <c r="DY46" s="451">
        <v>0</v>
      </c>
      <c r="DZ46" s="451">
        <v>0</v>
      </c>
      <c r="EA46" s="451">
        <v>0</v>
      </c>
      <c r="EB46" s="451">
        <v>0</v>
      </c>
      <c r="EC46" s="451">
        <v>0</v>
      </c>
      <c r="ED46" s="451">
        <v>0</v>
      </c>
      <c r="EE46" s="451">
        <v>0</v>
      </c>
      <c r="EF46" s="451">
        <v>0</v>
      </c>
      <c r="EG46" s="451">
        <v>0</v>
      </c>
      <c r="EH46" s="451">
        <v>0</v>
      </c>
      <c r="EI46" s="451">
        <v>0</v>
      </c>
      <c r="EJ46" s="451">
        <v>0</v>
      </c>
      <c r="EK46" s="451">
        <v>0</v>
      </c>
      <c r="EL46" s="451">
        <v>0</v>
      </c>
      <c r="EM46" s="451">
        <v>0</v>
      </c>
    </row>
    <row r="47" spans="1:143" ht="12.75" x14ac:dyDescent="0.2">
      <c r="A47" s="446">
        <v>41</v>
      </c>
      <c r="B47" s="447" t="s">
        <v>663</v>
      </c>
      <c r="C47" s="448" t="s">
        <v>1100</v>
      </c>
      <c r="D47" s="449" t="s">
        <v>1095</v>
      </c>
      <c r="E47" s="450" t="s">
        <v>662</v>
      </c>
      <c r="F47" s="451">
        <v>229960</v>
      </c>
      <c r="G47" s="451">
        <v>0</v>
      </c>
      <c r="H47" s="451">
        <v>0</v>
      </c>
      <c r="I47" s="451">
        <v>229960</v>
      </c>
      <c r="J47" s="451">
        <v>-111912</v>
      </c>
      <c r="K47" s="451">
        <v>0</v>
      </c>
      <c r="L47" s="451">
        <v>0</v>
      </c>
      <c r="M47" s="451">
        <v>-111912</v>
      </c>
      <c r="N47" s="451">
        <v>73706</v>
      </c>
      <c r="O47" s="451">
        <v>0</v>
      </c>
      <c r="P47" s="451">
        <v>0</v>
      </c>
      <c r="Q47" s="451">
        <v>73706</v>
      </c>
      <c r="R47" s="451">
        <v>37517</v>
      </c>
      <c r="S47" s="451">
        <v>0</v>
      </c>
      <c r="T47" s="451">
        <v>0</v>
      </c>
      <c r="U47" s="451">
        <v>37517</v>
      </c>
      <c r="V47" s="451">
        <v>4284209</v>
      </c>
      <c r="W47" s="451">
        <v>0</v>
      </c>
      <c r="X47" s="451">
        <v>0</v>
      </c>
      <c r="Y47" s="451">
        <v>4284209</v>
      </c>
      <c r="Z47" s="451">
        <v>312469</v>
      </c>
      <c r="AA47" s="451">
        <v>0</v>
      </c>
      <c r="AB47" s="451">
        <v>0</v>
      </c>
      <c r="AC47" s="451">
        <v>312469</v>
      </c>
      <c r="AD47" s="451">
        <v>941071</v>
      </c>
      <c r="AE47" s="451">
        <v>0</v>
      </c>
      <c r="AF47" s="451">
        <v>0</v>
      </c>
      <c r="AG47" s="451">
        <v>941071</v>
      </c>
      <c r="AH47" s="451">
        <v>-42295</v>
      </c>
      <c r="AI47" s="451">
        <v>0</v>
      </c>
      <c r="AJ47" s="451">
        <v>0</v>
      </c>
      <c r="AK47" s="451">
        <v>-42295</v>
      </c>
      <c r="AL47" s="451">
        <v>2031235</v>
      </c>
      <c r="AM47" s="451">
        <v>0</v>
      </c>
      <c r="AN47" s="451">
        <v>0</v>
      </c>
      <c r="AO47" s="451">
        <v>2031235</v>
      </c>
      <c r="AP47" s="451">
        <v>33158</v>
      </c>
      <c r="AQ47" s="451">
        <v>0</v>
      </c>
      <c r="AR47" s="451">
        <v>0</v>
      </c>
      <c r="AS47" s="451">
        <v>33158</v>
      </c>
      <c r="AT47" s="451">
        <v>87448</v>
      </c>
      <c r="AU47" s="451">
        <v>0</v>
      </c>
      <c r="AV47" s="451">
        <v>0</v>
      </c>
      <c r="AW47" s="451">
        <v>87448</v>
      </c>
      <c r="AX47" s="451">
        <v>0</v>
      </c>
      <c r="AY47" s="451">
        <v>0</v>
      </c>
      <c r="AZ47" s="451">
        <v>0</v>
      </c>
      <c r="BA47" s="451">
        <v>0</v>
      </c>
      <c r="BB47" s="451">
        <v>1316</v>
      </c>
      <c r="BC47" s="451">
        <v>0</v>
      </c>
      <c r="BD47" s="451">
        <v>0</v>
      </c>
      <c r="BE47" s="451">
        <v>1316</v>
      </c>
      <c r="BF47" s="451">
        <v>0</v>
      </c>
      <c r="BG47" s="451">
        <v>0</v>
      </c>
      <c r="BH47" s="451">
        <v>0</v>
      </c>
      <c r="BI47" s="451">
        <v>0</v>
      </c>
      <c r="BJ47" s="451">
        <v>2935</v>
      </c>
      <c r="BK47" s="451">
        <v>0</v>
      </c>
      <c r="BL47" s="451">
        <v>0</v>
      </c>
      <c r="BM47" s="451">
        <v>2935</v>
      </c>
      <c r="BN47" s="451">
        <v>-3255</v>
      </c>
      <c r="BO47" s="451">
        <v>0</v>
      </c>
      <c r="BP47" s="451">
        <v>0</v>
      </c>
      <c r="BQ47" s="451">
        <v>-3255</v>
      </c>
      <c r="BR47" s="451">
        <v>1338559</v>
      </c>
      <c r="BS47" s="451">
        <v>0</v>
      </c>
      <c r="BT47" s="451">
        <v>0</v>
      </c>
      <c r="BU47" s="451">
        <v>1338559</v>
      </c>
      <c r="BV47" s="451">
        <v>137174</v>
      </c>
      <c r="BW47" s="451">
        <v>0</v>
      </c>
      <c r="BX47" s="451">
        <v>0</v>
      </c>
      <c r="BY47" s="451">
        <v>137174</v>
      </c>
      <c r="BZ47" s="451">
        <v>278957</v>
      </c>
      <c r="CA47" s="451">
        <v>0</v>
      </c>
      <c r="CB47" s="451">
        <v>0</v>
      </c>
      <c r="CC47" s="451">
        <v>278957</v>
      </c>
      <c r="CD47" s="451">
        <v>7748</v>
      </c>
      <c r="CE47" s="451">
        <v>0</v>
      </c>
      <c r="CF47" s="451">
        <v>0</v>
      </c>
      <c r="CG47" s="451">
        <v>7748</v>
      </c>
      <c r="CH47" s="451">
        <v>41288</v>
      </c>
      <c r="CI47" s="451">
        <v>0</v>
      </c>
      <c r="CJ47" s="451">
        <v>0</v>
      </c>
      <c r="CK47" s="451">
        <v>41288</v>
      </c>
      <c r="CL47" s="451">
        <v>40</v>
      </c>
      <c r="CM47" s="451">
        <v>0</v>
      </c>
      <c r="CN47" s="451">
        <v>0</v>
      </c>
      <c r="CO47" s="451">
        <v>40</v>
      </c>
      <c r="CP47" s="451">
        <v>21862</v>
      </c>
      <c r="CQ47" s="451">
        <v>0</v>
      </c>
      <c r="CR47" s="451">
        <v>0</v>
      </c>
      <c r="CS47" s="451">
        <v>21862</v>
      </c>
      <c r="CT47" s="451">
        <v>0</v>
      </c>
      <c r="CU47" s="451">
        <v>0</v>
      </c>
      <c r="CV47" s="451">
        <v>0</v>
      </c>
      <c r="CW47" s="451">
        <v>0</v>
      </c>
      <c r="CX47" s="451">
        <v>1316</v>
      </c>
      <c r="CY47" s="451">
        <v>0</v>
      </c>
      <c r="CZ47" s="451">
        <v>0</v>
      </c>
      <c r="DA47" s="451">
        <v>1316</v>
      </c>
      <c r="DB47" s="451">
        <v>0</v>
      </c>
      <c r="DC47" s="451">
        <v>0</v>
      </c>
      <c r="DD47" s="451">
        <v>0</v>
      </c>
      <c r="DE47" s="451">
        <v>0</v>
      </c>
      <c r="DF47" s="451">
        <v>0</v>
      </c>
      <c r="DG47" s="451">
        <v>0</v>
      </c>
      <c r="DH47" s="451">
        <v>0</v>
      </c>
      <c r="DI47" s="451">
        <v>0</v>
      </c>
      <c r="DJ47" s="451">
        <v>0</v>
      </c>
      <c r="DK47" s="451">
        <v>0</v>
      </c>
      <c r="DL47" s="451">
        <v>0</v>
      </c>
      <c r="DM47" s="451">
        <v>0</v>
      </c>
      <c r="DN47" s="451">
        <v>0</v>
      </c>
      <c r="DO47" s="451">
        <v>0</v>
      </c>
      <c r="DP47" s="451">
        <v>0</v>
      </c>
      <c r="DQ47" s="451">
        <v>0</v>
      </c>
      <c r="DR47" s="451">
        <v>0</v>
      </c>
      <c r="DS47" s="451">
        <v>0</v>
      </c>
      <c r="DT47" s="451">
        <v>0</v>
      </c>
      <c r="DU47" s="451">
        <v>0</v>
      </c>
      <c r="DV47" s="451">
        <v>0</v>
      </c>
      <c r="DW47" s="451">
        <v>0</v>
      </c>
      <c r="DX47" s="451">
        <v>0</v>
      </c>
      <c r="DY47" s="451">
        <v>0</v>
      </c>
      <c r="DZ47" s="451">
        <v>0</v>
      </c>
      <c r="EA47" s="451">
        <v>0</v>
      </c>
      <c r="EB47" s="451">
        <v>0</v>
      </c>
      <c r="EC47" s="451">
        <v>0</v>
      </c>
      <c r="ED47" s="451">
        <v>0</v>
      </c>
      <c r="EE47" s="451">
        <v>0</v>
      </c>
      <c r="EF47" s="451">
        <v>0</v>
      </c>
      <c r="EG47" s="451">
        <v>0</v>
      </c>
      <c r="EH47" s="451">
        <v>0</v>
      </c>
      <c r="EI47" s="451">
        <v>0</v>
      </c>
      <c r="EJ47" s="451">
        <v>0</v>
      </c>
      <c r="EK47" s="451">
        <v>0</v>
      </c>
      <c r="EL47" s="451">
        <v>0</v>
      </c>
      <c r="EM47" s="451">
        <v>0</v>
      </c>
    </row>
    <row r="48" spans="1:143" ht="12.75" x14ac:dyDescent="0.2">
      <c r="A48" s="446">
        <v>42</v>
      </c>
      <c r="B48" s="447" t="s">
        <v>665</v>
      </c>
      <c r="C48" s="448" t="s">
        <v>1100</v>
      </c>
      <c r="D48" s="449" t="s">
        <v>1101</v>
      </c>
      <c r="E48" s="450" t="s">
        <v>664</v>
      </c>
      <c r="F48" s="451">
        <v>123888</v>
      </c>
      <c r="G48" s="451">
        <v>0</v>
      </c>
      <c r="H48" s="451">
        <v>0</v>
      </c>
      <c r="I48" s="451">
        <v>123888</v>
      </c>
      <c r="J48" s="451">
        <v>-158623</v>
      </c>
      <c r="K48" s="451">
        <v>0</v>
      </c>
      <c r="L48" s="451">
        <v>0</v>
      </c>
      <c r="M48" s="451">
        <v>-158623</v>
      </c>
      <c r="N48" s="451">
        <v>49160</v>
      </c>
      <c r="O48" s="451">
        <v>0</v>
      </c>
      <c r="P48" s="451">
        <v>0</v>
      </c>
      <c r="Q48" s="451">
        <v>49160</v>
      </c>
      <c r="R48" s="451">
        <v>93092</v>
      </c>
      <c r="S48" s="451">
        <v>0</v>
      </c>
      <c r="T48" s="451">
        <v>0</v>
      </c>
      <c r="U48" s="451">
        <v>93092</v>
      </c>
      <c r="V48" s="451">
        <v>6060635</v>
      </c>
      <c r="W48" s="451">
        <v>0</v>
      </c>
      <c r="X48" s="451">
        <v>0</v>
      </c>
      <c r="Y48" s="451">
        <v>6060635</v>
      </c>
      <c r="Z48" s="451">
        <v>163160</v>
      </c>
      <c r="AA48" s="451">
        <v>0</v>
      </c>
      <c r="AB48" s="451">
        <v>0</v>
      </c>
      <c r="AC48" s="451">
        <v>163160</v>
      </c>
      <c r="AD48" s="451">
        <v>1043930</v>
      </c>
      <c r="AE48" s="451">
        <v>0</v>
      </c>
      <c r="AF48" s="451">
        <v>0</v>
      </c>
      <c r="AG48" s="451">
        <v>1043930</v>
      </c>
      <c r="AH48" s="451">
        <v>-23268</v>
      </c>
      <c r="AI48" s="451">
        <v>0</v>
      </c>
      <c r="AJ48" s="451">
        <v>0</v>
      </c>
      <c r="AK48" s="451">
        <v>-23268</v>
      </c>
      <c r="AL48" s="451">
        <v>3288131</v>
      </c>
      <c r="AM48" s="451">
        <v>0</v>
      </c>
      <c r="AN48" s="451">
        <v>0</v>
      </c>
      <c r="AO48" s="451">
        <v>3288131</v>
      </c>
      <c r="AP48" s="451">
        <v>65405</v>
      </c>
      <c r="AQ48" s="451">
        <v>0</v>
      </c>
      <c r="AR48" s="451">
        <v>0</v>
      </c>
      <c r="AS48" s="451">
        <v>65405</v>
      </c>
      <c r="AT48" s="451">
        <v>171297</v>
      </c>
      <c r="AU48" s="451">
        <v>0</v>
      </c>
      <c r="AV48" s="451">
        <v>0</v>
      </c>
      <c r="AW48" s="451">
        <v>171297</v>
      </c>
      <c r="AX48" s="451">
        <v>9068</v>
      </c>
      <c r="AY48" s="451">
        <v>0</v>
      </c>
      <c r="AZ48" s="451">
        <v>0</v>
      </c>
      <c r="BA48" s="451">
        <v>9068</v>
      </c>
      <c r="BB48" s="451">
        <v>9390</v>
      </c>
      <c r="BC48" s="451">
        <v>0</v>
      </c>
      <c r="BD48" s="451">
        <v>0</v>
      </c>
      <c r="BE48" s="451">
        <v>9390</v>
      </c>
      <c r="BF48" s="451">
        <v>0</v>
      </c>
      <c r="BG48" s="451">
        <v>0</v>
      </c>
      <c r="BH48" s="451">
        <v>0</v>
      </c>
      <c r="BI48" s="451">
        <v>0</v>
      </c>
      <c r="BJ48" s="451">
        <v>30309</v>
      </c>
      <c r="BK48" s="451">
        <v>0</v>
      </c>
      <c r="BL48" s="451">
        <v>0</v>
      </c>
      <c r="BM48" s="451">
        <v>30309</v>
      </c>
      <c r="BN48" s="451">
        <v>133096</v>
      </c>
      <c r="BO48" s="451">
        <v>0</v>
      </c>
      <c r="BP48" s="451">
        <v>0</v>
      </c>
      <c r="BQ48" s="451">
        <v>133096</v>
      </c>
      <c r="BR48" s="451">
        <v>3106626.52</v>
      </c>
      <c r="BS48" s="451">
        <v>0</v>
      </c>
      <c r="BT48" s="451">
        <v>0</v>
      </c>
      <c r="BU48" s="451">
        <v>3106626.52</v>
      </c>
      <c r="BV48" s="451">
        <v>36589.589999999997</v>
      </c>
      <c r="BW48" s="451">
        <v>0</v>
      </c>
      <c r="BX48" s="451">
        <v>0</v>
      </c>
      <c r="BY48" s="451">
        <v>36589.589999999997</v>
      </c>
      <c r="BZ48" s="451">
        <v>251140</v>
      </c>
      <c r="CA48" s="451">
        <v>0</v>
      </c>
      <c r="CB48" s="451">
        <v>0</v>
      </c>
      <c r="CC48" s="451">
        <v>251140</v>
      </c>
      <c r="CD48" s="451">
        <v>9276</v>
      </c>
      <c r="CE48" s="451">
        <v>0</v>
      </c>
      <c r="CF48" s="451">
        <v>0</v>
      </c>
      <c r="CG48" s="451">
        <v>9276</v>
      </c>
      <c r="CH48" s="451">
        <v>257547</v>
      </c>
      <c r="CI48" s="451">
        <v>0</v>
      </c>
      <c r="CJ48" s="451">
        <v>0</v>
      </c>
      <c r="CK48" s="451">
        <v>257547</v>
      </c>
      <c r="CL48" s="451">
        <v>-27915</v>
      </c>
      <c r="CM48" s="451">
        <v>0</v>
      </c>
      <c r="CN48" s="451">
        <v>0</v>
      </c>
      <c r="CO48" s="451">
        <v>-27915</v>
      </c>
      <c r="CP48" s="451">
        <v>0</v>
      </c>
      <c r="CQ48" s="451">
        <v>0</v>
      </c>
      <c r="CR48" s="451">
        <v>0</v>
      </c>
      <c r="CS48" s="451">
        <v>0</v>
      </c>
      <c r="CT48" s="451">
        <v>0</v>
      </c>
      <c r="CU48" s="451">
        <v>0</v>
      </c>
      <c r="CV48" s="451">
        <v>0</v>
      </c>
      <c r="CW48" s="451">
        <v>0</v>
      </c>
      <c r="CX48" s="451">
        <v>0</v>
      </c>
      <c r="CY48" s="451">
        <v>0</v>
      </c>
      <c r="CZ48" s="451">
        <v>0</v>
      </c>
      <c r="DA48" s="451">
        <v>0</v>
      </c>
      <c r="DB48" s="451">
        <v>0</v>
      </c>
      <c r="DC48" s="451">
        <v>0</v>
      </c>
      <c r="DD48" s="451">
        <v>0</v>
      </c>
      <c r="DE48" s="451">
        <v>0</v>
      </c>
      <c r="DF48" s="451">
        <v>2767</v>
      </c>
      <c r="DG48" s="451">
        <v>0</v>
      </c>
      <c r="DH48" s="451">
        <v>0</v>
      </c>
      <c r="DI48" s="451">
        <v>2767</v>
      </c>
      <c r="DJ48" s="451">
        <v>0</v>
      </c>
      <c r="DK48" s="451">
        <v>0</v>
      </c>
      <c r="DL48" s="451">
        <v>0</v>
      </c>
      <c r="DM48" s="451">
        <v>0</v>
      </c>
      <c r="DN48" s="451">
        <v>0</v>
      </c>
      <c r="DO48" s="451">
        <v>0</v>
      </c>
      <c r="DP48" s="451">
        <v>0</v>
      </c>
      <c r="DQ48" s="451">
        <v>0</v>
      </c>
      <c r="DR48" s="451">
        <v>0</v>
      </c>
      <c r="DS48" s="451">
        <v>0</v>
      </c>
      <c r="DT48" s="451">
        <v>0</v>
      </c>
      <c r="DU48" s="451">
        <v>0</v>
      </c>
      <c r="DV48" s="451">
        <v>0</v>
      </c>
      <c r="DW48" s="451">
        <v>0</v>
      </c>
      <c r="DX48" s="451">
        <v>0</v>
      </c>
      <c r="DY48" s="451">
        <v>0</v>
      </c>
      <c r="DZ48" s="451">
        <v>0</v>
      </c>
      <c r="EA48" s="451">
        <v>0</v>
      </c>
      <c r="EB48" s="451">
        <v>0</v>
      </c>
      <c r="EC48" s="451">
        <v>0</v>
      </c>
      <c r="ED48" s="451">
        <v>0</v>
      </c>
      <c r="EE48" s="451">
        <v>0</v>
      </c>
      <c r="EF48" s="451">
        <v>0</v>
      </c>
      <c r="EG48" s="451">
        <v>0</v>
      </c>
      <c r="EH48" s="451">
        <v>0</v>
      </c>
      <c r="EI48" s="451">
        <v>0</v>
      </c>
      <c r="EJ48" s="451">
        <v>0</v>
      </c>
      <c r="EK48" s="451">
        <v>0</v>
      </c>
      <c r="EL48" s="451">
        <v>0</v>
      </c>
      <c r="EM48" s="451">
        <v>0</v>
      </c>
    </row>
    <row r="49" spans="1:143" ht="12.75" x14ac:dyDescent="0.2">
      <c r="A49" s="446">
        <v>43</v>
      </c>
      <c r="B49" s="447" t="s">
        <v>667</v>
      </c>
      <c r="C49" s="448" t="s">
        <v>1093</v>
      </c>
      <c r="D49" s="449" t="s">
        <v>1097</v>
      </c>
      <c r="E49" s="450" t="s">
        <v>666</v>
      </c>
      <c r="F49" s="451">
        <v>116193</v>
      </c>
      <c r="G49" s="451">
        <v>0</v>
      </c>
      <c r="H49" s="451">
        <v>0</v>
      </c>
      <c r="I49" s="451">
        <v>116193</v>
      </c>
      <c r="J49" s="451">
        <v>-415938</v>
      </c>
      <c r="K49" s="451">
        <v>0</v>
      </c>
      <c r="L49" s="451">
        <v>0</v>
      </c>
      <c r="M49" s="451">
        <v>-415938</v>
      </c>
      <c r="N49" s="451">
        <v>118963</v>
      </c>
      <c r="O49" s="451">
        <v>0</v>
      </c>
      <c r="P49" s="451">
        <v>0</v>
      </c>
      <c r="Q49" s="451">
        <v>118963</v>
      </c>
      <c r="R49" s="451">
        <v>35032</v>
      </c>
      <c r="S49" s="451">
        <v>0</v>
      </c>
      <c r="T49" s="451">
        <v>0</v>
      </c>
      <c r="U49" s="451">
        <v>35032</v>
      </c>
      <c r="V49" s="451">
        <v>1269149</v>
      </c>
      <c r="W49" s="451">
        <v>0</v>
      </c>
      <c r="X49" s="451">
        <v>0</v>
      </c>
      <c r="Y49" s="451">
        <v>1269149</v>
      </c>
      <c r="Z49" s="451">
        <v>47851</v>
      </c>
      <c r="AA49" s="451">
        <v>0</v>
      </c>
      <c r="AB49" s="451">
        <v>0</v>
      </c>
      <c r="AC49" s="451">
        <v>47851</v>
      </c>
      <c r="AD49" s="451">
        <v>2247080</v>
      </c>
      <c r="AE49" s="451">
        <v>0</v>
      </c>
      <c r="AF49" s="451">
        <v>0</v>
      </c>
      <c r="AG49" s="451">
        <v>2247080</v>
      </c>
      <c r="AH49" s="451">
        <v>-40397</v>
      </c>
      <c r="AI49" s="451">
        <v>0</v>
      </c>
      <c r="AJ49" s="451">
        <v>0</v>
      </c>
      <c r="AK49" s="451">
        <v>-40397</v>
      </c>
      <c r="AL49" s="451">
        <v>20933962</v>
      </c>
      <c r="AM49" s="451">
        <v>0</v>
      </c>
      <c r="AN49" s="451">
        <v>0</v>
      </c>
      <c r="AO49" s="451">
        <v>20933962</v>
      </c>
      <c r="AP49" s="451">
        <v>-299023</v>
      </c>
      <c r="AQ49" s="451">
        <v>0</v>
      </c>
      <c r="AR49" s="451">
        <v>0</v>
      </c>
      <c r="AS49" s="451">
        <v>-299023</v>
      </c>
      <c r="AT49" s="451">
        <v>13697</v>
      </c>
      <c r="AU49" s="451">
        <v>0</v>
      </c>
      <c r="AV49" s="451">
        <v>0</v>
      </c>
      <c r="AW49" s="451">
        <v>13697</v>
      </c>
      <c r="AX49" s="451">
        <v>0</v>
      </c>
      <c r="AY49" s="451">
        <v>0</v>
      </c>
      <c r="AZ49" s="451">
        <v>0</v>
      </c>
      <c r="BA49" s="451">
        <v>0</v>
      </c>
      <c r="BB49" s="451">
        <v>0</v>
      </c>
      <c r="BC49" s="451">
        <v>0</v>
      </c>
      <c r="BD49" s="451">
        <v>0</v>
      </c>
      <c r="BE49" s="451">
        <v>0</v>
      </c>
      <c r="BF49" s="451">
        <v>0</v>
      </c>
      <c r="BG49" s="451">
        <v>0</v>
      </c>
      <c r="BH49" s="451">
        <v>0</v>
      </c>
      <c r="BI49" s="451">
        <v>0</v>
      </c>
      <c r="BJ49" s="451">
        <v>12520</v>
      </c>
      <c r="BK49" s="451">
        <v>0</v>
      </c>
      <c r="BL49" s="451">
        <v>0</v>
      </c>
      <c r="BM49" s="451">
        <v>12520</v>
      </c>
      <c r="BN49" s="451">
        <v>13710</v>
      </c>
      <c r="BO49" s="451">
        <v>0</v>
      </c>
      <c r="BP49" s="451">
        <v>0</v>
      </c>
      <c r="BQ49" s="451">
        <v>13710</v>
      </c>
      <c r="BR49" s="451">
        <v>2800481</v>
      </c>
      <c r="BS49" s="451">
        <v>0</v>
      </c>
      <c r="BT49" s="451">
        <v>0</v>
      </c>
      <c r="BU49" s="451">
        <v>2800481</v>
      </c>
      <c r="BV49" s="451">
        <v>-191937</v>
      </c>
      <c r="BW49" s="451">
        <v>0</v>
      </c>
      <c r="BX49" s="451">
        <v>0</v>
      </c>
      <c r="BY49" s="451">
        <v>-191937</v>
      </c>
      <c r="BZ49" s="451">
        <v>164371</v>
      </c>
      <c r="CA49" s="451">
        <v>0</v>
      </c>
      <c r="CB49" s="451">
        <v>0</v>
      </c>
      <c r="CC49" s="451">
        <v>164371</v>
      </c>
      <c r="CD49" s="451">
        <v>-772</v>
      </c>
      <c r="CE49" s="451">
        <v>0</v>
      </c>
      <c r="CF49" s="451">
        <v>0</v>
      </c>
      <c r="CG49" s="451">
        <v>-772</v>
      </c>
      <c r="CH49" s="451">
        <v>7537</v>
      </c>
      <c r="CI49" s="451">
        <v>0</v>
      </c>
      <c r="CJ49" s="451">
        <v>0</v>
      </c>
      <c r="CK49" s="451">
        <v>7537</v>
      </c>
      <c r="CL49" s="451">
        <v>0</v>
      </c>
      <c r="CM49" s="451">
        <v>0</v>
      </c>
      <c r="CN49" s="451">
        <v>0</v>
      </c>
      <c r="CO49" s="451">
        <v>0</v>
      </c>
      <c r="CP49" s="451">
        <v>1460</v>
      </c>
      <c r="CQ49" s="451">
        <v>0</v>
      </c>
      <c r="CR49" s="451">
        <v>0</v>
      </c>
      <c r="CS49" s="451">
        <v>1460</v>
      </c>
      <c r="CT49" s="451">
        <v>0</v>
      </c>
      <c r="CU49" s="451">
        <v>0</v>
      </c>
      <c r="CV49" s="451">
        <v>0</v>
      </c>
      <c r="CW49" s="451">
        <v>0</v>
      </c>
      <c r="CX49" s="451">
        <v>0</v>
      </c>
      <c r="CY49" s="451">
        <v>0</v>
      </c>
      <c r="CZ49" s="451">
        <v>0</v>
      </c>
      <c r="DA49" s="451">
        <v>0</v>
      </c>
      <c r="DB49" s="451">
        <v>0</v>
      </c>
      <c r="DC49" s="451">
        <v>0</v>
      </c>
      <c r="DD49" s="451">
        <v>0</v>
      </c>
      <c r="DE49" s="451">
        <v>0</v>
      </c>
      <c r="DF49" s="451">
        <v>0</v>
      </c>
      <c r="DG49" s="451">
        <v>0</v>
      </c>
      <c r="DH49" s="451">
        <v>0</v>
      </c>
      <c r="DI49" s="451">
        <v>0</v>
      </c>
      <c r="DJ49" s="451">
        <v>0</v>
      </c>
      <c r="DK49" s="451">
        <v>0</v>
      </c>
      <c r="DL49" s="451">
        <v>0</v>
      </c>
      <c r="DM49" s="451">
        <v>0</v>
      </c>
      <c r="DN49" s="451">
        <v>0</v>
      </c>
      <c r="DO49" s="451">
        <v>0</v>
      </c>
      <c r="DP49" s="451">
        <v>0</v>
      </c>
      <c r="DQ49" s="451">
        <v>0</v>
      </c>
      <c r="DR49" s="451">
        <v>0</v>
      </c>
      <c r="DS49" s="451">
        <v>0</v>
      </c>
      <c r="DT49" s="451">
        <v>0</v>
      </c>
      <c r="DU49" s="451">
        <v>0</v>
      </c>
      <c r="DV49" s="451">
        <v>0</v>
      </c>
      <c r="DW49" s="451">
        <v>0</v>
      </c>
      <c r="DX49" s="451">
        <v>23053</v>
      </c>
      <c r="DY49" s="451">
        <v>0</v>
      </c>
      <c r="DZ49" s="451">
        <v>0</v>
      </c>
      <c r="EA49" s="451">
        <v>23053</v>
      </c>
      <c r="EB49" s="451">
        <v>0</v>
      </c>
      <c r="EC49" s="451">
        <v>0</v>
      </c>
      <c r="ED49" s="451">
        <v>0</v>
      </c>
      <c r="EE49" s="451">
        <v>0</v>
      </c>
      <c r="EF49" s="451">
        <v>0</v>
      </c>
      <c r="EG49" s="451">
        <v>0</v>
      </c>
      <c r="EH49" s="451">
        <v>0</v>
      </c>
      <c r="EI49" s="451">
        <v>0</v>
      </c>
      <c r="EJ49" s="451">
        <v>0</v>
      </c>
      <c r="EK49" s="451">
        <v>0</v>
      </c>
      <c r="EL49" s="451">
        <v>0</v>
      </c>
      <c r="EM49" s="451">
        <v>0</v>
      </c>
    </row>
    <row r="50" spans="1:143" ht="12.75" x14ac:dyDescent="0.2">
      <c r="A50" s="446">
        <v>44</v>
      </c>
      <c r="B50" s="447" t="s">
        <v>669</v>
      </c>
      <c r="C50" s="448" t="s">
        <v>1104</v>
      </c>
      <c r="D50" s="449" t="s">
        <v>1099</v>
      </c>
      <c r="E50" s="450" t="s">
        <v>668</v>
      </c>
      <c r="F50" s="451">
        <v>2063772.94</v>
      </c>
      <c r="G50" s="451">
        <v>0</v>
      </c>
      <c r="H50" s="451">
        <v>0</v>
      </c>
      <c r="I50" s="451">
        <v>2063772.94</v>
      </c>
      <c r="J50" s="451">
        <v>-5117054.3</v>
      </c>
      <c r="K50" s="451">
        <v>0</v>
      </c>
      <c r="L50" s="451">
        <v>0</v>
      </c>
      <c r="M50" s="451">
        <v>-5117054.3</v>
      </c>
      <c r="N50" s="451">
        <v>68062.13</v>
      </c>
      <c r="O50" s="451">
        <v>0</v>
      </c>
      <c r="P50" s="451">
        <v>0</v>
      </c>
      <c r="Q50" s="451">
        <v>68062.13</v>
      </c>
      <c r="R50" s="451">
        <v>1514440.19</v>
      </c>
      <c r="S50" s="451">
        <v>0</v>
      </c>
      <c r="T50" s="451">
        <v>0</v>
      </c>
      <c r="U50" s="451">
        <v>1514440.19</v>
      </c>
      <c r="V50" s="451">
        <v>2728183.32</v>
      </c>
      <c r="W50" s="451">
        <v>0</v>
      </c>
      <c r="X50" s="451">
        <v>0</v>
      </c>
      <c r="Y50" s="451">
        <v>2728183.32</v>
      </c>
      <c r="Z50" s="451">
        <v>204916.62</v>
      </c>
      <c r="AA50" s="451">
        <v>0</v>
      </c>
      <c r="AB50" s="451">
        <v>0</v>
      </c>
      <c r="AC50" s="451">
        <v>204916.62</v>
      </c>
      <c r="AD50" s="451">
        <v>10394969.699999999</v>
      </c>
      <c r="AE50" s="451">
        <v>0</v>
      </c>
      <c r="AF50" s="451">
        <v>0</v>
      </c>
      <c r="AG50" s="451">
        <v>10394969.699999999</v>
      </c>
      <c r="AH50" s="451">
        <v>-389743.16</v>
      </c>
      <c r="AI50" s="451">
        <v>0</v>
      </c>
      <c r="AJ50" s="451">
        <v>0</v>
      </c>
      <c r="AK50" s="451">
        <v>-389743.16</v>
      </c>
      <c r="AL50" s="451">
        <v>54694365.200000003</v>
      </c>
      <c r="AM50" s="451">
        <v>0</v>
      </c>
      <c r="AN50" s="451">
        <v>0</v>
      </c>
      <c r="AO50" s="451">
        <v>54694365.200000003</v>
      </c>
      <c r="AP50" s="451">
        <v>-549370.86</v>
      </c>
      <c r="AQ50" s="451">
        <v>0</v>
      </c>
      <c r="AR50" s="451">
        <v>0</v>
      </c>
      <c r="AS50" s="451">
        <v>-549370.86</v>
      </c>
      <c r="AT50" s="451">
        <v>13470.6</v>
      </c>
      <c r="AU50" s="451">
        <v>0</v>
      </c>
      <c r="AV50" s="451">
        <v>0</v>
      </c>
      <c r="AW50" s="451">
        <v>13470.6</v>
      </c>
      <c r="AX50" s="451">
        <v>0</v>
      </c>
      <c r="AY50" s="451">
        <v>0</v>
      </c>
      <c r="AZ50" s="451">
        <v>0</v>
      </c>
      <c r="BA50" s="451">
        <v>0</v>
      </c>
      <c r="BB50" s="451">
        <v>0</v>
      </c>
      <c r="BC50" s="451">
        <v>0</v>
      </c>
      <c r="BD50" s="451">
        <v>0</v>
      </c>
      <c r="BE50" s="451">
        <v>0</v>
      </c>
      <c r="BF50" s="451">
        <v>0</v>
      </c>
      <c r="BG50" s="451">
        <v>0</v>
      </c>
      <c r="BH50" s="451">
        <v>0</v>
      </c>
      <c r="BI50" s="451">
        <v>0</v>
      </c>
      <c r="BJ50" s="451">
        <v>389754.22</v>
      </c>
      <c r="BK50" s="451">
        <v>0</v>
      </c>
      <c r="BL50" s="451">
        <v>0</v>
      </c>
      <c r="BM50" s="451">
        <v>389754.22</v>
      </c>
      <c r="BN50" s="451">
        <v>551853.80000000005</v>
      </c>
      <c r="BO50" s="451">
        <v>0</v>
      </c>
      <c r="BP50" s="451">
        <v>0</v>
      </c>
      <c r="BQ50" s="451">
        <v>551853.80000000005</v>
      </c>
      <c r="BR50" s="451">
        <v>17309236.5</v>
      </c>
      <c r="BS50" s="451">
        <v>0</v>
      </c>
      <c r="BT50" s="451">
        <v>0</v>
      </c>
      <c r="BU50" s="451">
        <v>17309236.5</v>
      </c>
      <c r="BV50" s="451">
        <v>-18932</v>
      </c>
      <c r="BW50" s="451">
        <v>0</v>
      </c>
      <c r="BX50" s="451">
        <v>0</v>
      </c>
      <c r="BY50" s="451">
        <v>-18932</v>
      </c>
      <c r="BZ50" s="451">
        <v>176839.69</v>
      </c>
      <c r="CA50" s="451">
        <v>0</v>
      </c>
      <c r="CB50" s="451">
        <v>0</v>
      </c>
      <c r="CC50" s="451">
        <v>176839.69</v>
      </c>
      <c r="CD50" s="451">
        <v>-7444.55</v>
      </c>
      <c r="CE50" s="451">
        <v>0</v>
      </c>
      <c r="CF50" s="451">
        <v>0</v>
      </c>
      <c r="CG50" s="451">
        <v>-7444.55</v>
      </c>
      <c r="CH50" s="451">
        <v>-1257.1500000000001</v>
      </c>
      <c r="CI50" s="451">
        <v>0</v>
      </c>
      <c r="CJ50" s="451">
        <v>0</v>
      </c>
      <c r="CK50" s="451">
        <v>-1257.1500000000001</v>
      </c>
      <c r="CL50" s="451">
        <v>-17.5</v>
      </c>
      <c r="CM50" s="451">
        <v>0</v>
      </c>
      <c r="CN50" s="451">
        <v>0</v>
      </c>
      <c r="CO50" s="451">
        <v>-17.5</v>
      </c>
      <c r="CP50" s="451">
        <v>0</v>
      </c>
      <c r="CQ50" s="451">
        <v>0</v>
      </c>
      <c r="CR50" s="451">
        <v>0</v>
      </c>
      <c r="CS50" s="451">
        <v>0</v>
      </c>
      <c r="CT50" s="451">
        <v>0</v>
      </c>
      <c r="CU50" s="451">
        <v>0</v>
      </c>
      <c r="CV50" s="451">
        <v>0</v>
      </c>
      <c r="CW50" s="451">
        <v>0</v>
      </c>
      <c r="CX50" s="451">
        <v>0</v>
      </c>
      <c r="CY50" s="451">
        <v>0</v>
      </c>
      <c r="CZ50" s="451">
        <v>0</v>
      </c>
      <c r="DA50" s="451">
        <v>0</v>
      </c>
      <c r="DB50" s="451">
        <v>0</v>
      </c>
      <c r="DC50" s="451">
        <v>0</v>
      </c>
      <c r="DD50" s="451">
        <v>0</v>
      </c>
      <c r="DE50" s="451">
        <v>0</v>
      </c>
      <c r="DF50" s="451">
        <v>0</v>
      </c>
      <c r="DG50" s="451">
        <v>0</v>
      </c>
      <c r="DH50" s="451">
        <v>0</v>
      </c>
      <c r="DI50" s="451">
        <v>0</v>
      </c>
      <c r="DJ50" s="451">
        <v>0</v>
      </c>
      <c r="DK50" s="451">
        <v>0</v>
      </c>
      <c r="DL50" s="451">
        <v>0</v>
      </c>
      <c r="DM50" s="451">
        <v>0</v>
      </c>
      <c r="DN50" s="451">
        <v>0</v>
      </c>
      <c r="DO50" s="451">
        <v>0</v>
      </c>
      <c r="DP50" s="451">
        <v>0</v>
      </c>
      <c r="DQ50" s="451">
        <v>0</v>
      </c>
      <c r="DR50" s="451">
        <v>0</v>
      </c>
      <c r="DS50" s="451">
        <v>0</v>
      </c>
      <c r="DT50" s="451">
        <v>0</v>
      </c>
      <c r="DU50" s="451">
        <v>0</v>
      </c>
      <c r="DV50" s="451">
        <v>0</v>
      </c>
      <c r="DW50" s="451">
        <v>0</v>
      </c>
      <c r="DX50" s="451">
        <v>0</v>
      </c>
      <c r="DY50" s="451">
        <v>0</v>
      </c>
      <c r="DZ50" s="451">
        <v>0</v>
      </c>
      <c r="EA50" s="451">
        <v>0</v>
      </c>
      <c r="EB50" s="451">
        <v>0</v>
      </c>
      <c r="EC50" s="451">
        <v>0</v>
      </c>
      <c r="ED50" s="451">
        <v>0</v>
      </c>
      <c r="EE50" s="451">
        <v>0</v>
      </c>
      <c r="EF50" s="451">
        <v>0</v>
      </c>
      <c r="EG50" s="451">
        <v>0</v>
      </c>
      <c r="EH50" s="451">
        <v>0</v>
      </c>
      <c r="EI50" s="451">
        <v>0</v>
      </c>
      <c r="EJ50" s="451">
        <v>0</v>
      </c>
      <c r="EK50" s="451">
        <v>0</v>
      </c>
      <c r="EL50" s="451">
        <v>0</v>
      </c>
      <c r="EM50" s="451">
        <v>0</v>
      </c>
    </row>
    <row r="51" spans="1:143" ht="12.75" x14ac:dyDescent="0.2">
      <c r="A51" s="446">
        <v>45</v>
      </c>
      <c r="B51" s="447" t="s">
        <v>671</v>
      </c>
      <c r="C51" s="448" t="s">
        <v>1093</v>
      </c>
      <c r="D51" s="449" t="s">
        <v>1103</v>
      </c>
      <c r="E51" s="450" t="s">
        <v>670</v>
      </c>
      <c r="F51" s="451">
        <v>1031552.83</v>
      </c>
      <c r="G51" s="451">
        <v>0</v>
      </c>
      <c r="H51" s="451">
        <v>0</v>
      </c>
      <c r="I51" s="451">
        <v>1031552.83</v>
      </c>
      <c r="J51" s="451">
        <v>-32676.799999999999</v>
      </c>
      <c r="K51" s="451">
        <v>0</v>
      </c>
      <c r="L51" s="451">
        <v>0</v>
      </c>
      <c r="M51" s="451">
        <v>-32676.799999999999</v>
      </c>
      <c r="N51" s="451">
        <v>14156.96</v>
      </c>
      <c r="O51" s="451">
        <v>0</v>
      </c>
      <c r="P51" s="451">
        <v>0</v>
      </c>
      <c r="Q51" s="451">
        <v>14156.96</v>
      </c>
      <c r="R51" s="451">
        <v>75747.039999999994</v>
      </c>
      <c r="S51" s="451">
        <v>0</v>
      </c>
      <c r="T51" s="451">
        <v>0</v>
      </c>
      <c r="U51" s="451">
        <v>75747.039999999994</v>
      </c>
      <c r="V51" s="451">
        <v>2205033.39</v>
      </c>
      <c r="W51" s="451">
        <v>0</v>
      </c>
      <c r="X51" s="451">
        <v>0</v>
      </c>
      <c r="Y51" s="451">
        <v>2205033.39</v>
      </c>
      <c r="Z51" s="451">
        <v>96950.77</v>
      </c>
      <c r="AA51" s="451">
        <v>0</v>
      </c>
      <c r="AB51" s="451">
        <v>0</v>
      </c>
      <c r="AC51" s="451">
        <v>96950.77</v>
      </c>
      <c r="AD51" s="451">
        <v>652425.29</v>
      </c>
      <c r="AE51" s="451">
        <v>0</v>
      </c>
      <c r="AF51" s="451">
        <v>0</v>
      </c>
      <c r="AG51" s="451">
        <v>652425.29</v>
      </c>
      <c r="AH51" s="451">
        <v>-6408.13</v>
      </c>
      <c r="AI51" s="451">
        <v>0</v>
      </c>
      <c r="AJ51" s="451">
        <v>0</v>
      </c>
      <c r="AK51" s="451">
        <v>-6408.13</v>
      </c>
      <c r="AL51" s="451">
        <v>1338115.69</v>
      </c>
      <c r="AM51" s="451">
        <v>0</v>
      </c>
      <c r="AN51" s="451">
        <v>0</v>
      </c>
      <c r="AO51" s="451">
        <v>1338115.69</v>
      </c>
      <c r="AP51" s="451">
        <v>23627.98</v>
      </c>
      <c r="AQ51" s="451">
        <v>0</v>
      </c>
      <c r="AR51" s="451">
        <v>0</v>
      </c>
      <c r="AS51" s="451">
        <v>23627.98</v>
      </c>
      <c r="AT51" s="451">
        <v>1413</v>
      </c>
      <c r="AU51" s="451">
        <v>0</v>
      </c>
      <c r="AV51" s="451">
        <v>0</v>
      </c>
      <c r="AW51" s="451">
        <v>1413</v>
      </c>
      <c r="AX51" s="451">
        <v>0</v>
      </c>
      <c r="AY51" s="451">
        <v>0</v>
      </c>
      <c r="AZ51" s="451">
        <v>0</v>
      </c>
      <c r="BA51" s="451">
        <v>0</v>
      </c>
      <c r="BB51" s="451">
        <v>0</v>
      </c>
      <c r="BC51" s="451">
        <v>0</v>
      </c>
      <c r="BD51" s="451">
        <v>0</v>
      </c>
      <c r="BE51" s="451">
        <v>0</v>
      </c>
      <c r="BF51" s="451">
        <v>0</v>
      </c>
      <c r="BG51" s="451">
        <v>0</v>
      </c>
      <c r="BH51" s="451">
        <v>0</v>
      </c>
      <c r="BI51" s="451">
        <v>0</v>
      </c>
      <c r="BJ51" s="451">
        <v>2007.07</v>
      </c>
      <c r="BK51" s="451">
        <v>0</v>
      </c>
      <c r="BL51" s="451">
        <v>0</v>
      </c>
      <c r="BM51" s="451">
        <v>2007.07</v>
      </c>
      <c r="BN51" s="451">
        <v>0</v>
      </c>
      <c r="BO51" s="451">
        <v>0</v>
      </c>
      <c r="BP51" s="451">
        <v>0</v>
      </c>
      <c r="BQ51" s="451">
        <v>0</v>
      </c>
      <c r="BR51" s="451">
        <v>1231442.55</v>
      </c>
      <c r="BS51" s="451">
        <v>0</v>
      </c>
      <c r="BT51" s="451">
        <v>0</v>
      </c>
      <c r="BU51" s="451">
        <v>1231442.55</v>
      </c>
      <c r="BV51" s="451">
        <v>-75325.960000000006</v>
      </c>
      <c r="BW51" s="451">
        <v>0</v>
      </c>
      <c r="BX51" s="451">
        <v>0</v>
      </c>
      <c r="BY51" s="451">
        <v>-75325.960000000006</v>
      </c>
      <c r="BZ51" s="451">
        <v>46243.040000000001</v>
      </c>
      <c r="CA51" s="451">
        <v>0</v>
      </c>
      <c r="CB51" s="451">
        <v>0</v>
      </c>
      <c r="CC51" s="451">
        <v>46243.040000000001</v>
      </c>
      <c r="CD51" s="451">
        <v>271.08999999999997</v>
      </c>
      <c r="CE51" s="451">
        <v>0</v>
      </c>
      <c r="CF51" s="451">
        <v>0</v>
      </c>
      <c r="CG51" s="451">
        <v>271.08999999999997</v>
      </c>
      <c r="CH51" s="451">
        <v>10297.65</v>
      </c>
      <c r="CI51" s="451">
        <v>0</v>
      </c>
      <c r="CJ51" s="451">
        <v>0</v>
      </c>
      <c r="CK51" s="451">
        <v>10297.65</v>
      </c>
      <c r="CL51" s="451">
        <v>-19.54</v>
      </c>
      <c r="CM51" s="451">
        <v>0</v>
      </c>
      <c r="CN51" s="451">
        <v>0</v>
      </c>
      <c r="CO51" s="451">
        <v>-19.54</v>
      </c>
      <c r="CP51" s="451">
        <v>88.31</v>
      </c>
      <c r="CQ51" s="451">
        <v>0</v>
      </c>
      <c r="CR51" s="451">
        <v>0</v>
      </c>
      <c r="CS51" s="451">
        <v>88.31</v>
      </c>
      <c r="CT51" s="451">
        <v>21.28</v>
      </c>
      <c r="CU51" s="451">
        <v>0</v>
      </c>
      <c r="CV51" s="451">
        <v>0</v>
      </c>
      <c r="CW51" s="451">
        <v>21.28</v>
      </c>
      <c r="CX51" s="451">
        <v>0</v>
      </c>
      <c r="CY51" s="451">
        <v>0</v>
      </c>
      <c r="CZ51" s="451">
        <v>0</v>
      </c>
      <c r="DA51" s="451">
        <v>0</v>
      </c>
      <c r="DB51" s="451">
        <v>0</v>
      </c>
      <c r="DC51" s="451">
        <v>0</v>
      </c>
      <c r="DD51" s="451">
        <v>0</v>
      </c>
      <c r="DE51" s="451">
        <v>0</v>
      </c>
      <c r="DF51" s="451">
        <v>0</v>
      </c>
      <c r="DG51" s="451">
        <v>0</v>
      </c>
      <c r="DH51" s="451">
        <v>0</v>
      </c>
      <c r="DI51" s="451">
        <v>0</v>
      </c>
      <c r="DJ51" s="451">
        <v>0</v>
      </c>
      <c r="DK51" s="451">
        <v>0</v>
      </c>
      <c r="DL51" s="451">
        <v>0</v>
      </c>
      <c r="DM51" s="451">
        <v>0</v>
      </c>
      <c r="DN51" s="451">
        <v>0</v>
      </c>
      <c r="DO51" s="451">
        <v>0</v>
      </c>
      <c r="DP51" s="451">
        <v>0</v>
      </c>
      <c r="DQ51" s="451">
        <v>0</v>
      </c>
      <c r="DR51" s="451">
        <v>0</v>
      </c>
      <c r="DS51" s="451">
        <v>0</v>
      </c>
      <c r="DT51" s="451">
        <v>0</v>
      </c>
      <c r="DU51" s="451">
        <v>0</v>
      </c>
      <c r="DV51" s="451">
        <v>0</v>
      </c>
      <c r="DW51" s="451">
        <v>0</v>
      </c>
      <c r="DX51" s="451">
        <v>0</v>
      </c>
      <c r="DY51" s="451">
        <v>0</v>
      </c>
      <c r="DZ51" s="451">
        <v>0</v>
      </c>
      <c r="EA51" s="451">
        <v>0</v>
      </c>
      <c r="EB51" s="451">
        <v>0</v>
      </c>
      <c r="EC51" s="451">
        <v>0</v>
      </c>
      <c r="ED51" s="451">
        <v>0</v>
      </c>
      <c r="EE51" s="451">
        <v>0</v>
      </c>
      <c r="EF51" s="451">
        <v>0</v>
      </c>
      <c r="EG51" s="451">
        <v>0</v>
      </c>
      <c r="EH51" s="451">
        <v>0</v>
      </c>
      <c r="EI51" s="451">
        <v>0</v>
      </c>
      <c r="EJ51" s="451">
        <v>0</v>
      </c>
      <c r="EK51" s="451">
        <v>0</v>
      </c>
      <c r="EL51" s="451">
        <v>0</v>
      </c>
      <c r="EM51" s="451">
        <v>0</v>
      </c>
    </row>
    <row r="52" spans="1:143" ht="12.75" x14ac:dyDescent="0.2">
      <c r="A52" s="446">
        <v>46</v>
      </c>
      <c r="B52" s="447" t="s">
        <v>673</v>
      </c>
      <c r="C52" s="448" t="s">
        <v>1093</v>
      </c>
      <c r="D52" s="449" t="s">
        <v>1094</v>
      </c>
      <c r="E52" s="450" t="s">
        <v>672</v>
      </c>
      <c r="F52" s="451">
        <v>35383</v>
      </c>
      <c r="G52" s="451">
        <v>0</v>
      </c>
      <c r="H52" s="451">
        <v>0</v>
      </c>
      <c r="I52" s="451">
        <v>35383</v>
      </c>
      <c r="J52" s="451">
        <v>105425</v>
      </c>
      <c r="K52" s="451">
        <v>0</v>
      </c>
      <c r="L52" s="451">
        <v>0</v>
      </c>
      <c r="M52" s="451">
        <v>105425</v>
      </c>
      <c r="N52" s="451">
        <v>147269</v>
      </c>
      <c r="O52" s="451">
        <v>0</v>
      </c>
      <c r="P52" s="451">
        <v>0</v>
      </c>
      <c r="Q52" s="451">
        <v>147269</v>
      </c>
      <c r="R52" s="451">
        <v>-110927</v>
      </c>
      <c r="S52" s="451">
        <v>0</v>
      </c>
      <c r="T52" s="451">
        <v>0</v>
      </c>
      <c r="U52" s="451">
        <v>-110927</v>
      </c>
      <c r="V52" s="451">
        <v>3049280</v>
      </c>
      <c r="W52" s="451">
        <v>0</v>
      </c>
      <c r="X52" s="451">
        <v>0</v>
      </c>
      <c r="Y52" s="451">
        <v>3049280</v>
      </c>
      <c r="Z52" s="451">
        <v>173718</v>
      </c>
      <c r="AA52" s="451">
        <v>0</v>
      </c>
      <c r="AB52" s="451">
        <v>0</v>
      </c>
      <c r="AC52" s="451">
        <v>173718</v>
      </c>
      <c r="AD52" s="451">
        <v>1053818</v>
      </c>
      <c r="AE52" s="451">
        <v>0</v>
      </c>
      <c r="AF52" s="451">
        <v>0</v>
      </c>
      <c r="AG52" s="451">
        <v>1053818</v>
      </c>
      <c r="AH52" s="451">
        <v>-13796</v>
      </c>
      <c r="AI52" s="451">
        <v>0</v>
      </c>
      <c r="AJ52" s="451">
        <v>0</v>
      </c>
      <c r="AK52" s="451">
        <v>-13796</v>
      </c>
      <c r="AL52" s="451">
        <v>6543909</v>
      </c>
      <c r="AM52" s="451">
        <v>0</v>
      </c>
      <c r="AN52" s="451">
        <v>0</v>
      </c>
      <c r="AO52" s="451">
        <v>6543909</v>
      </c>
      <c r="AP52" s="451">
        <v>-2834</v>
      </c>
      <c r="AQ52" s="451">
        <v>0</v>
      </c>
      <c r="AR52" s="451">
        <v>0</v>
      </c>
      <c r="AS52" s="451">
        <v>-2834</v>
      </c>
      <c r="AT52" s="451">
        <v>98060</v>
      </c>
      <c r="AU52" s="451">
        <v>0</v>
      </c>
      <c r="AV52" s="451">
        <v>0</v>
      </c>
      <c r="AW52" s="451">
        <v>98060</v>
      </c>
      <c r="AX52" s="451">
        <v>0</v>
      </c>
      <c r="AY52" s="451">
        <v>0</v>
      </c>
      <c r="AZ52" s="451">
        <v>0</v>
      </c>
      <c r="BA52" s="451">
        <v>0</v>
      </c>
      <c r="BB52" s="451">
        <v>16367</v>
      </c>
      <c r="BC52" s="451">
        <v>0</v>
      </c>
      <c r="BD52" s="451">
        <v>0</v>
      </c>
      <c r="BE52" s="451">
        <v>16367</v>
      </c>
      <c r="BF52" s="451">
        <v>0</v>
      </c>
      <c r="BG52" s="451">
        <v>0</v>
      </c>
      <c r="BH52" s="451">
        <v>0</v>
      </c>
      <c r="BI52" s="451">
        <v>0</v>
      </c>
      <c r="BJ52" s="451">
        <v>152</v>
      </c>
      <c r="BK52" s="451">
        <v>0</v>
      </c>
      <c r="BL52" s="451">
        <v>0</v>
      </c>
      <c r="BM52" s="451">
        <v>152</v>
      </c>
      <c r="BN52" s="451">
        <v>-629</v>
      </c>
      <c r="BO52" s="451">
        <v>0</v>
      </c>
      <c r="BP52" s="451">
        <v>0</v>
      </c>
      <c r="BQ52" s="451">
        <v>-629</v>
      </c>
      <c r="BR52" s="451">
        <v>1469096</v>
      </c>
      <c r="BS52" s="451">
        <v>0</v>
      </c>
      <c r="BT52" s="451">
        <v>0</v>
      </c>
      <c r="BU52" s="451">
        <v>1469096</v>
      </c>
      <c r="BV52" s="451">
        <v>43058</v>
      </c>
      <c r="BW52" s="451">
        <v>0</v>
      </c>
      <c r="BX52" s="451">
        <v>0</v>
      </c>
      <c r="BY52" s="451">
        <v>43058</v>
      </c>
      <c r="BZ52" s="451">
        <v>244807</v>
      </c>
      <c r="CA52" s="451">
        <v>0</v>
      </c>
      <c r="CB52" s="451">
        <v>0</v>
      </c>
      <c r="CC52" s="451">
        <v>244807</v>
      </c>
      <c r="CD52" s="451">
        <v>-4248</v>
      </c>
      <c r="CE52" s="451">
        <v>0</v>
      </c>
      <c r="CF52" s="451">
        <v>0</v>
      </c>
      <c r="CG52" s="451">
        <v>-4248</v>
      </c>
      <c r="CH52" s="451">
        <v>66850</v>
      </c>
      <c r="CI52" s="451">
        <v>0</v>
      </c>
      <c r="CJ52" s="451">
        <v>0</v>
      </c>
      <c r="CK52" s="451">
        <v>66850</v>
      </c>
      <c r="CL52" s="451">
        <v>-490</v>
      </c>
      <c r="CM52" s="451">
        <v>0</v>
      </c>
      <c r="CN52" s="451">
        <v>0</v>
      </c>
      <c r="CO52" s="451">
        <v>-490</v>
      </c>
      <c r="CP52" s="451">
        <v>4442</v>
      </c>
      <c r="CQ52" s="451">
        <v>0</v>
      </c>
      <c r="CR52" s="451">
        <v>0</v>
      </c>
      <c r="CS52" s="451">
        <v>4442</v>
      </c>
      <c r="CT52" s="451">
        <v>0</v>
      </c>
      <c r="CU52" s="451">
        <v>0</v>
      </c>
      <c r="CV52" s="451">
        <v>0</v>
      </c>
      <c r="CW52" s="451">
        <v>0</v>
      </c>
      <c r="CX52" s="451">
        <v>0</v>
      </c>
      <c r="CY52" s="451">
        <v>0</v>
      </c>
      <c r="CZ52" s="451">
        <v>0</v>
      </c>
      <c r="DA52" s="451">
        <v>0</v>
      </c>
      <c r="DB52" s="451">
        <v>0</v>
      </c>
      <c r="DC52" s="451">
        <v>0</v>
      </c>
      <c r="DD52" s="451">
        <v>0</v>
      </c>
      <c r="DE52" s="451">
        <v>0</v>
      </c>
      <c r="DF52" s="451">
        <v>10800</v>
      </c>
      <c r="DG52" s="451">
        <v>0</v>
      </c>
      <c r="DH52" s="451">
        <v>0</v>
      </c>
      <c r="DI52" s="451">
        <v>10800</v>
      </c>
      <c r="DJ52" s="451">
        <v>0</v>
      </c>
      <c r="DK52" s="451">
        <v>0</v>
      </c>
      <c r="DL52" s="451">
        <v>0</v>
      </c>
      <c r="DM52" s="451">
        <v>0</v>
      </c>
      <c r="DN52" s="451">
        <v>0</v>
      </c>
      <c r="DO52" s="451">
        <v>0</v>
      </c>
      <c r="DP52" s="451">
        <v>0</v>
      </c>
      <c r="DQ52" s="451">
        <v>0</v>
      </c>
      <c r="DR52" s="451">
        <v>0</v>
      </c>
      <c r="DS52" s="451">
        <v>0</v>
      </c>
      <c r="DT52" s="451">
        <v>0</v>
      </c>
      <c r="DU52" s="451">
        <v>0</v>
      </c>
      <c r="DV52" s="451">
        <v>0</v>
      </c>
      <c r="DW52" s="451">
        <v>0</v>
      </c>
      <c r="DX52" s="451">
        <v>0</v>
      </c>
      <c r="DY52" s="451">
        <v>0</v>
      </c>
      <c r="DZ52" s="451">
        <v>0</v>
      </c>
      <c r="EA52" s="451">
        <v>0</v>
      </c>
      <c r="EB52" s="451">
        <v>5639</v>
      </c>
      <c r="EC52" s="451">
        <v>0</v>
      </c>
      <c r="ED52" s="451">
        <v>0</v>
      </c>
      <c r="EE52" s="451">
        <v>5639</v>
      </c>
      <c r="EF52" s="451">
        <v>0</v>
      </c>
      <c r="EG52" s="451">
        <v>0</v>
      </c>
      <c r="EH52" s="451">
        <v>0</v>
      </c>
      <c r="EI52" s="451">
        <v>0</v>
      </c>
      <c r="EJ52" s="451">
        <v>-249</v>
      </c>
      <c r="EK52" s="451">
        <v>0</v>
      </c>
      <c r="EL52" s="451">
        <v>0</v>
      </c>
      <c r="EM52" s="451">
        <v>-249</v>
      </c>
    </row>
    <row r="53" spans="1:143" ht="12.75" x14ac:dyDescent="0.2">
      <c r="A53" s="446">
        <v>47</v>
      </c>
      <c r="B53" s="447" t="s">
        <v>675</v>
      </c>
      <c r="C53" s="448" t="s">
        <v>1093</v>
      </c>
      <c r="D53" s="449" t="s">
        <v>1095</v>
      </c>
      <c r="E53" s="450" t="s">
        <v>674</v>
      </c>
      <c r="F53" s="451">
        <v>118609</v>
      </c>
      <c r="G53" s="451">
        <v>0</v>
      </c>
      <c r="H53" s="451">
        <v>0</v>
      </c>
      <c r="I53" s="451">
        <v>118609</v>
      </c>
      <c r="J53" s="451">
        <v>-161326</v>
      </c>
      <c r="K53" s="451">
        <v>0</v>
      </c>
      <c r="L53" s="451">
        <v>0</v>
      </c>
      <c r="M53" s="451">
        <v>-161326</v>
      </c>
      <c r="N53" s="451">
        <v>20590</v>
      </c>
      <c r="O53" s="451">
        <v>0</v>
      </c>
      <c r="P53" s="451">
        <v>0</v>
      </c>
      <c r="Q53" s="451">
        <v>20590</v>
      </c>
      <c r="R53" s="451">
        <v>74832</v>
      </c>
      <c r="S53" s="451">
        <v>0</v>
      </c>
      <c r="T53" s="451">
        <v>0</v>
      </c>
      <c r="U53" s="451">
        <v>74832</v>
      </c>
      <c r="V53" s="451">
        <v>2320663</v>
      </c>
      <c r="W53" s="451">
        <v>0</v>
      </c>
      <c r="X53" s="451">
        <v>0</v>
      </c>
      <c r="Y53" s="451">
        <v>2320663</v>
      </c>
      <c r="Z53" s="451">
        <v>116685</v>
      </c>
      <c r="AA53" s="451">
        <v>0</v>
      </c>
      <c r="AB53" s="451">
        <v>0</v>
      </c>
      <c r="AC53" s="451">
        <v>116685</v>
      </c>
      <c r="AD53" s="451">
        <v>813450</v>
      </c>
      <c r="AE53" s="451">
        <v>0</v>
      </c>
      <c r="AF53" s="451">
        <v>0</v>
      </c>
      <c r="AG53" s="451">
        <v>813450</v>
      </c>
      <c r="AH53" s="451">
        <v>-20642</v>
      </c>
      <c r="AI53" s="451">
        <v>0</v>
      </c>
      <c r="AJ53" s="451">
        <v>0</v>
      </c>
      <c r="AK53" s="451">
        <v>-20642</v>
      </c>
      <c r="AL53" s="451">
        <v>3015430</v>
      </c>
      <c r="AM53" s="451">
        <v>0</v>
      </c>
      <c r="AN53" s="451">
        <v>0</v>
      </c>
      <c r="AO53" s="451">
        <v>3015430</v>
      </c>
      <c r="AP53" s="451">
        <v>-231345</v>
      </c>
      <c r="AQ53" s="451">
        <v>0</v>
      </c>
      <c r="AR53" s="451">
        <v>0</v>
      </c>
      <c r="AS53" s="451">
        <v>-231345</v>
      </c>
      <c r="AT53" s="451">
        <v>85326</v>
      </c>
      <c r="AU53" s="451">
        <v>0</v>
      </c>
      <c r="AV53" s="451">
        <v>0</v>
      </c>
      <c r="AW53" s="451">
        <v>85326</v>
      </c>
      <c r="AX53" s="451">
        <v>-4542</v>
      </c>
      <c r="AY53" s="451">
        <v>0</v>
      </c>
      <c r="AZ53" s="451">
        <v>0</v>
      </c>
      <c r="BA53" s="451">
        <v>-4542</v>
      </c>
      <c r="BB53" s="451">
        <v>32423</v>
      </c>
      <c r="BC53" s="451">
        <v>0</v>
      </c>
      <c r="BD53" s="451">
        <v>0</v>
      </c>
      <c r="BE53" s="451">
        <v>32423</v>
      </c>
      <c r="BF53" s="451">
        <v>-336</v>
      </c>
      <c r="BG53" s="451">
        <v>0</v>
      </c>
      <c r="BH53" s="451">
        <v>0</v>
      </c>
      <c r="BI53" s="451">
        <v>-336</v>
      </c>
      <c r="BJ53" s="451">
        <v>1239</v>
      </c>
      <c r="BK53" s="451">
        <v>0</v>
      </c>
      <c r="BL53" s="451">
        <v>0</v>
      </c>
      <c r="BM53" s="451">
        <v>1239</v>
      </c>
      <c r="BN53" s="451">
        <v>24125</v>
      </c>
      <c r="BO53" s="451">
        <v>0</v>
      </c>
      <c r="BP53" s="451">
        <v>0</v>
      </c>
      <c r="BQ53" s="451">
        <v>24125</v>
      </c>
      <c r="BR53" s="451">
        <v>1897654</v>
      </c>
      <c r="BS53" s="451">
        <v>0</v>
      </c>
      <c r="BT53" s="451">
        <v>0</v>
      </c>
      <c r="BU53" s="451">
        <v>1897654</v>
      </c>
      <c r="BV53" s="451">
        <v>5291</v>
      </c>
      <c r="BW53" s="451">
        <v>0</v>
      </c>
      <c r="BX53" s="451">
        <v>0</v>
      </c>
      <c r="BY53" s="451">
        <v>5291</v>
      </c>
      <c r="BZ53" s="451">
        <v>56881</v>
      </c>
      <c r="CA53" s="451">
        <v>0</v>
      </c>
      <c r="CB53" s="451">
        <v>0</v>
      </c>
      <c r="CC53" s="451">
        <v>56881</v>
      </c>
      <c r="CD53" s="451">
        <v>260</v>
      </c>
      <c r="CE53" s="451">
        <v>0</v>
      </c>
      <c r="CF53" s="451">
        <v>0</v>
      </c>
      <c r="CG53" s="451">
        <v>260</v>
      </c>
      <c r="CH53" s="451">
        <v>42221</v>
      </c>
      <c r="CI53" s="451">
        <v>0</v>
      </c>
      <c r="CJ53" s="451">
        <v>0</v>
      </c>
      <c r="CK53" s="451">
        <v>42221</v>
      </c>
      <c r="CL53" s="451">
        <v>-13074</v>
      </c>
      <c r="CM53" s="451">
        <v>0</v>
      </c>
      <c r="CN53" s="451">
        <v>0</v>
      </c>
      <c r="CO53" s="451">
        <v>-13074</v>
      </c>
      <c r="CP53" s="451">
        <v>2751</v>
      </c>
      <c r="CQ53" s="451">
        <v>0</v>
      </c>
      <c r="CR53" s="451">
        <v>0</v>
      </c>
      <c r="CS53" s="451">
        <v>2751</v>
      </c>
      <c r="CT53" s="451">
        <v>118</v>
      </c>
      <c r="CU53" s="451">
        <v>0</v>
      </c>
      <c r="CV53" s="451">
        <v>0</v>
      </c>
      <c r="CW53" s="451">
        <v>118</v>
      </c>
      <c r="CX53" s="451">
        <v>0</v>
      </c>
      <c r="CY53" s="451">
        <v>0</v>
      </c>
      <c r="CZ53" s="451">
        <v>0</v>
      </c>
      <c r="DA53" s="451">
        <v>0</v>
      </c>
      <c r="DB53" s="451">
        <v>0</v>
      </c>
      <c r="DC53" s="451">
        <v>0</v>
      </c>
      <c r="DD53" s="451">
        <v>0</v>
      </c>
      <c r="DE53" s="451">
        <v>0</v>
      </c>
      <c r="DF53" s="451">
        <v>3612</v>
      </c>
      <c r="DG53" s="451">
        <v>0</v>
      </c>
      <c r="DH53" s="451">
        <v>0</v>
      </c>
      <c r="DI53" s="451">
        <v>3612</v>
      </c>
      <c r="DJ53" s="451">
        <v>0</v>
      </c>
      <c r="DK53" s="451">
        <v>0</v>
      </c>
      <c r="DL53" s="451">
        <v>0</v>
      </c>
      <c r="DM53" s="451">
        <v>0</v>
      </c>
      <c r="DN53" s="451">
        <v>0</v>
      </c>
      <c r="DO53" s="451">
        <v>0</v>
      </c>
      <c r="DP53" s="451">
        <v>0</v>
      </c>
      <c r="DQ53" s="451">
        <v>0</v>
      </c>
      <c r="DR53" s="451">
        <v>0</v>
      </c>
      <c r="DS53" s="451">
        <v>0</v>
      </c>
      <c r="DT53" s="451">
        <v>0</v>
      </c>
      <c r="DU53" s="451">
        <v>0</v>
      </c>
      <c r="DV53" s="451">
        <v>0</v>
      </c>
      <c r="DW53" s="451">
        <v>0</v>
      </c>
      <c r="DX53" s="451">
        <v>0</v>
      </c>
      <c r="DY53" s="451">
        <v>0</v>
      </c>
      <c r="DZ53" s="451">
        <v>0</v>
      </c>
      <c r="EA53" s="451">
        <v>0</v>
      </c>
      <c r="EB53" s="451">
        <v>0</v>
      </c>
      <c r="EC53" s="451">
        <v>0</v>
      </c>
      <c r="ED53" s="451">
        <v>0</v>
      </c>
      <c r="EE53" s="451">
        <v>0</v>
      </c>
      <c r="EF53" s="451">
        <v>0</v>
      </c>
      <c r="EG53" s="451">
        <v>0</v>
      </c>
      <c r="EH53" s="451">
        <v>0</v>
      </c>
      <c r="EI53" s="451">
        <v>0</v>
      </c>
      <c r="EJ53" s="451">
        <v>0</v>
      </c>
      <c r="EK53" s="451">
        <v>0</v>
      </c>
      <c r="EL53" s="451">
        <v>0</v>
      </c>
      <c r="EM53" s="451">
        <v>0</v>
      </c>
    </row>
    <row r="54" spans="1:143" ht="12.75" x14ac:dyDescent="0.2">
      <c r="A54" s="446">
        <v>48</v>
      </c>
      <c r="B54" s="447" t="s">
        <v>677</v>
      </c>
      <c r="C54" s="448" t="s">
        <v>1093</v>
      </c>
      <c r="D54" s="449" t="s">
        <v>1097</v>
      </c>
      <c r="E54" s="450" t="s">
        <v>676</v>
      </c>
      <c r="F54" s="451">
        <v>152832</v>
      </c>
      <c r="G54" s="451">
        <v>0</v>
      </c>
      <c r="H54" s="451">
        <v>0</v>
      </c>
      <c r="I54" s="451">
        <v>152832</v>
      </c>
      <c r="J54" s="451">
        <v>-2008</v>
      </c>
      <c r="K54" s="451">
        <v>0</v>
      </c>
      <c r="L54" s="451">
        <v>0</v>
      </c>
      <c r="M54" s="451">
        <v>-2008</v>
      </c>
      <c r="N54" s="451">
        <v>25791</v>
      </c>
      <c r="O54" s="451">
        <v>0</v>
      </c>
      <c r="P54" s="451">
        <v>0</v>
      </c>
      <c r="Q54" s="451">
        <v>25791</v>
      </c>
      <c r="R54" s="451">
        <v>11175</v>
      </c>
      <c r="S54" s="451">
        <v>0</v>
      </c>
      <c r="T54" s="451">
        <v>0</v>
      </c>
      <c r="U54" s="451">
        <v>11175</v>
      </c>
      <c r="V54" s="451">
        <v>1657265</v>
      </c>
      <c r="W54" s="451">
        <v>0</v>
      </c>
      <c r="X54" s="451">
        <v>0</v>
      </c>
      <c r="Y54" s="451">
        <v>1657265</v>
      </c>
      <c r="Z54" s="451">
        <v>42673</v>
      </c>
      <c r="AA54" s="451">
        <v>0</v>
      </c>
      <c r="AB54" s="451">
        <v>0</v>
      </c>
      <c r="AC54" s="451">
        <v>42673</v>
      </c>
      <c r="AD54" s="451">
        <v>272443</v>
      </c>
      <c r="AE54" s="451">
        <v>0</v>
      </c>
      <c r="AF54" s="451">
        <v>0</v>
      </c>
      <c r="AG54" s="451">
        <v>272443</v>
      </c>
      <c r="AH54" s="451">
        <v>-3230</v>
      </c>
      <c r="AI54" s="451">
        <v>0</v>
      </c>
      <c r="AJ54" s="451">
        <v>0</v>
      </c>
      <c r="AK54" s="451">
        <v>-3230</v>
      </c>
      <c r="AL54" s="451">
        <v>1280543</v>
      </c>
      <c r="AM54" s="451">
        <v>0</v>
      </c>
      <c r="AN54" s="451">
        <v>0</v>
      </c>
      <c r="AO54" s="451">
        <v>1280543</v>
      </c>
      <c r="AP54" s="451">
        <v>7326</v>
      </c>
      <c r="AQ54" s="451">
        <v>0</v>
      </c>
      <c r="AR54" s="451">
        <v>0</v>
      </c>
      <c r="AS54" s="451">
        <v>7326</v>
      </c>
      <c r="AT54" s="451">
        <v>8930</v>
      </c>
      <c r="AU54" s="451">
        <v>0</v>
      </c>
      <c r="AV54" s="451">
        <v>0</v>
      </c>
      <c r="AW54" s="451">
        <v>8930</v>
      </c>
      <c r="AX54" s="451">
        <v>0</v>
      </c>
      <c r="AY54" s="451">
        <v>0</v>
      </c>
      <c r="AZ54" s="451">
        <v>0</v>
      </c>
      <c r="BA54" s="451">
        <v>0</v>
      </c>
      <c r="BB54" s="451">
        <v>0</v>
      </c>
      <c r="BC54" s="451">
        <v>0</v>
      </c>
      <c r="BD54" s="451">
        <v>0</v>
      </c>
      <c r="BE54" s="451">
        <v>0</v>
      </c>
      <c r="BF54" s="451">
        <v>0</v>
      </c>
      <c r="BG54" s="451">
        <v>0</v>
      </c>
      <c r="BH54" s="451">
        <v>0</v>
      </c>
      <c r="BI54" s="451">
        <v>0</v>
      </c>
      <c r="BJ54" s="451">
        <v>0</v>
      </c>
      <c r="BK54" s="451">
        <v>0</v>
      </c>
      <c r="BL54" s="451">
        <v>0</v>
      </c>
      <c r="BM54" s="451">
        <v>0</v>
      </c>
      <c r="BN54" s="451">
        <v>212</v>
      </c>
      <c r="BO54" s="451">
        <v>0</v>
      </c>
      <c r="BP54" s="451">
        <v>0</v>
      </c>
      <c r="BQ54" s="451">
        <v>212</v>
      </c>
      <c r="BR54" s="451">
        <v>276992</v>
      </c>
      <c r="BS54" s="451">
        <v>0</v>
      </c>
      <c r="BT54" s="451">
        <v>0</v>
      </c>
      <c r="BU54" s="451">
        <v>276992</v>
      </c>
      <c r="BV54" s="451">
        <v>-32842</v>
      </c>
      <c r="BW54" s="451">
        <v>0</v>
      </c>
      <c r="BX54" s="451">
        <v>0</v>
      </c>
      <c r="BY54" s="451">
        <v>-32842</v>
      </c>
      <c r="BZ54" s="451">
        <v>57538</v>
      </c>
      <c r="CA54" s="451">
        <v>0</v>
      </c>
      <c r="CB54" s="451">
        <v>0</v>
      </c>
      <c r="CC54" s="451">
        <v>57538</v>
      </c>
      <c r="CD54" s="451">
        <v>1162</v>
      </c>
      <c r="CE54" s="451">
        <v>0</v>
      </c>
      <c r="CF54" s="451">
        <v>0</v>
      </c>
      <c r="CG54" s="451">
        <v>1162</v>
      </c>
      <c r="CH54" s="451">
        <v>35061</v>
      </c>
      <c r="CI54" s="451">
        <v>0</v>
      </c>
      <c r="CJ54" s="451">
        <v>0</v>
      </c>
      <c r="CK54" s="451">
        <v>35061</v>
      </c>
      <c r="CL54" s="451">
        <v>0</v>
      </c>
      <c r="CM54" s="451">
        <v>0</v>
      </c>
      <c r="CN54" s="451">
        <v>0</v>
      </c>
      <c r="CO54" s="451">
        <v>0</v>
      </c>
      <c r="CP54" s="451">
        <v>2233</v>
      </c>
      <c r="CQ54" s="451">
        <v>0</v>
      </c>
      <c r="CR54" s="451">
        <v>0</v>
      </c>
      <c r="CS54" s="451">
        <v>2233</v>
      </c>
      <c r="CT54" s="451">
        <v>0</v>
      </c>
      <c r="CU54" s="451">
        <v>0</v>
      </c>
      <c r="CV54" s="451">
        <v>0</v>
      </c>
      <c r="CW54" s="451">
        <v>0</v>
      </c>
      <c r="CX54" s="451">
        <v>0</v>
      </c>
      <c r="CY54" s="451">
        <v>0</v>
      </c>
      <c r="CZ54" s="451">
        <v>0</v>
      </c>
      <c r="DA54" s="451">
        <v>0</v>
      </c>
      <c r="DB54" s="451">
        <v>0</v>
      </c>
      <c r="DC54" s="451">
        <v>0</v>
      </c>
      <c r="DD54" s="451">
        <v>0</v>
      </c>
      <c r="DE54" s="451">
        <v>0</v>
      </c>
      <c r="DF54" s="451">
        <v>0</v>
      </c>
      <c r="DG54" s="451">
        <v>0</v>
      </c>
      <c r="DH54" s="451">
        <v>0</v>
      </c>
      <c r="DI54" s="451">
        <v>0</v>
      </c>
      <c r="DJ54" s="451">
        <v>0</v>
      </c>
      <c r="DK54" s="451">
        <v>0</v>
      </c>
      <c r="DL54" s="451">
        <v>0</v>
      </c>
      <c r="DM54" s="451">
        <v>0</v>
      </c>
      <c r="DN54" s="451">
        <v>0</v>
      </c>
      <c r="DO54" s="451">
        <v>0</v>
      </c>
      <c r="DP54" s="451">
        <v>0</v>
      </c>
      <c r="DQ54" s="451">
        <v>0</v>
      </c>
      <c r="DR54" s="451">
        <v>0</v>
      </c>
      <c r="DS54" s="451">
        <v>0</v>
      </c>
      <c r="DT54" s="451">
        <v>0</v>
      </c>
      <c r="DU54" s="451">
        <v>0</v>
      </c>
      <c r="DV54" s="451">
        <v>0</v>
      </c>
      <c r="DW54" s="451">
        <v>0</v>
      </c>
      <c r="DX54" s="451">
        <v>0</v>
      </c>
      <c r="DY54" s="451">
        <v>0</v>
      </c>
      <c r="DZ54" s="451">
        <v>0</v>
      </c>
      <c r="EA54" s="451">
        <v>0</v>
      </c>
      <c r="EB54" s="451">
        <v>0</v>
      </c>
      <c r="EC54" s="451">
        <v>0</v>
      </c>
      <c r="ED54" s="451">
        <v>0</v>
      </c>
      <c r="EE54" s="451">
        <v>0</v>
      </c>
      <c r="EF54" s="451">
        <v>0</v>
      </c>
      <c r="EG54" s="451">
        <v>0</v>
      </c>
      <c r="EH54" s="451">
        <v>0</v>
      </c>
      <c r="EI54" s="451">
        <v>0</v>
      </c>
      <c r="EJ54" s="451">
        <v>0</v>
      </c>
      <c r="EK54" s="451">
        <v>0</v>
      </c>
      <c r="EL54" s="451">
        <v>0</v>
      </c>
      <c r="EM54" s="451">
        <v>0</v>
      </c>
    </row>
    <row r="55" spans="1:143" ht="12.75" x14ac:dyDescent="0.2">
      <c r="A55" s="446">
        <v>49</v>
      </c>
      <c r="B55" s="447" t="s">
        <v>679</v>
      </c>
      <c r="C55" s="448" t="s">
        <v>794</v>
      </c>
      <c r="D55" s="449" t="s">
        <v>1097</v>
      </c>
      <c r="E55" s="450" t="s">
        <v>678</v>
      </c>
      <c r="F55" s="451">
        <v>396763.81</v>
      </c>
      <c r="G55" s="451">
        <v>0</v>
      </c>
      <c r="H55" s="451">
        <v>0</v>
      </c>
      <c r="I55" s="451">
        <v>396763.81</v>
      </c>
      <c r="J55" s="451">
        <v>-103449.03</v>
      </c>
      <c r="K55" s="451">
        <v>0</v>
      </c>
      <c r="L55" s="451">
        <v>0</v>
      </c>
      <c r="M55" s="451">
        <v>-103449.03</v>
      </c>
      <c r="N55" s="451">
        <v>74667.7</v>
      </c>
      <c r="O55" s="451">
        <v>0</v>
      </c>
      <c r="P55" s="451">
        <v>0</v>
      </c>
      <c r="Q55" s="451">
        <v>74667.7</v>
      </c>
      <c r="R55" s="451">
        <v>24608.34</v>
      </c>
      <c r="S55" s="451">
        <v>0</v>
      </c>
      <c r="T55" s="451">
        <v>0</v>
      </c>
      <c r="U55" s="451">
        <v>24608.34</v>
      </c>
      <c r="V55" s="451">
        <v>4158017</v>
      </c>
      <c r="W55" s="451">
        <v>0</v>
      </c>
      <c r="X55" s="451">
        <v>0</v>
      </c>
      <c r="Y55" s="451">
        <v>4158017</v>
      </c>
      <c r="Z55" s="451">
        <v>198487.85</v>
      </c>
      <c r="AA55" s="451">
        <v>0</v>
      </c>
      <c r="AB55" s="451">
        <v>0</v>
      </c>
      <c r="AC55" s="451">
        <v>198487.85</v>
      </c>
      <c r="AD55" s="451">
        <v>1495240.9</v>
      </c>
      <c r="AE55" s="451">
        <v>0</v>
      </c>
      <c r="AF55" s="451">
        <v>0</v>
      </c>
      <c r="AG55" s="451">
        <v>1495240.9</v>
      </c>
      <c r="AH55" s="451">
        <v>-19665.29</v>
      </c>
      <c r="AI55" s="451">
        <v>0</v>
      </c>
      <c r="AJ55" s="451">
        <v>0</v>
      </c>
      <c r="AK55" s="451">
        <v>-19665.29</v>
      </c>
      <c r="AL55" s="451">
        <v>5767228.0899999999</v>
      </c>
      <c r="AM55" s="451">
        <v>0</v>
      </c>
      <c r="AN55" s="451">
        <v>0</v>
      </c>
      <c r="AO55" s="451">
        <v>5767228.0899999999</v>
      </c>
      <c r="AP55" s="451">
        <v>140213</v>
      </c>
      <c r="AQ55" s="451">
        <v>0</v>
      </c>
      <c r="AR55" s="451">
        <v>0</v>
      </c>
      <c r="AS55" s="451">
        <v>140213</v>
      </c>
      <c r="AT55" s="451">
        <v>109328.52</v>
      </c>
      <c r="AU55" s="451">
        <v>0</v>
      </c>
      <c r="AV55" s="451">
        <v>0</v>
      </c>
      <c r="AW55" s="451">
        <v>109328.52</v>
      </c>
      <c r="AX55" s="451">
        <v>0</v>
      </c>
      <c r="AY55" s="451">
        <v>0</v>
      </c>
      <c r="AZ55" s="451">
        <v>0</v>
      </c>
      <c r="BA55" s="451">
        <v>0</v>
      </c>
      <c r="BB55" s="451">
        <v>48907.6</v>
      </c>
      <c r="BC55" s="451">
        <v>0</v>
      </c>
      <c r="BD55" s="451">
        <v>0</v>
      </c>
      <c r="BE55" s="451">
        <v>48907.6</v>
      </c>
      <c r="BF55" s="451">
        <v>0</v>
      </c>
      <c r="BG55" s="451">
        <v>0</v>
      </c>
      <c r="BH55" s="451">
        <v>0</v>
      </c>
      <c r="BI55" s="451">
        <v>0</v>
      </c>
      <c r="BJ55" s="451">
        <v>384031.1</v>
      </c>
      <c r="BK55" s="451">
        <v>0</v>
      </c>
      <c r="BL55" s="451">
        <v>0</v>
      </c>
      <c r="BM55" s="451">
        <v>384031.1</v>
      </c>
      <c r="BN55" s="451">
        <v>-16845.61</v>
      </c>
      <c r="BO55" s="451">
        <v>0</v>
      </c>
      <c r="BP55" s="451">
        <v>0</v>
      </c>
      <c r="BQ55" s="451">
        <v>-16845.61</v>
      </c>
      <c r="BR55" s="451">
        <v>3199649.48</v>
      </c>
      <c r="BS55" s="451">
        <v>0</v>
      </c>
      <c r="BT55" s="451">
        <v>0</v>
      </c>
      <c r="BU55" s="451">
        <v>3199649.48</v>
      </c>
      <c r="BV55" s="451">
        <v>122048.11</v>
      </c>
      <c r="BW55" s="451">
        <v>0</v>
      </c>
      <c r="BX55" s="451">
        <v>0</v>
      </c>
      <c r="BY55" s="451">
        <v>122048.11</v>
      </c>
      <c r="BZ55" s="451">
        <v>325435.52000000002</v>
      </c>
      <c r="CA55" s="451">
        <v>0</v>
      </c>
      <c r="CB55" s="451">
        <v>0</v>
      </c>
      <c r="CC55" s="451">
        <v>325435.52000000002</v>
      </c>
      <c r="CD55" s="451">
        <v>434.14</v>
      </c>
      <c r="CE55" s="451">
        <v>0</v>
      </c>
      <c r="CF55" s="451">
        <v>0</v>
      </c>
      <c r="CG55" s="451">
        <v>434.14</v>
      </c>
      <c r="CH55" s="451">
        <v>236377.44</v>
      </c>
      <c r="CI55" s="451">
        <v>0</v>
      </c>
      <c r="CJ55" s="451">
        <v>0</v>
      </c>
      <c r="CK55" s="451">
        <v>236377.44</v>
      </c>
      <c r="CL55" s="451">
        <v>22562.03</v>
      </c>
      <c r="CM55" s="451">
        <v>0</v>
      </c>
      <c r="CN55" s="451">
        <v>0</v>
      </c>
      <c r="CO55" s="451">
        <v>22562.03</v>
      </c>
      <c r="CP55" s="451">
        <v>0</v>
      </c>
      <c r="CQ55" s="451">
        <v>0</v>
      </c>
      <c r="CR55" s="451">
        <v>0</v>
      </c>
      <c r="CS55" s="451">
        <v>0</v>
      </c>
      <c r="CT55" s="451">
        <v>0</v>
      </c>
      <c r="CU55" s="451">
        <v>0</v>
      </c>
      <c r="CV55" s="451">
        <v>0</v>
      </c>
      <c r="CW55" s="451">
        <v>0</v>
      </c>
      <c r="CX55" s="451">
        <v>29658.69</v>
      </c>
      <c r="CY55" s="451">
        <v>0</v>
      </c>
      <c r="CZ55" s="451">
        <v>0</v>
      </c>
      <c r="DA55" s="451">
        <v>29658.69</v>
      </c>
      <c r="DB55" s="451">
        <v>0</v>
      </c>
      <c r="DC55" s="451">
        <v>0</v>
      </c>
      <c r="DD55" s="451">
        <v>0</v>
      </c>
      <c r="DE55" s="451">
        <v>0</v>
      </c>
      <c r="DF55" s="451">
        <v>12936</v>
      </c>
      <c r="DG55" s="451">
        <v>0</v>
      </c>
      <c r="DH55" s="451">
        <v>0</v>
      </c>
      <c r="DI55" s="451">
        <v>12936</v>
      </c>
      <c r="DJ55" s="451">
        <v>0</v>
      </c>
      <c r="DK55" s="451">
        <v>0</v>
      </c>
      <c r="DL55" s="451">
        <v>0</v>
      </c>
      <c r="DM55" s="451">
        <v>0</v>
      </c>
      <c r="DN55" s="451">
        <v>0</v>
      </c>
      <c r="DO55" s="451">
        <v>0</v>
      </c>
      <c r="DP55" s="451">
        <v>0</v>
      </c>
      <c r="DQ55" s="451">
        <v>0</v>
      </c>
      <c r="DR55" s="451">
        <v>0</v>
      </c>
      <c r="DS55" s="451">
        <v>0</v>
      </c>
      <c r="DT55" s="451">
        <v>0</v>
      </c>
      <c r="DU55" s="451">
        <v>0</v>
      </c>
      <c r="DV55" s="451">
        <v>0</v>
      </c>
      <c r="DW55" s="451">
        <v>0</v>
      </c>
      <c r="DX55" s="451">
        <v>0</v>
      </c>
      <c r="DY55" s="451">
        <v>0</v>
      </c>
      <c r="DZ55" s="451">
        <v>0</v>
      </c>
      <c r="EA55" s="451">
        <v>0</v>
      </c>
      <c r="EB55" s="451">
        <v>0</v>
      </c>
      <c r="EC55" s="451">
        <v>0</v>
      </c>
      <c r="ED55" s="451">
        <v>0</v>
      </c>
      <c r="EE55" s="451">
        <v>0</v>
      </c>
      <c r="EF55" s="451">
        <v>0</v>
      </c>
      <c r="EG55" s="451">
        <v>0</v>
      </c>
      <c r="EH55" s="451">
        <v>0</v>
      </c>
      <c r="EI55" s="451">
        <v>0</v>
      </c>
      <c r="EJ55" s="451">
        <v>2465.4299999999998</v>
      </c>
      <c r="EK55" s="451">
        <v>0</v>
      </c>
      <c r="EL55" s="451">
        <v>0</v>
      </c>
      <c r="EM55" s="451">
        <v>2465.4299999999998</v>
      </c>
    </row>
    <row r="56" spans="1:143" ht="12.75" x14ac:dyDescent="0.2">
      <c r="A56" s="446">
        <v>50</v>
      </c>
      <c r="B56" s="447" t="s">
        <v>681</v>
      </c>
      <c r="C56" s="448" t="s">
        <v>1093</v>
      </c>
      <c r="D56" s="449" t="s">
        <v>1096</v>
      </c>
      <c r="E56" s="450" t="s">
        <v>680</v>
      </c>
      <c r="F56" s="451">
        <v>90503</v>
      </c>
      <c r="G56" s="451">
        <v>0</v>
      </c>
      <c r="H56" s="451">
        <v>0</v>
      </c>
      <c r="I56" s="451">
        <v>90503</v>
      </c>
      <c r="J56" s="451">
        <v>-22668</v>
      </c>
      <c r="K56" s="451">
        <v>0</v>
      </c>
      <c r="L56" s="451">
        <v>0</v>
      </c>
      <c r="M56" s="451">
        <v>-22668</v>
      </c>
      <c r="N56" s="451">
        <v>27190</v>
      </c>
      <c r="O56" s="451">
        <v>0</v>
      </c>
      <c r="P56" s="451">
        <v>0</v>
      </c>
      <c r="Q56" s="451">
        <v>27190</v>
      </c>
      <c r="R56" s="451">
        <v>32329</v>
      </c>
      <c r="S56" s="451">
        <v>0</v>
      </c>
      <c r="T56" s="451">
        <v>0</v>
      </c>
      <c r="U56" s="451">
        <v>32329</v>
      </c>
      <c r="V56" s="451">
        <v>2941617</v>
      </c>
      <c r="W56" s="451">
        <v>0</v>
      </c>
      <c r="X56" s="451">
        <v>0</v>
      </c>
      <c r="Y56" s="451">
        <v>2941617</v>
      </c>
      <c r="Z56" s="451">
        <v>73504</v>
      </c>
      <c r="AA56" s="451">
        <v>0</v>
      </c>
      <c r="AB56" s="451">
        <v>0</v>
      </c>
      <c r="AC56" s="451">
        <v>73504</v>
      </c>
      <c r="AD56" s="451">
        <v>854087</v>
      </c>
      <c r="AE56" s="451">
        <v>0</v>
      </c>
      <c r="AF56" s="451">
        <v>0</v>
      </c>
      <c r="AG56" s="451">
        <v>854087</v>
      </c>
      <c r="AH56" s="451">
        <v>-24083</v>
      </c>
      <c r="AI56" s="451">
        <v>0</v>
      </c>
      <c r="AJ56" s="451">
        <v>0</v>
      </c>
      <c r="AK56" s="451">
        <v>-24083</v>
      </c>
      <c r="AL56" s="451">
        <v>5208799</v>
      </c>
      <c r="AM56" s="451">
        <v>0</v>
      </c>
      <c r="AN56" s="451">
        <v>0</v>
      </c>
      <c r="AO56" s="451">
        <v>5208799</v>
      </c>
      <c r="AP56" s="451">
        <v>6917</v>
      </c>
      <c r="AQ56" s="451">
        <v>0</v>
      </c>
      <c r="AR56" s="451">
        <v>0</v>
      </c>
      <c r="AS56" s="451">
        <v>6917</v>
      </c>
      <c r="AT56" s="451">
        <v>14369</v>
      </c>
      <c r="AU56" s="451">
        <v>0</v>
      </c>
      <c r="AV56" s="451">
        <v>0</v>
      </c>
      <c r="AW56" s="451">
        <v>14369</v>
      </c>
      <c r="AX56" s="451">
        <v>-658</v>
      </c>
      <c r="AY56" s="451">
        <v>0</v>
      </c>
      <c r="AZ56" s="451">
        <v>0</v>
      </c>
      <c r="BA56" s="451">
        <v>-658</v>
      </c>
      <c r="BB56" s="451">
        <v>1309</v>
      </c>
      <c r="BC56" s="451">
        <v>0</v>
      </c>
      <c r="BD56" s="451">
        <v>0</v>
      </c>
      <c r="BE56" s="451">
        <v>1309</v>
      </c>
      <c r="BF56" s="451">
        <v>0</v>
      </c>
      <c r="BG56" s="451">
        <v>0</v>
      </c>
      <c r="BH56" s="451">
        <v>0</v>
      </c>
      <c r="BI56" s="451">
        <v>0</v>
      </c>
      <c r="BJ56" s="451">
        <v>57727</v>
      </c>
      <c r="BK56" s="451">
        <v>0</v>
      </c>
      <c r="BL56" s="451">
        <v>0</v>
      </c>
      <c r="BM56" s="451">
        <v>57727</v>
      </c>
      <c r="BN56" s="451">
        <v>-782610</v>
      </c>
      <c r="BO56" s="451">
        <v>0</v>
      </c>
      <c r="BP56" s="451">
        <v>0</v>
      </c>
      <c r="BQ56" s="451">
        <v>-782610</v>
      </c>
      <c r="BR56" s="451">
        <v>1609517</v>
      </c>
      <c r="BS56" s="451">
        <v>0</v>
      </c>
      <c r="BT56" s="451">
        <v>0</v>
      </c>
      <c r="BU56" s="451">
        <v>1609517</v>
      </c>
      <c r="BV56" s="451">
        <v>60335</v>
      </c>
      <c r="BW56" s="451">
        <v>0</v>
      </c>
      <c r="BX56" s="451">
        <v>0</v>
      </c>
      <c r="BY56" s="451">
        <v>60335</v>
      </c>
      <c r="BZ56" s="451">
        <v>63008</v>
      </c>
      <c r="CA56" s="451">
        <v>0</v>
      </c>
      <c r="CB56" s="451">
        <v>0</v>
      </c>
      <c r="CC56" s="451">
        <v>63008</v>
      </c>
      <c r="CD56" s="451">
        <v>-22</v>
      </c>
      <c r="CE56" s="451">
        <v>0</v>
      </c>
      <c r="CF56" s="451">
        <v>0</v>
      </c>
      <c r="CG56" s="451">
        <v>-22</v>
      </c>
      <c r="CH56" s="451">
        <v>175516</v>
      </c>
      <c r="CI56" s="451">
        <v>0</v>
      </c>
      <c r="CJ56" s="451">
        <v>0</v>
      </c>
      <c r="CK56" s="451">
        <v>175516</v>
      </c>
      <c r="CL56" s="451">
        <v>0</v>
      </c>
      <c r="CM56" s="451">
        <v>0</v>
      </c>
      <c r="CN56" s="451">
        <v>0</v>
      </c>
      <c r="CO56" s="451">
        <v>0</v>
      </c>
      <c r="CP56" s="451">
        <v>403</v>
      </c>
      <c r="CQ56" s="451">
        <v>0</v>
      </c>
      <c r="CR56" s="451">
        <v>0</v>
      </c>
      <c r="CS56" s="451">
        <v>403</v>
      </c>
      <c r="CT56" s="451">
        <v>0</v>
      </c>
      <c r="CU56" s="451">
        <v>0</v>
      </c>
      <c r="CV56" s="451">
        <v>0</v>
      </c>
      <c r="CW56" s="451">
        <v>0</v>
      </c>
      <c r="CX56" s="451">
        <v>399</v>
      </c>
      <c r="CY56" s="451">
        <v>0</v>
      </c>
      <c r="CZ56" s="451">
        <v>0</v>
      </c>
      <c r="DA56" s="451">
        <v>399</v>
      </c>
      <c r="DB56" s="451">
        <v>0</v>
      </c>
      <c r="DC56" s="451">
        <v>0</v>
      </c>
      <c r="DD56" s="451">
        <v>0</v>
      </c>
      <c r="DE56" s="451">
        <v>0</v>
      </c>
      <c r="DF56" s="451">
        <v>0</v>
      </c>
      <c r="DG56" s="451">
        <v>0</v>
      </c>
      <c r="DH56" s="451">
        <v>0</v>
      </c>
      <c r="DI56" s="451">
        <v>0</v>
      </c>
      <c r="DJ56" s="451">
        <v>0</v>
      </c>
      <c r="DK56" s="451">
        <v>0</v>
      </c>
      <c r="DL56" s="451">
        <v>0</v>
      </c>
      <c r="DM56" s="451">
        <v>0</v>
      </c>
      <c r="DN56" s="451">
        <v>12125</v>
      </c>
      <c r="DO56" s="451">
        <v>0</v>
      </c>
      <c r="DP56" s="451">
        <v>0</v>
      </c>
      <c r="DQ56" s="451">
        <v>12125</v>
      </c>
      <c r="DR56" s="451">
        <v>0</v>
      </c>
      <c r="DS56" s="451">
        <v>0</v>
      </c>
      <c r="DT56" s="451">
        <v>0</v>
      </c>
      <c r="DU56" s="451">
        <v>0</v>
      </c>
      <c r="DV56" s="451">
        <v>0</v>
      </c>
      <c r="DW56" s="451">
        <v>0</v>
      </c>
      <c r="DX56" s="451">
        <v>0</v>
      </c>
      <c r="DY56" s="451">
        <v>0</v>
      </c>
      <c r="DZ56" s="451">
        <v>0</v>
      </c>
      <c r="EA56" s="451">
        <v>0</v>
      </c>
      <c r="EB56" s="451">
        <v>0</v>
      </c>
      <c r="EC56" s="451">
        <v>0</v>
      </c>
      <c r="ED56" s="451">
        <v>0</v>
      </c>
      <c r="EE56" s="451">
        <v>0</v>
      </c>
      <c r="EF56" s="451">
        <v>0</v>
      </c>
      <c r="EG56" s="451">
        <v>0</v>
      </c>
      <c r="EH56" s="451">
        <v>0</v>
      </c>
      <c r="EI56" s="451">
        <v>0</v>
      </c>
      <c r="EJ56" s="451">
        <v>0</v>
      </c>
      <c r="EK56" s="451">
        <v>0</v>
      </c>
      <c r="EL56" s="451">
        <v>0</v>
      </c>
      <c r="EM56" s="451">
        <v>0</v>
      </c>
    </row>
    <row r="57" spans="1:143" ht="12.75" x14ac:dyDescent="0.2">
      <c r="A57" s="446">
        <v>51</v>
      </c>
      <c r="B57" s="447" t="s">
        <v>683</v>
      </c>
      <c r="C57" s="448" t="s">
        <v>1093</v>
      </c>
      <c r="D57" s="449" t="s">
        <v>1097</v>
      </c>
      <c r="E57" s="450" t="s">
        <v>682</v>
      </c>
      <c r="F57" s="451">
        <v>165348.99</v>
      </c>
      <c r="G57" s="451">
        <v>0</v>
      </c>
      <c r="H57" s="451">
        <v>0</v>
      </c>
      <c r="I57" s="451">
        <v>165348.99</v>
      </c>
      <c r="J57" s="451">
        <v>-229551.02</v>
      </c>
      <c r="K57" s="451">
        <v>0</v>
      </c>
      <c r="L57" s="451">
        <v>0</v>
      </c>
      <c r="M57" s="451">
        <v>-229551.02</v>
      </c>
      <c r="N57" s="451">
        <v>69563.320000000007</v>
      </c>
      <c r="O57" s="451">
        <v>0</v>
      </c>
      <c r="P57" s="451">
        <v>0</v>
      </c>
      <c r="Q57" s="451">
        <v>69563.320000000007</v>
      </c>
      <c r="R57" s="451">
        <v>100148.25</v>
      </c>
      <c r="S57" s="451">
        <v>0</v>
      </c>
      <c r="T57" s="451">
        <v>0</v>
      </c>
      <c r="U57" s="451">
        <v>100148.25</v>
      </c>
      <c r="V57" s="451">
        <v>2325502.04</v>
      </c>
      <c r="W57" s="451">
        <v>0</v>
      </c>
      <c r="X57" s="451">
        <v>0</v>
      </c>
      <c r="Y57" s="451">
        <v>2325502.04</v>
      </c>
      <c r="Z57" s="451">
        <v>112119.48</v>
      </c>
      <c r="AA57" s="451">
        <v>0</v>
      </c>
      <c r="AB57" s="451">
        <v>0</v>
      </c>
      <c r="AC57" s="451">
        <v>112119.48</v>
      </c>
      <c r="AD57" s="451">
        <v>1517005.86</v>
      </c>
      <c r="AE57" s="451">
        <v>0</v>
      </c>
      <c r="AF57" s="451">
        <v>0</v>
      </c>
      <c r="AG57" s="451">
        <v>1517005.86</v>
      </c>
      <c r="AH57" s="451">
        <v>-30675.83</v>
      </c>
      <c r="AI57" s="451">
        <v>0</v>
      </c>
      <c r="AJ57" s="451">
        <v>0</v>
      </c>
      <c r="AK57" s="451">
        <v>-30675.83</v>
      </c>
      <c r="AL57" s="451">
        <v>4291931.26</v>
      </c>
      <c r="AM57" s="451">
        <v>0</v>
      </c>
      <c r="AN57" s="451">
        <v>0</v>
      </c>
      <c r="AO57" s="451">
        <v>4291931.26</v>
      </c>
      <c r="AP57" s="451">
        <v>2602.9299999999998</v>
      </c>
      <c r="AQ57" s="451">
        <v>0</v>
      </c>
      <c r="AR57" s="451">
        <v>0</v>
      </c>
      <c r="AS57" s="451">
        <v>2602.9299999999998</v>
      </c>
      <c r="AT57" s="451">
        <v>31745.4</v>
      </c>
      <c r="AU57" s="451">
        <v>0</v>
      </c>
      <c r="AV57" s="451">
        <v>0</v>
      </c>
      <c r="AW57" s="451">
        <v>31745.4</v>
      </c>
      <c r="AX57" s="451">
        <v>0</v>
      </c>
      <c r="AY57" s="451">
        <v>0</v>
      </c>
      <c r="AZ57" s="451">
        <v>0</v>
      </c>
      <c r="BA57" s="451">
        <v>0</v>
      </c>
      <c r="BB57" s="451">
        <v>8083.16</v>
      </c>
      <c r="BC57" s="451">
        <v>0</v>
      </c>
      <c r="BD57" s="451">
        <v>0</v>
      </c>
      <c r="BE57" s="451">
        <v>8083.16</v>
      </c>
      <c r="BF57" s="451">
        <v>0</v>
      </c>
      <c r="BG57" s="451">
        <v>0</v>
      </c>
      <c r="BH57" s="451">
        <v>0</v>
      </c>
      <c r="BI57" s="451">
        <v>0</v>
      </c>
      <c r="BJ57" s="451">
        <v>10849.13</v>
      </c>
      <c r="BK57" s="451">
        <v>0</v>
      </c>
      <c r="BL57" s="451">
        <v>0</v>
      </c>
      <c r="BM57" s="451">
        <v>10849.13</v>
      </c>
      <c r="BN57" s="451">
        <v>102.08</v>
      </c>
      <c r="BO57" s="451">
        <v>0</v>
      </c>
      <c r="BP57" s="451">
        <v>0</v>
      </c>
      <c r="BQ57" s="451">
        <v>102.08</v>
      </c>
      <c r="BR57" s="451">
        <v>3207264.2</v>
      </c>
      <c r="BS57" s="451">
        <v>0</v>
      </c>
      <c r="BT57" s="451">
        <v>0</v>
      </c>
      <c r="BU57" s="451">
        <v>3207264.2</v>
      </c>
      <c r="BV57" s="451">
        <v>176338.66</v>
      </c>
      <c r="BW57" s="451">
        <v>0</v>
      </c>
      <c r="BX57" s="451">
        <v>0</v>
      </c>
      <c r="BY57" s="451">
        <v>176338.66</v>
      </c>
      <c r="BZ57" s="451">
        <v>7353.22</v>
      </c>
      <c r="CA57" s="451">
        <v>0</v>
      </c>
      <c r="CB57" s="451">
        <v>0</v>
      </c>
      <c r="CC57" s="451">
        <v>7353.22</v>
      </c>
      <c r="CD57" s="451">
        <v>665.04</v>
      </c>
      <c r="CE57" s="451">
        <v>0</v>
      </c>
      <c r="CF57" s="451">
        <v>0</v>
      </c>
      <c r="CG57" s="451">
        <v>665.04</v>
      </c>
      <c r="CH57" s="451">
        <v>100922.73</v>
      </c>
      <c r="CI57" s="451">
        <v>0</v>
      </c>
      <c r="CJ57" s="451">
        <v>0</v>
      </c>
      <c r="CK57" s="451">
        <v>100922.73</v>
      </c>
      <c r="CL57" s="451">
        <v>0</v>
      </c>
      <c r="CM57" s="451">
        <v>0</v>
      </c>
      <c r="CN57" s="451">
        <v>0</v>
      </c>
      <c r="CO57" s="451">
        <v>0</v>
      </c>
      <c r="CP57" s="451">
        <v>0</v>
      </c>
      <c r="CQ57" s="451">
        <v>0</v>
      </c>
      <c r="CR57" s="451">
        <v>0</v>
      </c>
      <c r="CS57" s="451">
        <v>0</v>
      </c>
      <c r="CT57" s="451">
        <v>0</v>
      </c>
      <c r="CU57" s="451">
        <v>0</v>
      </c>
      <c r="CV57" s="451">
        <v>0</v>
      </c>
      <c r="CW57" s="451">
        <v>0</v>
      </c>
      <c r="CX57" s="451">
        <v>1504.84</v>
      </c>
      <c r="CY57" s="451">
        <v>0</v>
      </c>
      <c r="CZ57" s="451">
        <v>0</v>
      </c>
      <c r="DA57" s="451">
        <v>1504.84</v>
      </c>
      <c r="DB57" s="451">
        <v>0</v>
      </c>
      <c r="DC57" s="451">
        <v>0</v>
      </c>
      <c r="DD57" s="451">
        <v>0</v>
      </c>
      <c r="DE57" s="451">
        <v>0</v>
      </c>
      <c r="DF57" s="451">
        <v>7930.3</v>
      </c>
      <c r="DG57" s="451">
        <v>0</v>
      </c>
      <c r="DH57" s="451">
        <v>0</v>
      </c>
      <c r="DI57" s="451">
        <v>7930.3</v>
      </c>
      <c r="DJ57" s="451">
        <v>0</v>
      </c>
      <c r="DK57" s="451">
        <v>0</v>
      </c>
      <c r="DL57" s="451">
        <v>0</v>
      </c>
      <c r="DM57" s="451">
        <v>0</v>
      </c>
      <c r="DN57" s="451">
        <v>0</v>
      </c>
      <c r="DO57" s="451">
        <v>0</v>
      </c>
      <c r="DP57" s="451">
        <v>0</v>
      </c>
      <c r="DQ57" s="451">
        <v>0</v>
      </c>
      <c r="DR57" s="451">
        <v>0</v>
      </c>
      <c r="DS57" s="451">
        <v>0</v>
      </c>
      <c r="DT57" s="451">
        <v>0</v>
      </c>
      <c r="DU57" s="451">
        <v>0</v>
      </c>
      <c r="DV57" s="451">
        <v>0</v>
      </c>
      <c r="DW57" s="451">
        <v>0</v>
      </c>
      <c r="DX57" s="451">
        <v>0</v>
      </c>
      <c r="DY57" s="451">
        <v>0</v>
      </c>
      <c r="DZ57" s="451">
        <v>0</v>
      </c>
      <c r="EA57" s="451">
        <v>0</v>
      </c>
      <c r="EB57" s="451">
        <v>0</v>
      </c>
      <c r="EC57" s="451">
        <v>0</v>
      </c>
      <c r="ED57" s="451">
        <v>0</v>
      </c>
      <c r="EE57" s="451">
        <v>0</v>
      </c>
      <c r="EF57" s="451">
        <v>0</v>
      </c>
      <c r="EG57" s="451">
        <v>0</v>
      </c>
      <c r="EH57" s="451">
        <v>0</v>
      </c>
      <c r="EI57" s="451">
        <v>0</v>
      </c>
      <c r="EJ57" s="451">
        <v>-7443.09</v>
      </c>
      <c r="EK57" s="451">
        <v>0</v>
      </c>
      <c r="EL57" s="451">
        <v>0</v>
      </c>
      <c r="EM57" s="451">
        <v>-7443.09</v>
      </c>
    </row>
    <row r="58" spans="1:143" ht="12.75" x14ac:dyDescent="0.2">
      <c r="A58" s="446">
        <v>52</v>
      </c>
      <c r="B58" s="447" t="s">
        <v>685</v>
      </c>
      <c r="C58" s="448" t="s">
        <v>1093</v>
      </c>
      <c r="D58" s="449" t="s">
        <v>1102</v>
      </c>
      <c r="E58" s="450" t="s">
        <v>684</v>
      </c>
      <c r="F58" s="451">
        <v>45700</v>
      </c>
      <c r="G58" s="451">
        <v>0</v>
      </c>
      <c r="H58" s="451">
        <v>0</v>
      </c>
      <c r="I58" s="451">
        <v>45700</v>
      </c>
      <c r="J58" s="451">
        <v>-130487</v>
      </c>
      <c r="K58" s="451">
        <v>0</v>
      </c>
      <c r="L58" s="451">
        <v>0</v>
      </c>
      <c r="M58" s="451">
        <v>-130487</v>
      </c>
      <c r="N58" s="451">
        <v>46559</v>
      </c>
      <c r="O58" s="451">
        <v>0</v>
      </c>
      <c r="P58" s="451">
        <v>0</v>
      </c>
      <c r="Q58" s="451">
        <v>46559</v>
      </c>
      <c r="R58" s="451">
        <v>12494</v>
      </c>
      <c r="S58" s="451">
        <v>0</v>
      </c>
      <c r="T58" s="451">
        <v>0</v>
      </c>
      <c r="U58" s="451">
        <v>12494</v>
      </c>
      <c r="V58" s="451">
        <v>2132035</v>
      </c>
      <c r="W58" s="451">
        <v>0</v>
      </c>
      <c r="X58" s="451">
        <v>0</v>
      </c>
      <c r="Y58" s="451">
        <v>2132035</v>
      </c>
      <c r="Z58" s="451">
        <v>60617</v>
      </c>
      <c r="AA58" s="451">
        <v>0</v>
      </c>
      <c r="AB58" s="451">
        <v>0</v>
      </c>
      <c r="AC58" s="451">
        <v>60617</v>
      </c>
      <c r="AD58" s="451">
        <v>1072740</v>
      </c>
      <c r="AE58" s="451">
        <v>0</v>
      </c>
      <c r="AF58" s="451">
        <v>0</v>
      </c>
      <c r="AG58" s="451">
        <v>1072740</v>
      </c>
      <c r="AH58" s="451">
        <v>-10174</v>
      </c>
      <c r="AI58" s="451">
        <v>0</v>
      </c>
      <c r="AJ58" s="451">
        <v>0</v>
      </c>
      <c r="AK58" s="451">
        <v>-10174</v>
      </c>
      <c r="AL58" s="451">
        <v>3497636</v>
      </c>
      <c r="AM58" s="451">
        <v>0</v>
      </c>
      <c r="AN58" s="451">
        <v>0</v>
      </c>
      <c r="AO58" s="451">
        <v>3497636</v>
      </c>
      <c r="AP58" s="451">
        <v>-43200</v>
      </c>
      <c r="AQ58" s="451">
        <v>0</v>
      </c>
      <c r="AR58" s="451">
        <v>0</v>
      </c>
      <c r="AS58" s="451">
        <v>-43200</v>
      </c>
      <c r="AT58" s="451">
        <v>26895</v>
      </c>
      <c r="AU58" s="451">
        <v>0</v>
      </c>
      <c r="AV58" s="451">
        <v>0</v>
      </c>
      <c r="AW58" s="451">
        <v>26895</v>
      </c>
      <c r="AX58" s="451">
        <v>0</v>
      </c>
      <c r="AY58" s="451">
        <v>0</v>
      </c>
      <c r="AZ58" s="451">
        <v>0</v>
      </c>
      <c r="BA58" s="451">
        <v>0</v>
      </c>
      <c r="BB58" s="451">
        <v>0</v>
      </c>
      <c r="BC58" s="451">
        <v>0</v>
      </c>
      <c r="BD58" s="451">
        <v>0</v>
      </c>
      <c r="BE58" s="451">
        <v>0</v>
      </c>
      <c r="BF58" s="451">
        <v>0</v>
      </c>
      <c r="BG58" s="451">
        <v>0</v>
      </c>
      <c r="BH58" s="451">
        <v>0</v>
      </c>
      <c r="BI58" s="451">
        <v>0</v>
      </c>
      <c r="BJ58" s="451">
        <v>24217</v>
      </c>
      <c r="BK58" s="451">
        <v>0</v>
      </c>
      <c r="BL58" s="451">
        <v>0</v>
      </c>
      <c r="BM58" s="451">
        <v>24217</v>
      </c>
      <c r="BN58" s="451">
        <v>11672</v>
      </c>
      <c r="BO58" s="451">
        <v>0</v>
      </c>
      <c r="BP58" s="451">
        <v>0</v>
      </c>
      <c r="BQ58" s="451">
        <v>11672</v>
      </c>
      <c r="BR58" s="451">
        <v>2443380</v>
      </c>
      <c r="BS58" s="451">
        <v>0</v>
      </c>
      <c r="BT58" s="451">
        <v>0</v>
      </c>
      <c r="BU58" s="451">
        <v>2443380</v>
      </c>
      <c r="BV58" s="451">
        <v>-204293</v>
      </c>
      <c r="BW58" s="451">
        <v>0</v>
      </c>
      <c r="BX58" s="451">
        <v>0</v>
      </c>
      <c r="BY58" s="451">
        <v>-204293</v>
      </c>
      <c r="BZ58" s="451">
        <v>14368</v>
      </c>
      <c r="CA58" s="451">
        <v>0</v>
      </c>
      <c r="CB58" s="451">
        <v>0</v>
      </c>
      <c r="CC58" s="451">
        <v>14368</v>
      </c>
      <c r="CD58" s="451">
        <v>-401</v>
      </c>
      <c r="CE58" s="451">
        <v>0</v>
      </c>
      <c r="CF58" s="451">
        <v>0</v>
      </c>
      <c r="CG58" s="451">
        <v>-401</v>
      </c>
      <c r="CH58" s="451">
        <v>14525</v>
      </c>
      <c r="CI58" s="451">
        <v>0</v>
      </c>
      <c r="CJ58" s="451">
        <v>0</v>
      </c>
      <c r="CK58" s="451">
        <v>14525</v>
      </c>
      <c r="CL58" s="451">
        <v>518</v>
      </c>
      <c r="CM58" s="451">
        <v>0</v>
      </c>
      <c r="CN58" s="451">
        <v>0</v>
      </c>
      <c r="CO58" s="451">
        <v>518</v>
      </c>
      <c r="CP58" s="451">
        <v>0</v>
      </c>
      <c r="CQ58" s="451">
        <v>0</v>
      </c>
      <c r="CR58" s="451">
        <v>0</v>
      </c>
      <c r="CS58" s="451">
        <v>0</v>
      </c>
      <c r="CT58" s="451">
        <v>0</v>
      </c>
      <c r="CU58" s="451">
        <v>0</v>
      </c>
      <c r="CV58" s="451">
        <v>0</v>
      </c>
      <c r="CW58" s="451">
        <v>0</v>
      </c>
      <c r="CX58" s="451">
        <v>0</v>
      </c>
      <c r="CY58" s="451">
        <v>0</v>
      </c>
      <c r="CZ58" s="451">
        <v>0</v>
      </c>
      <c r="DA58" s="451">
        <v>0</v>
      </c>
      <c r="DB58" s="451">
        <v>0</v>
      </c>
      <c r="DC58" s="451">
        <v>0</v>
      </c>
      <c r="DD58" s="451">
        <v>0</v>
      </c>
      <c r="DE58" s="451">
        <v>0</v>
      </c>
      <c r="DF58" s="451">
        <v>0</v>
      </c>
      <c r="DG58" s="451">
        <v>0</v>
      </c>
      <c r="DH58" s="451">
        <v>0</v>
      </c>
      <c r="DI58" s="451">
        <v>0</v>
      </c>
      <c r="DJ58" s="451">
        <v>0</v>
      </c>
      <c r="DK58" s="451">
        <v>0</v>
      </c>
      <c r="DL58" s="451">
        <v>0</v>
      </c>
      <c r="DM58" s="451">
        <v>0</v>
      </c>
      <c r="DN58" s="451">
        <v>0</v>
      </c>
      <c r="DO58" s="451">
        <v>0</v>
      </c>
      <c r="DP58" s="451">
        <v>0</v>
      </c>
      <c r="DQ58" s="451">
        <v>0</v>
      </c>
      <c r="DR58" s="451">
        <v>-28</v>
      </c>
      <c r="DS58" s="451">
        <v>0</v>
      </c>
      <c r="DT58" s="451">
        <v>0</v>
      </c>
      <c r="DU58" s="451">
        <v>-28</v>
      </c>
      <c r="DV58" s="451">
        <v>0</v>
      </c>
      <c r="DW58" s="451">
        <v>0</v>
      </c>
      <c r="DX58" s="451">
        <v>0</v>
      </c>
      <c r="DY58" s="451">
        <v>0</v>
      </c>
      <c r="DZ58" s="451">
        <v>0</v>
      </c>
      <c r="EA58" s="451">
        <v>0</v>
      </c>
      <c r="EB58" s="451">
        <v>0</v>
      </c>
      <c r="EC58" s="451">
        <v>0</v>
      </c>
      <c r="ED58" s="451">
        <v>0</v>
      </c>
      <c r="EE58" s="451">
        <v>0</v>
      </c>
      <c r="EF58" s="451">
        <v>0</v>
      </c>
      <c r="EG58" s="451">
        <v>0</v>
      </c>
      <c r="EH58" s="451">
        <v>0</v>
      </c>
      <c r="EI58" s="451">
        <v>0</v>
      </c>
      <c r="EJ58" s="451">
        <v>0</v>
      </c>
      <c r="EK58" s="451">
        <v>0</v>
      </c>
      <c r="EL58" s="451">
        <v>0</v>
      </c>
      <c r="EM58" s="451">
        <v>0</v>
      </c>
    </row>
    <row r="59" spans="1:143" ht="12.75" x14ac:dyDescent="0.2">
      <c r="A59" s="446">
        <v>53</v>
      </c>
      <c r="B59" s="447" t="s">
        <v>687</v>
      </c>
      <c r="C59" s="448" t="s">
        <v>1093</v>
      </c>
      <c r="D59" s="449" t="s">
        <v>1094</v>
      </c>
      <c r="E59" s="450" t="s">
        <v>686</v>
      </c>
      <c r="F59" s="451">
        <v>132299</v>
      </c>
      <c r="G59" s="451">
        <v>0</v>
      </c>
      <c r="H59" s="451">
        <v>0</v>
      </c>
      <c r="I59" s="451">
        <v>132299</v>
      </c>
      <c r="J59" s="451">
        <v>-353013</v>
      </c>
      <c r="K59" s="451">
        <v>0</v>
      </c>
      <c r="L59" s="451">
        <v>0</v>
      </c>
      <c r="M59" s="451">
        <v>-353013</v>
      </c>
      <c r="N59" s="451">
        <v>39609</v>
      </c>
      <c r="O59" s="451">
        <v>0</v>
      </c>
      <c r="P59" s="451">
        <v>0</v>
      </c>
      <c r="Q59" s="451">
        <v>39609</v>
      </c>
      <c r="R59" s="451">
        <v>161072</v>
      </c>
      <c r="S59" s="451">
        <v>0</v>
      </c>
      <c r="T59" s="451">
        <v>0</v>
      </c>
      <c r="U59" s="451">
        <v>161072</v>
      </c>
      <c r="V59" s="451">
        <v>1924365</v>
      </c>
      <c r="W59" s="451">
        <v>0</v>
      </c>
      <c r="X59" s="451">
        <v>0</v>
      </c>
      <c r="Y59" s="451">
        <v>1924365</v>
      </c>
      <c r="Z59" s="451">
        <v>283930</v>
      </c>
      <c r="AA59" s="451">
        <v>0</v>
      </c>
      <c r="AB59" s="451">
        <v>0</v>
      </c>
      <c r="AC59" s="451">
        <v>283930</v>
      </c>
      <c r="AD59" s="451">
        <v>1319736</v>
      </c>
      <c r="AE59" s="451">
        <v>0</v>
      </c>
      <c r="AF59" s="451">
        <v>0</v>
      </c>
      <c r="AG59" s="451">
        <v>1319736</v>
      </c>
      <c r="AH59" s="451">
        <v>25062</v>
      </c>
      <c r="AI59" s="451">
        <v>0</v>
      </c>
      <c r="AJ59" s="451">
        <v>0</v>
      </c>
      <c r="AK59" s="451">
        <v>25062</v>
      </c>
      <c r="AL59" s="451">
        <v>2361966</v>
      </c>
      <c r="AM59" s="451">
        <v>0</v>
      </c>
      <c r="AN59" s="451">
        <v>0</v>
      </c>
      <c r="AO59" s="451">
        <v>2361966</v>
      </c>
      <c r="AP59" s="451">
        <v>-32717</v>
      </c>
      <c r="AQ59" s="451">
        <v>0</v>
      </c>
      <c r="AR59" s="451">
        <v>0</v>
      </c>
      <c r="AS59" s="451">
        <v>-32717</v>
      </c>
      <c r="AT59" s="451">
        <v>50873</v>
      </c>
      <c r="AU59" s="451">
        <v>0</v>
      </c>
      <c r="AV59" s="451">
        <v>0</v>
      </c>
      <c r="AW59" s="451">
        <v>50873</v>
      </c>
      <c r="AX59" s="451">
        <v>0</v>
      </c>
      <c r="AY59" s="451">
        <v>0</v>
      </c>
      <c r="AZ59" s="451">
        <v>0</v>
      </c>
      <c r="BA59" s="451">
        <v>0</v>
      </c>
      <c r="BB59" s="451">
        <v>52919</v>
      </c>
      <c r="BC59" s="451">
        <v>0</v>
      </c>
      <c r="BD59" s="451">
        <v>0</v>
      </c>
      <c r="BE59" s="451">
        <v>52919</v>
      </c>
      <c r="BF59" s="451">
        <v>4735</v>
      </c>
      <c r="BG59" s="451">
        <v>0</v>
      </c>
      <c r="BH59" s="451">
        <v>0</v>
      </c>
      <c r="BI59" s="451">
        <v>4735</v>
      </c>
      <c r="BJ59" s="451">
        <v>245939</v>
      </c>
      <c r="BK59" s="451">
        <v>0</v>
      </c>
      <c r="BL59" s="451">
        <v>0</v>
      </c>
      <c r="BM59" s="451">
        <v>245939</v>
      </c>
      <c r="BN59" s="451">
        <v>42078</v>
      </c>
      <c r="BO59" s="451">
        <v>0</v>
      </c>
      <c r="BP59" s="451">
        <v>0</v>
      </c>
      <c r="BQ59" s="451">
        <v>42078</v>
      </c>
      <c r="BR59" s="451">
        <v>2480526</v>
      </c>
      <c r="BS59" s="451">
        <v>0</v>
      </c>
      <c r="BT59" s="451">
        <v>0</v>
      </c>
      <c r="BU59" s="451">
        <v>2480526</v>
      </c>
      <c r="BV59" s="451">
        <v>254633</v>
      </c>
      <c r="BW59" s="451">
        <v>0</v>
      </c>
      <c r="BX59" s="451">
        <v>0</v>
      </c>
      <c r="BY59" s="451">
        <v>254633</v>
      </c>
      <c r="BZ59" s="451">
        <v>59837</v>
      </c>
      <c r="CA59" s="451">
        <v>0</v>
      </c>
      <c r="CB59" s="451">
        <v>0</v>
      </c>
      <c r="CC59" s="451">
        <v>59837</v>
      </c>
      <c r="CD59" s="451">
        <v>-5368</v>
      </c>
      <c r="CE59" s="451">
        <v>0</v>
      </c>
      <c r="CF59" s="451">
        <v>0</v>
      </c>
      <c r="CG59" s="451">
        <v>-5368</v>
      </c>
      <c r="CH59" s="451">
        <v>309659</v>
      </c>
      <c r="CI59" s="451">
        <v>0</v>
      </c>
      <c r="CJ59" s="451">
        <v>0</v>
      </c>
      <c r="CK59" s="451">
        <v>309659</v>
      </c>
      <c r="CL59" s="451">
        <v>3410</v>
      </c>
      <c r="CM59" s="451">
        <v>0</v>
      </c>
      <c r="CN59" s="451">
        <v>0</v>
      </c>
      <c r="CO59" s="451">
        <v>3410</v>
      </c>
      <c r="CP59" s="451">
        <v>0</v>
      </c>
      <c r="CQ59" s="451">
        <v>0</v>
      </c>
      <c r="CR59" s="451">
        <v>0</v>
      </c>
      <c r="CS59" s="451">
        <v>0</v>
      </c>
      <c r="CT59" s="451">
        <v>0</v>
      </c>
      <c r="CU59" s="451">
        <v>0</v>
      </c>
      <c r="CV59" s="451">
        <v>0</v>
      </c>
      <c r="CW59" s="451">
        <v>0</v>
      </c>
      <c r="CX59" s="451">
        <v>45205</v>
      </c>
      <c r="CY59" s="451">
        <v>0</v>
      </c>
      <c r="CZ59" s="451">
        <v>0</v>
      </c>
      <c r="DA59" s="451">
        <v>45205</v>
      </c>
      <c r="DB59" s="451">
        <v>3275</v>
      </c>
      <c r="DC59" s="451">
        <v>0</v>
      </c>
      <c r="DD59" s="451">
        <v>0</v>
      </c>
      <c r="DE59" s="451">
        <v>3275</v>
      </c>
      <c r="DF59" s="451">
        <v>17995</v>
      </c>
      <c r="DG59" s="451">
        <v>0</v>
      </c>
      <c r="DH59" s="451">
        <v>0</v>
      </c>
      <c r="DI59" s="451">
        <v>17995</v>
      </c>
      <c r="DJ59" s="451">
        <v>0</v>
      </c>
      <c r="DK59" s="451">
        <v>0</v>
      </c>
      <c r="DL59" s="451">
        <v>0</v>
      </c>
      <c r="DM59" s="451">
        <v>0</v>
      </c>
      <c r="DN59" s="451">
        <v>0</v>
      </c>
      <c r="DO59" s="451">
        <v>0</v>
      </c>
      <c r="DP59" s="451">
        <v>0</v>
      </c>
      <c r="DQ59" s="451">
        <v>0</v>
      </c>
      <c r="DR59" s="451">
        <v>0</v>
      </c>
      <c r="DS59" s="451">
        <v>0</v>
      </c>
      <c r="DT59" s="451">
        <v>0</v>
      </c>
      <c r="DU59" s="451">
        <v>0</v>
      </c>
      <c r="DV59" s="451">
        <v>0</v>
      </c>
      <c r="DW59" s="451">
        <v>0</v>
      </c>
      <c r="DX59" s="451">
        <v>0</v>
      </c>
      <c r="DY59" s="451">
        <v>0</v>
      </c>
      <c r="DZ59" s="451">
        <v>0</v>
      </c>
      <c r="EA59" s="451">
        <v>0</v>
      </c>
      <c r="EB59" s="451">
        <v>0</v>
      </c>
      <c r="EC59" s="451">
        <v>0</v>
      </c>
      <c r="ED59" s="451">
        <v>0</v>
      </c>
      <c r="EE59" s="451">
        <v>0</v>
      </c>
      <c r="EF59" s="451">
        <v>0</v>
      </c>
      <c r="EG59" s="451">
        <v>0</v>
      </c>
      <c r="EH59" s="451">
        <v>0</v>
      </c>
      <c r="EI59" s="451">
        <v>0</v>
      </c>
      <c r="EJ59" s="451">
        <v>0</v>
      </c>
      <c r="EK59" s="451">
        <v>0</v>
      </c>
      <c r="EL59" s="451">
        <v>0</v>
      </c>
      <c r="EM59" s="451">
        <v>0</v>
      </c>
    </row>
    <row r="60" spans="1:143" ht="12.75" x14ac:dyDescent="0.2">
      <c r="A60" s="446">
        <v>54</v>
      </c>
      <c r="B60" s="447" t="s">
        <v>689</v>
      </c>
      <c r="C60" s="448" t="s">
        <v>794</v>
      </c>
      <c r="D60" s="449" t="s">
        <v>1095</v>
      </c>
      <c r="E60" s="450" t="s">
        <v>688</v>
      </c>
      <c r="F60" s="451">
        <v>325903</v>
      </c>
      <c r="G60" s="451">
        <v>0</v>
      </c>
      <c r="H60" s="451">
        <v>0</v>
      </c>
      <c r="I60" s="451">
        <v>325903</v>
      </c>
      <c r="J60" s="451">
        <v>-412081</v>
      </c>
      <c r="K60" s="451">
        <v>0</v>
      </c>
      <c r="L60" s="451">
        <v>0</v>
      </c>
      <c r="M60" s="451">
        <v>-412081</v>
      </c>
      <c r="N60" s="451">
        <v>151305</v>
      </c>
      <c r="O60" s="451">
        <v>0</v>
      </c>
      <c r="P60" s="451">
        <v>0</v>
      </c>
      <c r="Q60" s="451">
        <v>151305</v>
      </c>
      <c r="R60" s="451">
        <v>546213</v>
      </c>
      <c r="S60" s="451">
        <v>0</v>
      </c>
      <c r="T60" s="451">
        <v>0</v>
      </c>
      <c r="U60" s="451">
        <v>546213</v>
      </c>
      <c r="V60" s="451">
        <v>7670131</v>
      </c>
      <c r="W60" s="451">
        <v>0</v>
      </c>
      <c r="X60" s="451">
        <v>0</v>
      </c>
      <c r="Y60" s="451">
        <v>7670131</v>
      </c>
      <c r="Z60" s="451">
        <v>552906</v>
      </c>
      <c r="AA60" s="451">
        <v>0</v>
      </c>
      <c r="AB60" s="451">
        <v>0</v>
      </c>
      <c r="AC60" s="451">
        <v>552906</v>
      </c>
      <c r="AD60" s="451">
        <v>2593444</v>
      </c>
      <c r="AE60" s="451">
        <v>0</v>
      </c>
      <c r="AF60" s="451">
        <v>0</v>
      </c>
      <c r="AG60" s="451">
        <v>2593444</v>
      </c>
      <c r="AH60" s="451">
        <v>12434</v>
      </c>
      <c r="AI60" s="451">
        <v>0</v>
      </c>
      <c r="AJ60" s="451">
        <v>0</v>
      </c>
      <c r="AK60" s="451">
        <v>12434</v>
      </c>
      <c r="AL60" s="451">
        <v>5811172</v>
      </c>
      <c r="AM60" s="451">
        <v>0</v>
      </c>
      <c r="AN60" s="451">
        <v>0</v>
      </c>
      <c r="AO60" s="451">
        <v>5811172</v>
      </c>
      <c r="AP60" s="451">
        <v>-58274</v>
      </c>
      <c r="AQ60" s="451">
        <v>0</v>
      </c>
      <c r="AR60" s="451">
        <v>0</v>
      </c>
      <c r="AS60" s="451">
        <v>-58274</v>
      </c>
      <c r="AT60" s="451">
        <v>85395</v>
      </c>
      <c r="AU60" s="451">
        <v>0</v>
      </c>
      <c r="AV60" s="451">
        <v>0</v>
      </c>
      <c r="AW60" s="451">
        <v>85395</v>
      </c>
      <c r="AX60" s="451">
        <v>-2265</v>
      </c>
      <c r="AY60" s="451">
        <v>0</v>
      </c>
      <c r="AZ60" s="451">
        <v>0</v>
      </c>
      <c r="BA60" s="451">
        <v>-2265</v>
      </c>
      <c r="BB60" s="451">
        <v>23973</v>
      </c>
      <c r="BC60" s="451">
        <v>0</v>
      </c>
      <c r="BD60" s="451">
        <v>0</v>
      </c>
      <c r="BE60" s="451">
        <v>23973</v>
      </c>
      <c r="BF60" s="451">
        <v>-1056</v>
      </c>
      <c r="BG60" s="451">
        <v>0</v>
      </c>
      <c r="BH60" s="451">
        <v>0</v>
      </c>
      <c r="BI60" s="451">
        <v>-1056</v>
      </c>
      <c r="BJ60" s="451">
        <v>422701</v>
      </c>
      <c r="BK60" s="451">
        <v>0</v>
      </c>
      <c r="BL60" s="451">
        <v>0</v>
      </c>
      <c r="BM60" s="451">
        <v>422701</v>
      </c>
      <c r="BN60" s="451">
        <v>3987</v>
      </c>
      <c r="BO60" s="451">
        <v>0</v>
      </c>
      <c r="BP60" s="451">
        <v>0</v>
      </c>
      <c r="BQ60" s="451">
        <v>3987</v>
      </c>
      <c r="BR60" s="451">
        <v>5247607</v>
      </c>
      <c r="BS60" s="451">
        <v>0</v>
      </c>
      <c r="BT60" s="451">
        <v>0</v>
      </c>
      <c r="BU60" s="451">
        <v>5247607</v>
      </c>
      <c r="BV60" s="451">
        <v>19102</v>
      </c>
      <c r="BW60" s="451">
        <v>0</v>
      </c>
      <c r="BX60" s="451">
        <v>0</v>
      </c>
      <c r="BY60" s="451">
        <v>19102</v>
      </c>
      <c r="BZ60" s="451">
        <v>184613</v>
      </c>
      <c r="CA60" s="451">
        <v>0</v>
      </c>
      <c r="CB60" s="451">
        <v>0</v>
      </c>
      <c r="CC60" s="451">
        <v>184613</v>
      </c>
      <c r="CD60" s="451">
        <v>-6412</v>
      </c>
      <c r="CE60" s="451">
        <v>0</v>
      </c>
      <c r="CF60" s="451">
        <v>0</v>
      </c>
      <c r="CG60" s="451">
        <v>-6412</v>
      </c>
      <c r="CH60" s="451">
        <v>48123</v>
      </c>
      <c r="CI60" s="451">
        <v>0</v>
      </c>
      <c r="CJ60" s="451">
        <v>0</v>
      </c>
      <c r="CK60" s="451">
        <v>48123</v>
      </c>
      <c r="CL60" s="451">
        <v>-99.7</v>
      </c>
      <c r="CM60" s="451">
        <v>0</v>
      </c>
      <c r="CN60" s="451">
        <v>0</v>
      </c>
      <c r="CO60" s="451">
        <v>-99.7</v>
      </c>
      <c r="CP60" s="451">
        <v>7985</v>
      </c>
      <c r="CQ60" s="451">
        <v>0</v>
      </c>
      <c r="CR60" s="451">
        <v>0</v>
      </c>
      <c r="CS60" s="451">
        <v>7985</v>
      </c>
      <c r="CT60" s="451">
        <v>360</v>
      </c>
      <c r="CU60" s="451">
        <v>0</v>
      </c>
      <c r="CV60" s="451">
        <v>0</v>
      </c>
      <c r="CW60" s="451">
        <v>360</v>
      </c>
      <c r="CX60" s="451">
        <v>23973</v>
      </c>
      <c r="CY60" s="451">
        <v>0</v>
      </c>
      <c r="CZ60" s="451">
        <v>0</v>
      </c>
      <c r="DA60" s="451">
        <v>23973</v>
      </c>
      <c r="DB60" s="451">
        <v>-1056</v>
      </c>
      <c r="DC60" s="451">
        <v>0</v>
      </c>
      <c r="DD60" s="451">
        <v>0</v>
      </c>
      <c r="DE60" s="451">
        <v>-1056</v>
      </c>
      <c r="DF60" s="451">
        <v>10535</v>
      </c>
      <c r="DG60" s="451">
        <v>0</v>
      </c>
      <c r="DH60" s="451">
        <v>0</v>
      </c>
      <c r="DI60" s="451">
        <v>10535</v>
      </c>
      <c r="DJ60" s="451">
        <v>0</v>
      </c>
      <c r="DK60" s="451">
        <v>0</v>
      </c>
      <c r="DL60" s="451">
        <v>0</v>
      </c>
      <c r="DM60" s="451">
        <v>0</v>
      </c>
      <c r="DN60" s="451">
        <v>0</v>
      </c>
      <c r="DO60" s="451">
        <v>0</v>
      </c>
      <c r="DP60" s="451">
        <v>0</v>
      </c>
      <c r="DQ60" s="451">
        <v>0</v>
      </c>
      <c r="DR60" s="451">
        <v>0</v>
      </c>
      <c r="DS60" s="451">
        <v>0</v>
      </c>
      <c r="DT60" s="451">
        <v>0</v>
      </c>
      <c r="DU60" s="451">
        <v>0</v>
      </c>
      <c r="DV60" s="451">
        <v>0</v>
      </c>
      <c r="DW60" s="451">
        <v>0</v>
      </c>
      <c r="DX60" s="451">
        <v>0</v>
      </c>
      <c r="DY60" s="451">
        <v>0</v>
      </c>
      <c r="DZ60" s="451">
        <v>0</v>
      </c>
      <c r="EA60" s="451">
        <v>0</v>
      </c>
      <c r="EB60" s="451">
        <v>0</v>
      </c>
      <c r="EC60" s="451">
        <v>0</v>
      </c>
      <c r="ED60" s="451">
        <v>0</v>
      </c>
      <c r="EE60" s="451">
        <v>0</v>
      </c>
      <c r="EF60" s="451">
        <v>21055</v>
      </c>
      <c r="EG60" s="451">
        <v>0</v>
      </c>
      <c r="EH60" s="451">
        <v>0</v>
      </c>
      <c r="EI60" s="451">
        <v>21055</v>
      </c>
      <c r="EJ60" s="451">
        <v>18238</v>
      </c>
      <c r="EK60" s="451">
        <v>0</v>
      </c>
      <c r="EL60" s="451">
        <v>0</v>
      </c>
      <c r="EM60" s="451">
        <v>18238</v>
      </c>
    </row>
    <row r="61" spans="1:143" ht="12.75" x14ac:dyDescent="0.2">
      <c r="A61" s="446">
        <v>55</v>
      </c>
      <c r="B61" s="447" t="s">
        <v>691</v>
      </c>
      <c r="C61" s="448" t="s">
        <v>794</v>
      </c>
      <c r="D61" s="449" t="s">
        <v>1095</v>
      </c>
      <c r="E61" s="450" t="s">
        <v>713</v>
      </c>
      <c r="F61" s="451">
        <v>324419</v>
      </c>
      <c r="G61" s="451">
        <v>0</v>
      </c>
      <c r="H61" s="451">
        <v>0</v>
      </c>
      <c r="I61" s="451">
        <v>324419</v>
      </c>
      <c r="J61" s="451">
        <v>-609706</v>
      </c>
      <c r="K61" s="451">
        <v>0</v>
      </c>
      <c r="L61" s="451">
        <v>0</v>
      </c>
      <c r="M61" s="451">
        <v>-609706</v>
      </c>
      <c r="N61" s="451">
        <v>257185</v>
      </c>
      <c r="O61" s="451">
        <v>0</v>
      </c>
      <c r="P61" s="451">
        <v>0</v>
      </c>
      <c r="Q61" s="451">
        <v>257185</v>
      </c>
      <c r="R61" s="451">
        <v>1817445</v>
      </c>
      <c r="S61" s="451">
        <v>0</v>
      </c>
      <c r="T61" s="451">
        <v>0</v>
      </c>
      <c r="U61" s="451">
        <v>1817445</v>
      </c>
      <c r="V61" s="451">
        <v>5788225</v>
      </c>
      <c r="W61" s="451">
        <v>0</v>
      </c>
      <c r="X61" s="451">
        <v>0</v>
      </c>
      <c r="Y61" s="451">
        <v>5788225</v>
      </c>
      <c r="Z61" s="451">
        <v>227935</v>
      </c>
      <c r="AA61" s="451">
        <v>0</v>
      </c>
      <c r="AB61" s="451">
        <v>0</v>
      </c>
      <c r="AC61" s="451">
        <v>227935</v>
      </c>
      <c r="AD61" s="451">
        <v>3059322</v>
      </c>
      <c r="AE61" s="451">
        <v>0</v>
      </c>
      <c r="AF61" s="451">
        <v>0</v>
      </c>
      <c r="AG61" s="451">
        <v>3059322</v>
      </c>
      <c r="AH61" s="451">
        <v>-80666</v>
      </c>
      <c r="AI61" s="451">
        <v>0</v>
      </c>
      <c r="AJ61" s="451">
        <v>0</v>
      </c>
      <c r="AK61" s="451">
        <v>-80666</v>
      </c>
      <c r="AL61" s="451">
        <v>7101327</v>
      </c>
      <c r="AM61" s="451">
        <v>0</v>
      </c>
      <c r="AN61" s="451">
        <v>0</v>
      </c>
      <c r="AO61" s="451">
        <v>7101327</v>
      </c>
      <c r="AP61" s="451">
        <v>-790241</v>
      </c>
      <c r="AQ61" s="451">
        <v>0</v>
      </c>
      <c r="AR61" s="451">
        <v>0</v>
      </c>
      <c r="AS61" s="451">
        <v>-790241</v>
      </c>
      <c r="AT61" s="451">
        <v>52723</v>
      </c>
      <c r="AU61" s="451">
        <v>0</v>
      </c>
      <c r="AV61" s="451">
        <v>0</v>
      </c>
      <c r="AW61" s="451">
        <v>52723</v>
      </c>
      <c r="AX61" s="451">
        <v>136</v>
      </c>
      <c r="AY61" s="451">
        <v>0</v>
      </c>
      <c r="AZ61" s="451">
        <v>0</v>
      </c>
      <c r="BA61" s="451">
        <v>136</v>
      </c>
      <c r="BB61" s="451">
        <v>61707</v>
      </c>
      <c r="BC61" s="451">
        <v>0</v>
      </c>
      <c r="BD61" s="451">
        <v>0</v>
      </c>
      <c r="BE61" s="451">
        <v>61707</v>
      </c>
      <c r="BF61" s="451">
        <v>1265</v>
      </c>
      <c r="BG61" s="451">
        <v>0</v>
      </c>
      <c r="BH61" s="451">
        <v>0</v>
      </c>
      <c r="BI61" s="451">
        <v>1265</v>
      </c>
      <c r="BJ61" s="451">
        <v>100070</v>
      </c>
      <c r="BK61" s="451">
        <v>0</v>
      </c>
      <c r="BL61" s="451">
        <v>0</v>
      </c>
      <c r="BM61" s="451">
        <v>100070</v>
      </c>
      <c r="BN61" s="451">
        <v>74202</v>
      </c>
      <c r="BO61" s="451">
        <v>0</v>
      </c>
      <c r="BP61" s="451">
        <v>0</v>
      </c>
      <c r="BQ61" s="451">
        <v>74202</v>
      </c>
      <c r="BR61" s="451">
        <v>6987226</v>
      </c>
      <c r="BS61" s="451">
        <v>0</v>
      </c>
      <c r="BT61" s="451">
        <v>0</v>
      </c>
      <c r="BU61" s="451">
        <v>6987226</v>
      </c>
      <c r="BV61" s="451">
        <v>207510</v>
      </c>
      <c r="BW61" s="451">
        <v>0</v>
      </c>
      <c r="BX61" s="451">
        <v>0</v>
      </c>
      <c r="BY61" s="451">
        <v>207510</v>
      </c>
      <c r="BZ61" s="451">
        <v>742616</v>
      </c>
      <c r="CA61" s="451">
        <v>0</v>
      </c>
      <c r="CB61" s="451">
        <v>0</v>
      </c>
      <c r="CC61" s="451">
        <v>742616</v>
      </c>
      <c r="CD61" s="451">
        <v>1896</v>
      </c>
      <c r="CE61" s="451">
        <v>0</v>
      </c>
      <c r="CF61" s="451">
        <v>0</v>
      </c>
      <c r="CG61" s="451">
        <v>1896</v>
      </c>
      <c r="CH61" s="451">
        <v>853757</v>
      </c>
      <c r="CI61" s="451">
        <v>0</v>
      </c>
      <c r="CJ61" s="451">
        <v>0</v>
      </c>
      <c r="CK61" s="451">
        <v>853757</v>
      </c>
      <c r="CL61" s="451">
        <v>490</v>
      </c>
      <c r="CM61" s="451">
        <v>0</v>
      </c>
      <c r="CN61" s="451">
        <v>0</v>
      </c>
      <c r="CO61" s="451">
        <v>490</v>
      </c>
      <c r="CP61" s="451">
        <v>10327</v>
      </c>
      <c r="CQ61" s="451">
        <v>0</v>
      </c>
      <c r="CR61" s="451">
        <v>0</v>
      </c>
      <c r="CS61" s="451">
        <v>10327</v>
      </c>
      <c r="CT61" s="451">
        <v>34</v>
      </c>
      <c r="CU61" s="451">
        <v>0</v>
      </c>
      <c r="CV61" s="451">
        <v>0</v>
      </c>
      <c r="CW61" s="451">
        <v>34</v>
      </c>
      <c r="CX61" s="451">
        <v>61707</v>
      </c>
      <c r="CY61" s="451">
        <v>0</v>
      </c>
      <c r="CZ61" s="451">
        <v>0</v>
      </c>
      <c r="DA61" s="451">
        <v>61707</v>
      </c>
      <c r="DB61" s="451">
        <v>1265</v>
      </c>
      <c r="DC61" s="451">
        <v>0</v>
      </c>
      <c r="DD61" s="451">
        <v>0</v>
      </c>
      <c r="DE61" s="451">
        <v>1265</v>
      </c>
      <c r="DF61" s="451">
        <v>23990</v>
      </c>
      <c r="DG61" s="451">
        <v>0</v>
      </c>
      <c r="DH61" s="451">
        <v>0</v>
      </c>
      <c r="DI61" s="451">
        <v>23990</v>
      </c>
      <c r="DJ61" s="451">
        <v>-3388</v>
      </c>
      <c r="DK61" s="451">
        <v>0</v>
      </c>
      <c r="DL61" s="451">
        <v>0</v>
      </c>
      <c r="DM61" s="451">
        <v>-3388</v>
      </c>
      <c r="DN61" s="451">
        <v>0</v>
      </c>
      <c r="DO61" s="451">
        <v>0</v>
      </c>
      <c r="DP61" s="451">
        <v>0</v>
      </c>
      <c r="DQ61" s="451">
        <v>0</v>
      </c>
      <c r="DR61" s="451">
        <v>0</v>
      </c>
      <c r="DS61" s="451">
        <v>0</v>
      </c>
      <c r="DT61" s="451">
        <v>0</v>
      </c>
      <c r="DU61" s="451">
        <v>0</v>
      </c>
      <c r="DV61" s="451">
        <v>0</v>
      </c>
      <c r="DW61" s="451">
        <v>0</v>
      </c>
      <c r="DX61" s="451">
        <v>240</v>
      </c>
      <c r="DY61" s="451">
        <v>0</v>
      </c>
      <c r="DZ61" s="451">
        <v>0</v>
      </c>
      <c r="EA61" s="451">
        <v>240</v>
      </c>
      <c r="EB61" s="451">
        <v>0</v>
      </c>
      <c r="EC61" s="451">
        <v>0</v>
      </c>
      <c r="ED61" s="451">
        <v>0</v>
      </c>
      <c r="EE61" s="451">
        <v>0</v>
      </c>
      <c r="EF61" s="451">
        <v>0</v>
      </c>
      <c r="EG61" s="451">
        <v>0</v>
      </c>
      <c r="EH61" s="451">
        <v>0</v>
      </c>
      <c r="EI61" s="451">
        <v>0</v>
      </c>
      <c r="EJ61" s="451">
        <v>0</v>
      </c>
      <c r="EK61" s="451">
        <v>0</v>
      </c>
      <c r="EL61" s="451">
        <v>0</v>
      </c>
      <c r="EM61" s="451">
        <v>0</v>
      </c>
    </row>
    <row r="62" spans="1:143" ht="12.75" x14ac:dyDescent="0.2">
      <c r="A62" s="446">
        <v>56</v>
      </c>
      <c r="B62" s="447" t="s">
        <v>693</v>
      </c>
      <c r="C62" s="448" t="s">
        <v>1093</v>
      </c>
      <c r="D62" s="449" t="s">
        <v>1096</v>
      </c>
      <c r="E62" s="450" t="s">
        <v>692</v>
      </c>
      <c r="F62" s="451">
        <v>80118</v>
      </c>
      <c r="G62" s="451">
        <v>0</v>
      </c>
      <c r="H62" s="451">
        <v>0</v>
      </c>
      <c r="I62" s="451">
        <v>80118</v>
      </c>
      <c r="J62" s="451">
        <v>-35477</v>
      </c>
      <c r="K62" s="451">
        <v>0</v>
      </c>
      <c r="L62" s="451">
        <v>0</v>
      </c>
      <c r="M62" s="451">
        <v>-35477</v>
      </c>
      <c r="N62" s="451">
        <v>164678</v>
      </c>
      <c r="O62" s="451">
        <v>0</v>
      </c>
      <c r="P62" s="451">
        <v>0</v>
      </c>
      <c r="Q62" s="451">
        <v>164678</v>
      </c>
      <c r="R62" s="451">
        <v>86946</v>
      </c>
      <c r="S62" s="451">
        <v>0</v>
      </c>
      <c r="T62" s="451">
        <v>0</v>
      </c>
      <c r="U62" s="451">
        <v>86946</v>
      </c>
      <c r="V62" s="451">
        <v>2516759</v>
      </c>
      <c r="W62" s="451">
        <v>0</v>
      </c>
      <c r="X62" s="451">
        <v>0</v>
      </c>
      <c r="Y62" s="451">
        <v>2516759</v>
      </c>
      <c r="Z62" s="451">
        <v>115444</v>
      </c>
      <c r="AA62" s="451">
        <v>0</v>
      </c>
      <c r="AB62" s="451">
        <v>0</v>
      </c>
      <c r="AC62" s="451">
        <v>115444</v>
      </c>
      <c r="AD62" s="451">
        <v>651228</v>
      </c>
      <c r="AE62" s="451">
        <v>0</v>
      </c>
      <c r="AF62" s="451">
        <v>0</v>
      </c>
      <c r="AG62" s="451">
        <v>651228</v>
      </c>
      <c r="AH62" s="451">
        <v>-13682</v>
      </c>
      <c r="AI62" s="451">
        <v>0</v>
      </c>
      <c r="AJ62" s="451">
        <v>0</v>
      </c>
      <c r="AK62" s="451">
        <v>-13682</v>
      </c>
      <c r="AL62" s="451">
        <v>1278393</v>
      </c>
      <c r="AM62" s="451">
        <v>0</v>
      </c>
      <c r="AN62" s="451">
        <v>0</v>
      </c>
      <c r="AO62" s="451">
        <v>1278393</v>
      </c>
      <c r="AP62" s="451">
        <v>-15930</v>
      </c>
      <c r="AQ62" s="451">
        <v>0</v>
      </c>
      <c r="AR62" s="451">
        <v>0</v>
      </c>
      <c r="AS62" s="451">
        <v>-15930</v>
      </c>
      <c r="AT62" s="451">
        <v>21428</v>
      </c>
      <c r="AU62" s="451">
        <v>0</v>
      </c>
      <c r="AV62" s="451">
        <v>0</v>
      </c>
      <c r="AW62" s="451">
        <v>21428</v>
      </c>
      <c r="AX62" s="451">
        <v>30</v>
      </c>
      <c r="AY62" s="451">
        <v>0</v>
      </c>
      <c r="AZ62" s="451">
        <v>0</v>
      </c>
      <c r="BA62" s="451">
        <v>30</v>
      </c>
      <c r="BB62" s="451">
        <v>3156</v>
      </c>
      <c r="BC62" s="451">
        <v>0</v>
      </c>
      <c r="BD62" s="451">
        <v>0</v>
      </c>
      <c r="BE62" s="451">
        <v>3156</v>
      </c>
      <c r="BF62" s="451">
        <v>0</v>
      </c>
      <c r="BG62" s="451">
        <v>0</v>
      </c>
      <c r="BH62" s="451">
        <v>0</v>
      </c>
      <c r="BI62" s="451">
        <v>0</v>
      </c>
      <c r="BJ62" s="451">
        <v>9929</v>
      </c>
      <c r="BK62" s="451">
        <v>0</v>
      </c>
      <c r="BL62" s="451">
        <v>0</v>
      </c>
      <c r="BM62" s="451">
        <v>9929</v>
      </c>
      <c r="BN62" s="451">
        <v>17739</v>
      </c>
      <c r="BO62" s="451">
        <v>0</v>
      </c>
      <c r="BP62" s="451">
        <v>0</v>
      </c>
      <c r="BQ62" s="451">
        <v>17739</v>
      </c>
      <c r="BR62" s="451">
        <v>1385605</v>
      </c>
      <c r="BS62" s="451">
        <v>0</v>
      </c>
      <c r="BT62" s="451">
        <v>0</v>
      </c>
      <c r="BU62" s="451">
        <v>1385605</v>
      </c>
      <c r="BV62" s="451">
        <v>-239879</v>
      </c>
      <c r="BW62" s="451">
        <v>0</v>
      </c>
      <c r="BX62" s="451">
        <v>0</v>
      </c>
      <c r="BY62" s="451">
        <v>-239879</v>
      </c>
      <c r="BZ62" s="451">
        <v>30857</v>
      </c>
      <c r="CA62" s="451">
        <v>0</v>
      </c>
      <c r="CB62" s="451">
        <v>0</v>
      </c>
      <c r="CC62" s="451">
        <v>30857</v>
      </c>
      <c r="CD62" s="451">
        <v>226</v>
      </c>
      <c r="CE62" s="451">
        <v>0</v>
      </c>
      <c r="CF62" s="451">
        <v>0</v>
      </c>
      <c r="CG62" s="451">
        <v>226</v>
      </c>
      <c r="CH62" s="451">
        <v>20952</v>
      </c>
      <c r="CI62" s="451">
        <v>0</v>
      </c>
      <c r="CJ62" s="451">
        <v>0</v>
      </c>
      <c r="CK62" s="451">
        <v>20952</v>
      </c>
      <c r="CL62" s="451">
        <v>-641</v>
      </c>
      <c r="CM62" s="451">
        <v>0</v>
      </c>
      <c r="CN62" s="451">
        <v>0</v>
      </c>
      <c r="CO62" s="451">
        <v>-641</v>
      </c>
      <c r="CP62" s="451">
        <v>935</v>
      </c>
      <c r="CQ62" s="451">
        <v>0</v>
      </c>
      <c r="CR62" s="451">
        <v>0</v>
      </c>
      <c r="CS62" s="451">
        <v>935</v>
      </c>
      <c r="CT62" s="451">
        <v>0</v>
      </c>
      <c r="CU62" s="451">
        <v>0</v>
      </c>
      <c r="CV62" s="451">
        <v>0</v>
      </c>
      <c r="CW62" s="451">
        <v>0</v>
      </c>
      <c r="CX62" s="451">
        <v>0</v>
      </c>
      <c r="CY62" s="451">
        <v>0</v>
      </c>
      <c r="CZ62" s="451">
        <v>0</v>
      </c>
      <c r="DA62" s="451">
        <v>0</v>
      </c>
      <c r="DB62" s="451">
        <v>0</v>
      </c>
      <c r="DC62" s="451">
        <v>0</v>
      </c>
      <c r="DD62" s="451">
        <v>0</v>
      </c>
      <c r="DE62" s="451">
        <v>0</v>
      </c>
      <c r="DF62" s="451">
        <v>0</v>
      </c>
      <c r="DG62" s="451">
        <v>0</v>
      </c>
      <c r="DH62" s="451">
        <v>0</v>
      </c>
      <c r="DI62" s="451">
        <v>0</v>
      </c>
      <c r="DJ62" s="451">
        <v>0</v>
      </c>
      <c r="DK62" s="451">
        <v>0</v>
      </c>
      <c r="DL62" s="451">
        <v>0</v>
      </c>
      <c r="DM62" s="451">
        <v>0</v>
      </c>
      <c r="DN62" s="451">
        <v>0</v>
      </c>
      <c r="DO62" s="451">
        <v>0</v>
      </c>
      <c r="DP62" s="451">
        <v>0</v>
      </c>
      <c r="DQ62" s="451">
        <v>0</v>
      </c>
      <c r="DR62" s="451">
        <v>0</v>
      </c>
      <c r="DS62" s="451">
        <v>0</v>
      </c>
      <c r="DT62" s="451">
        <v>0</v>
      </c>
      <c r="DU62" s="451">
        <v>0</v>
      </c>
      <c r="DV62" s="451">
        <v>0</v>
      </c>
      <c r="DW62" s="451">
        <v>0</v>
      </c>
      <c r="DX62" s="451">
        <v>0</v>
      </c>
      <c r="DY62" s="451">
        <v>0</v>
      </c>
      <c r="DZ62" s="451">
        <v>0</v>
      </c>
      <c r="EA62" s="451">
        <v>0</v>
      </c>
      <c r="EB62" s="451">
        <v>0</v>
      </c>
      <c r="EC62" s="451">
        <v>0</v>
      </c>
      <c r="ED62" s="451">
        <v>0</v>
      </c>
      <c r="EE62" s="451">
        <v>0</v>
      </c>
      <c r="EF62" s="451">
        <v>0</v>
      </c>
      <c r="EG62" s="451">
        <v>0</v>
      </c>
      <c r="EH62" s="451">
        <v>0</v>
      </c>
      <c r="EI62" s="451">
        <v>0</v>
      </c>
      <c r="EJ62" s="451">
        <v>0</v>
      </c>
      <c r="EK62" s="451">
        <v>0</v>
      </c>
      <c r="EL62" s="451">
        <v>0</v>
      </c>
      <c r="EM62" s="451">
        <v>0</v>
      </c>
    </row>
    <row r="63" spans="1:143" ht="12.75" x14ac:dyDescent="0.2">
      <c r="A63" s="446">
        <v>57</v>
      </c>
      <c r="B63" s="447" t="s">
        <v>695</v>
      </c>
      <c r="C63" s="448" t="s">
        <v>1093</v>
      </c>
      <c r="D63" s="449" t="s">
        <v>1094</v>
      </c>
      <c r="E63" s="450" t="s">
        <v>694</v>
      </c>
      <c r="F63" s="451">
        <v>81609</v>
      </c>
      <c r="G63" s="451">
        <v>0</v>
      </c>
      <c r="H63" s="451">
        <v>0</v>
      </c>
      <c r="I63" s="451">
        <v>81609</v>
      </c>
      <c r="J63" s="451">
        <v>-96758</v>
      </c>
      <c r="K63" s="451">
        <v>0</v>
      </c>
      <c r="L63" s="451">
        <v>0</v>
      </c>
      <c r="M63" s="451">
        <v>-96758</v>
      </c>
      <c r="N63" s="451">
        <v>20189</v>
      </c>
      <c r="O63" s="451">
        <v>0</v>
      </c>
      <c r="P63" s="451">
        <v>0</v>
      </c>
      <c r="Q63" s="451">
        <v>20189</v>
      </c>
      <c r="R63" s="451">
        <v>62982</v>
      </c>
      <c r="S63" s="451">
        <v>0</v>
      </c>
      <c r="T63" s="451">
        <v>0</v>
      </c>
      <c r="U63" s="451">
        <v>62982</v>
      </c>
      <c r="V63" s="451">
        <v>2799326</v>
      </c>
      <c r="W63" s="451">
        <v>0</v>
      </c>
      <c r="X63" s="451">
        <v>0</v>
      </c>
      <c r="Y63" s="451">
        <v>2799326</v>
      </c>
      <c r="Z63" s="451">
        <v>85603</v>
      </c>
      <c r="AA63" s="451">
        <v>0</v>
      </c>
      <c r="AB63" s="451">
        <v>0</v>
      </c>
      <c r="AC63" s="451">
        <v>85603</v>
      </c>
      <c r="AD63" s="451">
        <v>819393</v>
      </c>
      <c r="AE63" s="451">
        <v>0</v>
      </c>
      <c r="AF63" s="451">
        <v>0</v>
      </c>
      <c r="AG63" s="451">
        <v>819393</v>
      </c>
      <c r="AH63" s="451">
        <v>-3118</v>
      </c>
      <c r="AI63" s="451">
        <v>0</v>
      </c>
      <c r="AJ63" s="451">
        <v>0</v>
      </c>
      <c r="AK63" s="451">
        <v>-3118</v>
      </c>
      <c r="AL63" s="451">
        <v>3133954</v>
      </c>
      <c r="AM63" s="451">
        <v>0</v>
      </c>
      <c r="AN63" s="451">
        <v>0</v>
      </c>
      <c r="AO63" s="451">
        <v>3133954</v>
      </c>
      <c r="AP63" s="451">
        <v>4911</v>
      </c>
      <c r="AQ63" s="451">
        <v>0</v>
      </c>
      <c r="AR63" s="451">
        <v>0</v>
      </c>
      <c r="AS63" s="451">
        <v>4911</v>
      </c>
      <c r="AT63" s="451">
        <v>30425</v>
      </c>
      <c r="AU63" s="451">
        <v>0</v>
      </c>
      <c r="AV63" s="451">
        <v>0</v>
      </c>
      <c r="AW63" s="451">
        <v>30425</v>
      </c>
      <c r="AX63" s="451">
        <v>0</v>
      </c>
      <c r="AY63" s="451">
        <v>0</v>
      </c>
      <c r="AZ63" s="451">
        <v>0</v>
      </c>
      <c r="BA63" s="451">
        <v>0</v>
      </c>
      <c r="BB63" s="451">
        <v>44843</v>
      </c>
      <c r="BC63" s="451">
        <v>0</v>
      </c>
      <c r="BD63" s="451">
        <v>0</v>
      </c>
      <c r="BE63" s="451">
        <v>44843</v>
      </c>
      <c r="BF63" s="451">
        <v>1003</v>
      </c>
      <c r="BG63" s="451">
        <v>0</v>
      </c>
      <c r="BH63" s="451">
        <v>0</v>
      </c>
      <c r="BI63" s="451">
        <v>1003</v>
      </c>
      <c r="BJ63" s="451">
        <v>41590</v>
      </c>
      <c r="BK63" s="451">
        <v>0</v>
      </c>
      <c r="BL63" s="451">
        <v>0</v>
      </c>
      <c r="BM63" s="451">
        <v>41590</v>
      </c>
      <c r="BN63" s="451">
        <v>0</v>
      </c>
      <c r="BO63" s="451">
        <v>0</v>
      </c>
      <c r="BP63" s="451">
        <v>0</v>
      </c>
      <c r="BQ63" s="451">
        <v>0</v>
      </c>
      <c r="BR63" s="451">
        <v>929330</v>
      </c>
      <c r="BS63" s="451">
        <v>0</v>
      </c>
      <c r="BT63" s="451">
        <v>0</v>
      </c>
      <c r="BU63" s="451">
        <v>929330</v>
      </c>
      <c r="BV63" s="451">
        <v>49788</v>
      </c>
      <c r="BW63" s="451">
        <v>0</v>
      </c>
      <c r="BX63" s="451">
        <v>0</v>
      </c>
      <c r="BY63" s="451">
        <v>49788</v>
      </c>
      <c r="BZ63" s="451">
        <v>10156</v>
      </c>
      <c r="CA63" s="451">
        <v>0</v>
      </c>
      <c r="CB63" s="451">
        <v>0</v>
      </c>
      <c r="CC63" s="451">
        <v>10156</v>
      </c>
      <c r="CD63" s="451">
        <v>643</v>
      </c>
      <c r="CE63" s="451">
        <v>0</v>
      </c>
      <c r="CF63" s="451">
        <v>0</v>
      </c>
      <c r="CG63" s="451">
        <v>643</v>
      </c>
      <c r="CH63" s="451">
        <v>5634</v>
      </c>
      <c r="CI63" s="451">
        <v>0</v>
      </c>
      <c r="CJ63" s="451">
        <v>0</v>
      </c>
      <c r="CK63" s="451">
        <v>5634</v>
      </c>
      <c r="CL63" s="451">
        <v>0</v>
      </c>
      <c r="CM63" s="451">
        <v>0</v>
      </c>
      <c r="CN63" s="451">
        <v>0</v>
      </c>
      <c r="CO63" s="451">
        <v>0</v>
      </c>
      <c r="CP63" s="451">
        <v>0</v>
      </c>
      <c r="CQ63" s="451">
        <v>0</v>
      </c>
      <c r="CR63" s="451">
        <v>0</v>
      </c>
      <c r="CS63" s="451">
        <v>0</v>
      </c>
      <c r="CT63" s="451">
        <v>0</v>
      </c>
      <c r="CU63" s="451">
        <v>0</v>
      </c>
      <c r="CV63" s="451">
        <v>0</v>
      </c>
      <c r="CW63" s="451">
        <v>0</v>
      </c>
      <c r="CX63" s="451">
        <v>42894</v>
      </c>
      <c r="CY63" s="451">
        <v>0</v>
      </c>
      <c r="CZ63" s="451">
        <v>0</v>
      </c>
      <c r="DA63" s="451">
        <v>42894</v>
      </c>
      <c r="DB63" s="451">
        <v>245</v>
      </c>
      <c r="DC63" s="451">
        <v>0</v>
      </c>
      <c r="DD63" s="451">
        <v>0</v>
      </c>
      <c r="DE63" s="451">
        <v>245</v>
      </c>
      <c r="DF63" s="451">
        <v>8112</v>
      </c>
      <c r="DG63" s="451">
        <v>0</v>
      </c>
      <c r="DH63" s="451">
        <v>0</v>
      </c>
      <c r="DI63" s="451">
        <v>8112</v>
      </c>
      <c r="DJ63" s="451">
        <v>17</v>
      </c>
      <c r="DK63" s="451">
        <v>0</v>
      </c>
      <c r="DL63" s="451">
        <v>0</v>
      </c>
      <c r="DM63" s="451">
        <v>17</v>
      </c>
      <c r="DN63" s="451">
        <v>0</v>
      </c>
      <c r="DO63" s="451">
        <v>0</v>
      </c>
      <c r="DP63" s="451">
        <v>0</v>
      </c>
      <c r="DQ63" s="451">
        <v>0</v>
      </c>
      <c r="DR63" s="451">
        <v>0</v>
      </c>
      <c r="DS63" s="451">
        <v>0</v>
      </c>
      <c r="DT63" s="451">
        <v>0</v>
      </c>
      <c r="DU63" s="451">
        <v>0</v>
      </c>
      <c r="DV63" s="451">
        <v>0</v>
      </c>
      <c r="DW63" s="451">
        <v>0</v>
      </c>
      <c r="DX63" s="451">
        <v>0</v>
      </c>
      <c r="DY63" s="451">
        <v>0</v>
      </c>
      <c r="DZ63" s="451">
        <v>0</v>
      </c>
      <c r="EA63" s="451">
        <v>0</v>
      </c>
      <c r="EB63" s="451">
        <v>0</v>
      </c>
      <c r="EC63" s="451">
        <v>0</v>
      </c>
      <c r="ED63" s="451">
        <v>0</v>
      </c>
      <c r="EE63" s="451">
        <v>0</v>
      </c>
      <c r="EF63" s="451">
        <v>0</v>
      </c>
      <c r="EG63" s="451">
        <v>0</v>
      </c>
      <c r="EH63" s="451">
        <v>0</v>
      </c>
      <c r="EI63" s="451">
        <v>0</v>
      </c>
      <c r="EJ63" s="451">
        <v>0</v>
      </c>
      <c r="EK63" s="451">
        <v>0</v>
      </c>
      <c r="EL63" s="451">
        <v>0</v>
      </c>
      <c r="EM63" s="451">
        <v>0</v>
      </c>
    </row>
    <row r="64" spans="1:143" ht="12.75" x14ac:dyDescent="0.2">
      <c r="A64" s="446">
        <v>58</v>
      </c>
      <c r="B64" s="447" t="s">
        <v>697</v>
      </c>
      <c r="C64" s="448" t="s">
        <v>1093</v>
      </c>
      <c r="D64" s="449" t="s">
        <v>1094</v>
      </c>
      <c r="E64" s="450" t="s">
        <v>696</v>
      </c>
      <c r="F64" s="451">
        <v>86213.95</v>
      </c>
      <c r="G64" s="451">
        <v>0</v>
      </c>
      <c r="H64" s="451">
        <v>0</v>
      </c>
      <c r="I64" s="451">
        <v>86213.95</v>
      </c>
      <c r="J64" s="451">
        <v>-15300.82</v>
      </c>
      <c r="K64" s="451">
        <v>0</v>
      </c>
      <c r="L64" s="451">
        <v>0</v>
      </c>
      <c r="M64" s="451">
        <v>-15300.82</v>
      </c>
      <c r="N64" s="451">
        <v>60958.63</v>
      </c>
      <c r="O64" s="451">
        <v>0</v>
      </c>
      <c r="P64" s="451">
        <v>0</v>
      </c>
      <c r="Q64" s="451">
        <v>60958.63</v>
      </c>
      <c r="R64" s="451">
        <v>48819.48</v>
      </c>
      <c r="S64" s="451">
        <v>0</v>
      </c>
      <c r="T64" s="451">
        <v>0</v>
      </c>
      <c r="U64" s="451">
        <v>48819.48</v>
      </c>
      <c r="V64" s="451">
        <v>1338159.8</v>
      </c>
      <c r="W64" s="451">
        <v>0</v>
      </c>
      <c r="X64" s="451">
        <v>0</v>
      </c>
      <c r="Y64" s="451">
        <v>1338159.8</v>
      </c>
      <c r="Z64" s="451">
        <v>144417.32999999999</v>
      </c>
      <c r="AA64" s="451">
        <v>0</v>
      </c>
      <c r="AB64" s="451">
        <v>0</v>
      </c>
      <c r="AC64" s="451">
        <v>144417.32999999999</v>
      </c>
      <c r="AD64" s="451">
        <v>383632.37</v>
      </c>
      <c r="AE64" s="451">
        <v>0</v>
      </c>
      <c r="AF64" s="451">
        <v>0</v>
      </c>
      <c r="AG64" s="451">
        <v>383632.37</v>
      </c>
      <c r="AH64" s="451">
        <v>-8490.36</v>
      </c>
      <c r="AI64" s="451">
        <v>0</v>
      </c>
      <c r="AJ64" s="451">
        <v>0</v>
      </c>
      <c r="AK64" s="451">
        <v>-8490.36</v>
      </c>
      <c r="AL64" s="451">
        <v>2218812.58</v>
      </c>
      <c r="AM64" s="451">
        <v>0</v>
      </c>
      <c r="AN64" s="451">
        <v>0</v>
      </c>
      <c r="AO64" s="451">
        <v>2218812.58</v>
      </c>
      <c r="AP64" s="451">
        <v>-2537.3200000000002</v>
      </c>
      <c r="AQ64" s="451">
        <v>0</v>
      </c>
      <c r="AR64" s="451">
        <v>0</v>
      </c>
      <c r="AS64" s="451">
        <v>-2537.3200000000002</v>
      </c>
      <c r="AT64" s="451">
        <v>32922.9</v>
      </c>
      <c r="AU64" s="451">
        <v>0</v>
      </c>
      <c r="AV64" s="451">
        <v>0</v>
      </c>
      <c r="AW64" s="451">
        <v>32922.9</v>
      </c>
      <c r="AX64" s="451">
        <v>0</v>
      </c>
      <c r="AY64" s="451">
        <v>0</v>
      </c>
      <c r="AZ64" s="451">
        <v>0</v>
      </c>
      <c r="BA64" s="451">
        <v>0</v>
      </c>
      <c r="BB64" s="451">
        <v>19009.900000000001</v>
      </c>
      <c r="BC64" s="451">
        <v>0</v>
      </c>
      <c r="BD64" s="451">
        <v>0</v>
      </c>
      <c r="BE64" s="451">
        <v>19009.900000000001</v>
      </c>
      <c r="BF64" s="451">
        <v>0</v>
      </c>
      <c r="BG64" s="451">
        <v>0</v>
      </c>
      <c r="BH64" s="451">
        <v>0</v>
      </c>
      <c r="BI64" s="451">
        <v>0</v>
      </c>
      <c r="BJ64" s="451">
        <v>130.06</v>
      </c>
      <c r="BK64" s="451">
        <v>0</v>
      </c>
      <c r="BL64" s="451">
        <v>0</v>
      </c>
      <c r="BM64" s="451">
        <v>130.06</v>
      </c>
      <c r="BN64" s="451">
        <v>-3625.93</v>
      </c>
      <c r="BO64" s="451">
        <v>0</v>
      </c>
      <c r="BP64" s="451">
        <v>0</v>
      </c>
      <c r="BQ64" s="451">
        <v>-3625.93</v>
      </c>
      <c r="BR64" s="451">
        <v>788523.35</v>
      </c>
      <c r="BS64" s="451">
        <v>0</v>
      </c>
      <c r="BT64" s="451">
        <v>0</v>
      </c>
      <c r="BU64" s="451">
        <v>788523.35</v>
      </c>
      <c r="BV64" s="451">
        <v>8574.17</v>
      </c>
      <c r="BW64" s="451">
        <v>0</v>
      </c>
      <c r="BX64" s="451">
        <v>0</v>
      </c>
      <c r="BY64" s="451">
        <v>8574.17</v>
      </c>
      <c r="BZ64" s="451">
        <v>103917.44</v>
      </c>
      <c r="CA64" s="451">
        <v>0</v>
      </c>
      <c r="CB64" s="451">
        <v>0</v>
      </c>
      <c r="CC64" s="451">
        <v>103917.44</v>
      </c>
      <c r="CD64" s="451">
        <v>0</v>
      </c>
      <c r="CE64" s="451">
        <v>0</v>
      </c>
      <c r="CF64" s="451">
        <v>0</v>
      </c>
      <c r="CG64" s="451">
        <v>0</v>
      </c>
      <c r="CH64" s="451">
        <v>42412.87</v>
      </c>
      <c r="CI64" s="451">
        <v>0</v>
      </c>
      <c r="CJ64" s="451">
        <v>0</v>
      </c>
      <c r="CK64" s="451">
        <v>42412.87</v>
      </c>
      <c r="CL64" s="451">
        <v>0</v>
      </c>
      <c r="CM64" s="451">
        <v>0</v>
      </c>
      <c r="CN64" s="451">
        <v>0</v>
      </c>
      <c r="CO64" s="451">
        <v>0</v>
      </c>
      <c r="CP64" s="451">
        <v>4735.91</v>
      </c>
      <c r="CQ64" s="451">
        <v>0</v>
      </c>
      <c r="CR64" s="451">
        <v>0</v>
      </c>
      <c r="CS64" s="451">
        <v>4735.91</v>
      </c>
      <c r="CT64" s="451">
        <v>0</v>
      </c>
      <c r="CU64" s="451">
        <v>0</v>
      </c>
      <c r="CV64" s="451">
        <v>0</v>
      </c>
      <c r="CW64" s="451">
        <v>0</v>
      </c>
      <c r="CX64" s="451">
        <v>6391.76</v>
      </c>
      <c r="CY64" s="451">
        <v>0</v>
      </c>
      <c r="CZ64" s="451">
        <v>0</v>
      </c>
      <c r="DA64" s="451">
        <v>6391.76</v>
      </c>
      <c r="DB64" s="451">
        <v>0</v>
      </c>
      <c r="DC64" s="451">
        <v>0</v>
      </c>
      <c r="DD64" s="451">
        <v>0</v>
      </c>
      <c r="DE64" s="451">
        <v>0</v>
      </c>
      <c r="DF64" s="451">
        <v>0</v>
      </c>
      <c r="DG64" s="451">
        <v>0</v>
      </c>
      <c r="DH64" s="451">
        <v>0</v>
      </c>
      <c r="DI64" s="451">
        <v>0</v>
      </c>
      <c r="DJ64" s="451">
        <v>0</v>
      </c>
      <c r="DK64" s="451">
        <v>0</v>
      </c>
      <c r="DL64" s="451">
        <v>0</v>
      </c>
      <c r="DM64" s="451">
        <v>0</v>
      </c>
      <c r="DN64" s="451">
        <v>0</v>
      </c>
      <c r="DO64" s="451">
        <v>0</v>
      </c>
      <c r="DP64" s="451">
        <v>0</v>
      </c>
      <c r="DQ64" s="451">
        <v>0</v>
      </c>
      <c r="DR64" s="451">
        <v>0</v>
      </c>
      <c r="DS64" s="451">
        <v>0</v>
      </c>
      <c r="DT64" s="451">
        <v>0</v>
      </c>
      <c r="DU64" s="451">
        <v>0</v>
      </c>
      <c r="DV64" s="451">
        <v>0</v>
      </c>
      <c r="DW64" s="451">
        <v>0</v>
      </c>
      <c r="DX64" s="451">
        <v>0</v>
      </c>
      <c r="DY64" s="451">
        <v>0</v>
      </c>
      <c r="DZ64" s="451">
        <v>0</v>
      </c>
      <c r="EA64" s="451">
        <v>0</v>
      </c>
      <c r="EB64" s="451">
        <v>24531.919999999998</v>
      </c>
      <c r="EC64" s="451">
        <v>0</v>
      </c>
      <c r="ED64" s="451">
        <v>0</v>
      </c>
      <c r="EE64" s="451">
        <v>24531.919999999998</v>
      </c>
      <c r="EF64" s="451">
        <v>0</v>
      </c>
      <c r="EG64" s="451">
        <v>0</v>
      </c>
      <c r="EH64" s="451">
        <v>0</v>
      </c>
      <c r="EI64" s="451">
        <v>0</v>
      </c>
      <c r="EJ64" s="451">
        <v>0</v>
      </c>
      <c r="EK64" s="451">
        <v>0</v>
      </c>
      <c r="EL64" s="451">
        <v>0</v>
      </c>
      <c r="EM64" s="451">
        <v>0</v>
      </c>
    </row>
    <row r="65" spans="1:143" ht="12.75" x14ac:dyDescent="0.2">
      <c r="A65" s="446">
        <v>59</v>
      </c>
      <c r="B65" s="447" t="s">
        <v>699</v>
      </c>
      <c r="C65" s="448" t="s">
        <v>1093</v>
      </c>
      <c r="D65" s="449" t="s">
        <v>1095</v>
      </c>
      <c r="E65" s="450" t="s">
        <v>698</v>
      </c>
      <c r="F65" s="451">
        <v>107863</v>
      </c>
      <c r="G65" s="451">
        <v>0</v>
      </c>
      <c r="H65" s="451">
        <v>0</v>
      </c>
      <c r="I65" s="451">
        <v>107863</v>
      </c>
      <c r="J65" s="451">
        <v>-6981</v>
      </c>
      <c r="K65" s="451">
        <v>0</v>
      </c>
      <c r="L65" s="451">
        <v>0</v>
      </c>
      <c r="M65" s="451">
        <v>-6981</v>
      </c>
      <c r="N65" s="451">
        <v>27734</v>
      </c>
      <c r="O65" s="451">
        <v>0</v>
      </c>
      <c r="P65" s="451">
        <v>0</v>
      </c>
      <c r="Q65" s="451">
        <v>27734</v>
      </c>
      <c r="R65" s="451">
        <v>33803</v>
      </c>
      <c r="S65" s="451">
        <v>0</v>
      </c>
      <c r="T65" s="451">
        <v>0</v>
      </c>
      <c r="U65" s="451">
        <v>33803</v>
      </c>
      <c r="V65" s="451">
        <v>2236040</v>
      </c>
      <c r="W65" s="451">
        <v>0</v>
      </c>
      <c r="X65" s="451">
        <v>0</v>
      </c>
      <c r="Y65" s="451">
        <v>2236040</v>
      </c>
      <c r="Z65" s="451">
        <v>64109</v>
      </c>
      <c r="AA65" s="451">
        <v>0</v>
      </c>
      <c r="AB65" s="451">
        <v>0</v>
      </c>
      <c r="AC65" s="451">
        <v>64109</v>
      </c>
      <c r="AD65" s="451">
        <v>508572</v>
      </c>
      <c r="AE65" s="451">
        <v>0</v>
      </c>
      <c r="AF65" s="451">
        <v>0</v>
      </c>
      <c r="AG65" s="451">
        <v>508572</v>
      </c>
      <c r="AH65" s="451">
        <v>12974</v>
      </c>
      <c r="AI65" s="451">
        <v>0</v>
      </c>
      <c r="AJ65" s="451">
        <v>0</v>
      </c>
      <c r="AK65" s="451">
        <v>12974</v>
      </c>
      <c r="AL65" s="451">
        <v>1914588</v>
      </c>
      <c r="AM65" s="451">
        <v>0</v>
      </c>
      <c r="AN65" s="451">
        <v>0</v>
      </c>
      <c r="AO65" s="451">
        <v>1914588</v>
      </c>
      <c r="AP65" s="451">
        <v>-35807</v>
      </c>
      <c r="AQ65" s="451">
        <v>0</v>
      </c>
      <c r="AR65" s="451">
        <v>0</v>
      </c>
      <c r="AS65" s="451">
        <v>-35807</v>
      </c>
      <c r="AT65" s="451">
        <v>26622</v>
      </c>
      <c r="AU65" s="451">
        <v>0</v>
      </c>
      <c r="AV65" s="451">
        <v>0</v>
      </c>
      <c r="AW65" s="451">
        <v>26622</v>
      </c>
      <c r="AX65" s="451">
        <v>0</v>
      </c>
      <c r="AY65" s="451">
        <v>0</v>
      </c>
      <c r="AZ65" s="451">
        <v>0</v>
      </c>
      <c r="BA65" s="451">
        <v>0</v>
      </c>
      <c r="BB65" s="451">
        <v>6341</v>
      </c>
      <c r="BC65" s="451">
        <v>0</v>
      </c>
      <c r="BD65" s="451">
        <v>0</v>
      </c>
      <c r="BE65" s="451">
        <v>6341</v>
      </c>
      <c r="BF65" s="451">
        <v>0</v>
      </c>
      <c r="BG65" s="451">
        <v>0</v>
      </c>
      <c r="BH65" s="451">
        <v>0</v>
      </c>
      <c r="BI65" s="451">
        <v>0</v>
      </c>
      <c r="BJ65" s="451">
        <v>516</v>
      </c>
      <c r="BK65" s="451">
        <v>0</v>
      </c>
      <c r="BL65" s="451">
        <v>0</v>
      </c>
      <c r="BM65" s="451">
        <v>516</v>
      </c>
      <c r="BN65" s="451">
        <v>2543</v>
      </c>
      <c r="BO65" s="451">
        <v>0</v>
      </c>
      <c r="BP65" s="451">
        <v>0</v>
      </c>
      <c r="BQ65" s="451">
        <v>2543</v>
      </c>
      <c r="BR65" s="451">
        <v>713298</v>
      </c>
      <c r="BS65" s="451">
        <v>0</v>
      </c>
      <c r="BT65" s="451">
        <v>0</v>
      </c>
      <c r="BU65" s="451">
        <v>713298</v>
      </c>
      <c r="BV65" s="451">
        <v>-79560</v>
      </c>
      <c r="BW65" s="451">
        <v>0</v>
      </c>
      <c r="BX65" s="451">
        <v>0</v>
      </c>
      <c r="BY65" s="451">
        <v>-79560</v>
      </c>
      <c r="BZ65" s="451">
        <v>8205</v>
      </c>
      <c r="CA65" s="451">
        <v>0</v>
      </c>
      <c r="CB65" s="451">
        <v>0</v>
      </c>
      <c r="CC65" s="451">
        <v>8205</v>
      </c>
      <c r="CD65" s="451">
        <v>0</v>
      </c>
      <c r="CE65" s="451">
        <v>0</v>
      </c>
      <c r="CF65" s="451">
        <v>0</v>
      </c>
      <c r="CG65" s="451">
        <v>0</v>
      </c>
      <c r="CH65" s="451">
        <v>3792</v>
      </c>
      <c r="CI65" s="451">
        <v>0</v>
      </c>
      <c r="CJ65" s="451">
        <v>0</v>
      </c>
      <c r="CK65" s="451">
        <v>3792</v>
      </c>
      <c r="CL65" s="451">
        <v>0</v>
      </c>
      <c r="CM65" s="451">
        <v>0</v>
      </c>
      <c r="CN65" s="451">
        <v>0</v>
      </c>
      <c r="CO65" s="451">
        <v>0</v>
      </c>
      <c r="CP65" s="451">
        <v>0</v>
      </c>
      <c r="CQ65" s="451">
        <v>0</v>
      </c>
      <c r="CR65" s="451">
        <v>0</v>
      </c>
      <c r="CS65" s="451">
        <v>0</v>
      </c>
      <c r="CT65" s="451">
        <v>0</v>
      </c>
      <c r="CU65" s="451">
        <v>0</v>
      </c>
      <c r="CV65" s="451">
        <v>0</v>
      </c>
      <c r="CW65" s="451">
        <v>0</v>
      </c>
      <c r="CX65" s="451">
        <v>0</v>
      </c>
      <c r="CY65" s="451">
        <v>0</v>
      </c>
      <c r="CZ65" s="451">
        <v>0</v>
      </c>
      <c r="DA65" s="451">
        <v>0</v>
      </c>
      <c r="DB65" s="451">
        <v>0</v>
      </c>
      <c r="DC65" s="451">
        <v>0</v>
      </c>
      <c r="DD65" s="451">
        <v>0</v>
      </c>
      <c r="DE65" s="451">
        <v>0</v>
      </c>
      <c r="DF65" s="451">
        <v>0</v>
      </c>
      <c r="DG65" s="451">
        <v>0</v>
      </c>
      <c r="DH65" s="451">
        <v>0</v>
      </c>
      <c r="DI65" s="451">
        <v>0</v>
      </c>
      <c r="DJ65" s="451">
        <v>0</v>
      </c>
      <c r="DK65" s="451">
        <v>0</v>
      </c>
      <c r="DL65" s="451">
        <v>0</v>
      </c>
      <c r="DM65" s="451">
        <v>0</v>
      </c>
      <c r="DN65" s="451">
        <v>0</v>
      </c>
      <c r="DO65" s="451">
        <v>0</v>
      </c>
      <c r="DP65" s="451">
        <v>0</v>
      </c>
      <c r="DQ65" s="451">
        <v>0</v>
      </c>
      <c r="DR65" s="451">
        <v>0</v>
      </c>
      <c r="DS65" s="451">
        <v>0</v>
      </c>
      <c r="DT65" s="451">
        <v>0</v>
      </c>
      <c r="DU65" s="451">
        <v>0</v>
      </c>
      <c r="DV65" s="451">
        <v>0</v>
      </c>
      <c r="DW65" s="451">
        <v>0</v>
      </c>
      <c r="DX65" s="451">
        <v>0</v>
      </c>
      <c r="DY65" s="451">
        <v>0</v>
      </c>
      <c r="DZ65" s="451">
        <v>0</v>
      </c>
      <c r="EA65" s="451">
        <v>0</v>
      </c>
      <c r="EB65" s="451">
        <v>0</v>
      </c>
      <c r="EC65" s="451">
        <v>0</v>
      </c>
      <c r="ED65" s="451">
        <v>0</v>
      </c>
      <c r="EE65" s="451">
        <v>0</v>
      </c>
      <c r="EF65" s="451">
        <v>0</v>
      </c>
      <c r="EG65" s="451">
        <v>0</v>
      </c>
      <c r="EH65" s="451">
        <v>0</v>
      </c>
      <c r="EI65" s="451">
        <v>0</v>
      </c>
      <c r="EJ65" s="451">
        <v>0</v>
      </c>
      <c r="EK65" s="451">
        <v>0</v>
      </c>
      <c r="EL65" s="451">
        <v>0</v>
      </c>
      <c r="EM65" s="451">
        <v>0</v>
      </c>
    </row>
    <row r="66" spans="1:143" ht="12.75" x14ac:dyDescent="0.2">
      <c r="A66" s="446">
        <v>60</v>
      </c>
      <c r="B66" s="447" t="s">
        <v>701</v>
      </c>
      <c r="C66" s="448" t="s">
        <v>1093</v>
      </c>
      <c r="D66" s="449" t="s">
        <v>1102</v>
      </c>
      <c r="E66" s="450" t="s">
        <v>700</v>
      </c>
      <c r="F66" s="451">
        <v>33102.83</v>
      </c>
      <c r="G66" s="451">
        <v>0</v>
      </c>
      <c r="H66" s="451">
        <v>0</v>
      </c>
      <c r="I66" s="451">
        <v>33102.83</v>
      </c>
      <c r="J66" s="451">
        <v>-89722</v>
      </c>
      <c r="K66" s="451">
        <v>0</v>
      </c>
      <c r="L66" s="451">
        <v>0</v>
      </c>
      <c r="M66" s="451">
        <v>-89722</v>
      </c>
      <c r="N66" s="451">
        <v>21902</v>
      </c>
      <c r="O66" s="451">
        <v>0</v>
      </c>
      <c r="P66" s="451">
        <v>0</v>
      </c>
      <c r="Q66" s="451">
        <v>21902</v>
      </c>
      <c r="R66" s="451">
        <v>78789</v>
      </c>
      <c r="S66" s="451">
        <v>0</v>
      </c>
      <c r="T66" s="451">
        <v>0</v>
      </c>
      <c r="U66" s="451">
        <v>78789</v>
      </c>
      <c r="V66" s="451">
        <v>1103276</v>
      </c>
      <c r="W66" s="451">
        <v>0</v>
      </c>
      <c r="X66" s="451">
        <v>0</v>
      </c>
      <c r="Y66" s="451">
        <v>1103276</v>
      </c>
      <c r="Z66" s="451">
        <v>35490</v>
      </c>
      <c r="AA66" s="451">
        <v>0</v>
      </c>
      <c r="AB66" s="451">
        <v>0</v>
      </c>
      <c r="AC66" s="451">
        <v>35490</v>
      </c>
      <c r="AD66" s="451">
        <v>331733</v>
      </c>
      <c r="AE66" s="451">
        <v>0</v>
      </c>
      <c r="AF66" s="451">
        <v>0</v>
      </c>
      <c r="AG66" s="451">
        <v>331733</v>
      </c>
      <c r="AH66" s="451">
        <v>18506</v>
      </c>
      <c r="AI66" s="451">
        <v>0</v>
      </c>
      <c r="AJ66" s="451">
        <v>0</v>
      </c>
      <c r="AK66" s="451">
        <v>18506</v>
      </c>
      <c r="AL66" s="451">
        <v>601401</v>
      </c>
      <c r="AM66" s="451">
        <v>0</v>
      </c>
      <c r="AN66" s="451">
        <v>0</v>
      </c>
      <c r="AO66" s="451">
        <v>601401</v>
      </c>
      <c r="AP66" s="451">
        <v>-106788</v>
      </c>
      <c r="AQ66" s="451">
        <v>0</v>
      </c>
      <c r="AR66" s="451">
        <v>0</v>
      </c>
      <c r="AS66" s="451">
        <v>-106788</v>
      </c>
      <c r="AT66" s="451">
        <v>35626</v>
      </c>
      <c r="AU66" s="451">
        <v>0</v>
      </c>
      <c r="AV66" s="451">
        <v>0</v>
      </c>
      <c r="AW66" s="451">
        <v>35626</v>
      </c>
      <c r="AX66" s="451">
        <v>1897</v>
      </c>
      <c r="AY66" s="451">
        <v>0</v>
      </c>
      <c r="AZ66" s="451">
        <v>0</v>
      </c>
      <c r="BA66" s="451">
        <v>1897</v>
      </c>
      <c r="BB66" s="451">
        <v>1672</v>
      </c>
      <c r="BC66" s="451">
        <v>0</v>
      </c>
      <c r="BD66" s="451">
        <v>0</v>
      </c>
      <c r="BE66" s="451">
        <v>1672</v>
      </c>
      <c r="BF66" s="451">
        <v>0</v>
      </c>
      <c r="BG66" s="451">
        <v>0</v>
      </c>
      <c r="BH66" s="451">
        <v>0</v>
      </c>
      <c r="BI66" s="451">
        <v>0</v>
      </c>
      <c r="BJ66" s="451">
        <v>632</v>
      </c>
      <c r="BK66" s="451">
        <v>0</v>
      </c>
      <c r="BL66" s="451">
        <v>0</v>
      </c>
      <c r="BM66" s="451">
        <v>632</v>
      </c>
      <c r="BN66" s="451">
        <v>8358</v>
      </c>
      <c r="BO66" s="451">
        <v>0</v>
      </c>
      <c r="BP66" s="451">
        <v>0</v>
      </c>
      <c r="BQ66" s="451">
        <v>8358</v>
      </c>
      <c r="BR66" s="451">
        <v>671773</v>
      </c>
      <c r="BS66" s="451">
        <v>0</v>
      </c>
      <c r="BT66" s="451">
        <v>0</v>
      </c>
      <c r="BU66" s="451">
        <v>671773</v>
      </c>
      <c r="BV66" s="451">
        <v>23331</v>
      </c>
      <c r="BW66" s="451">
        <v>0</v>
      </c>
      <c r="BX66" s="451">
        <v>0</v>
      </c>
      <c r="BY66" s="451">
        <v>23331</v>
      </c>
      <c r="BZ66" s="451">
        <v>4186</v>
      </c>
      <c r="CA66" s="451">
        <v>0</v>
      </c>
      <c r="CB66" s="451">
        <v>0</v>
      </c>
      <c r="CC66" s="451">
        <v>4186</v>
      </c>
      <c r="CD66" s="451">
        <v>-1511</v>
      </c>
      <c r="CE66" s="451">
        <v>0</v>
      </c>
      <c r="CF66" s="451">
        <v>0</v>
      </c>
      <c r="CG66" s="451">
        <v>-1511</v>
      </c>
      <c r="CH66" s="451">
        <v>39782</v>
      </c>
      <c r="CI66" s="451">
        <v>0</v>
      </c>
      <c r="CJ66" s="451">
        <v>0</v>
      </c>
      <c r="CK66" s="451">
        <v>39782</v>
      </c>
      <c r="CL66" s="451">
        <v>-225</v>
      </c>
      <c r="CM66" s="451">
        <v>0</v>
      </c>
      <c r="CN66" s="451">
        <v>0</v>
      </c>
      <c r="CO66" s="451">
        <v>-225</v>
      </c>
      <c r="CP66" s="451">
        <v>1507</v>
      </c>
      <c r="CQ66" s="451">
        <v>0</v>
      </c>
      <c r="CR66" s="451">
        <v>0</v>
      </c>
      <c r="CS66" s="451">
        <v>1507</v>
      </c>
      <c r="CT66" s="451">
        <v>0</v>
      </c>
      <c r="CU66" s="451">
        <v>0</v>
      </c>
      <c r="CV66" s="451">
        <v>0</v>
      </c>
      <c r="CW66" s="451">
        <v>0</v>
      </c>
      <c r="CX66" s="451">
        <v>0</v>
      </c>
      <c r="CY66" s="451">
        <v>0</v>
      </c>
      <c r="CZ66" s="451">
        <v>0</v>
      </c>
      <c r="DA66" s="451">
        <v>0</v>
      </c>
      <c r="DB66" s="451">
        <v>0</v>
      </c>
      <c r="DC66" s="451">
        <v>0</v>
      </c>
      <c r="DD66" s="451">
        <v>0</v>
      </c>
      <c r="DE66" s="451">
        <v>0</v>
      </c>
      <c r="DF66" s="451">
        <v>0</v>
      </c>
      <c r="DG66" s="451">
        <v>0</v>
      </c>
      <c r="DH66" s="451">
        <v>0</v>
      </c>
      <c r="DI66" s="451">
        <v>0</v>
      </c>
      <c r="DJ66" s="451">
        <v>0</v>
      </c>
      <c r="DK66" s="451">
        <v>0</v>
      </c>
      <c r="DL66" s="451">
        <v>0</v>
      </c>
      <c r="DM66" s="451">
        <v>0</v>
      </c>
      <c r="DN66" s="451">
        <v>0</v>
      </c>
      <c r="DO66" s="451">
        <v>0</v>
      </c>
      <c r="DP66" s="451">
        <v>0</v>
      </c>
      <c r="DQ66" s="451">
        <v>0</v>
      </c>
      <c r="DR66" s="451">
        <v>0</v>
      </c>
      <c r="DS66" s="451">
        <v>0</v>
      </c>
      <c r="DT66" s="451">
        <v>0</v>
      </c>
      <c r="DU66" s="451">
        <v>0</v>
      </c>
      <c r="DV66" s="451">
        <v>0</v>
      </c>
      <c r="DW66" s="451">
        <v>0</v>
      </c>
      <c r="DX66" s="451">
        <v>0</v>
      </c>
      <c r="DY66" s="451">
        <v>0</v>
      </c>
      <c r="DZ66" s="451">
        <v>0</v>
      </c>
      <c r="EA66" s="451">
        <v>0</v>
      </c>
      <c r="EB66" s="451">
        <v>0</v>
      </c>
      <c r="EC66" s="451">
        <v>0</v>
      </c>
      <c r="ED66" s="451">
        <v>0</v>
      </c>
      <c r="EE66" s="451">
        <v>0</v>
      </c>
      <c r="EF66" s="451">
        <v>0</v>
      </c>
      <c r="EG66" s="451">
        <v>0</v>
      </c>
      <c r="EH66" s="451">
        <v>0</v>
      </c>
      <c r="EI66" s="451">
        <v>0</v>
      </c>
      <c r="EJ66" s="451">
        <v>0</v>
      </c>
      <c r="EK66" s="451">
        <v>0</v>
      </c>
      <c r="EL66" s="451">
        <v>0</v>
      </c>
      <c r="EM66" s="451">
        <v>0</v>
      </c>
    </row>
    <row r="67" spans="1:143" ht="12.75" x14ac:dyDescent="0.2">
      <c r="A67" s="446">
        <v>61</v>
      </c>
      <c r="B67" s="447" t="s">
        <v>0</v>
      </c>
      <c r="C67" s="448" t="s">
        <v>1104</v>
      </c>
      <c r="D67" s="449" t="s">
        <v>1099</v>
      </c>
      <c r="E67" s="450" t="s">
        <v>702</v>
      </c>
      <c r="F67" s="451">
        <v>365489</v>
      </c>
      <c r="G67" s="451">
        <v>0</v>
      </c>
      <c r="H67" s="451">
        <v>0</v>
      </c>
      <c r="I67" s="451">
        <v>365489</v>
      </c>
      <c r="J67" s="451">
        <v>446641</v>
      </c>
      <c r="K67" s="451">
        <v>0</v>
      </c>
      <c r="L67" s="451">
        <v>0</v>
      </c>
      <c r="M67" s="451">
        <v>446641</v>
      </c>
      <c r="N67" s="451">
        <v>117489</v>
      </c>
      <c r="O67" s="451">
        <v>0</v>
      </c>
      <c r="P67" s="451">
        <v>0</v>
      </c>
      <c r="Q67" s="451">
        <v>117489</v>
      </c>
      <c r="R67" s="451">
        <v>-817921</v>
      </c>
      <c r="S67" s="451">
        <v>0</v>
      </c>
      <c r="T67" s="451">
        <v>0</v>
      </c>
      <c r="U67" s="451">
        <v>-817921</v>
      </c>
      <c r="V67" s="451">
        <v>368413</v>
      </c>
      <c r="W67" s="451">
        <v>0</v>
      </c>
      <c r="X67" s="451">
        <v>0</v>
      </c>
      <c r="Y67" s="451">
        <v>368413</v>
      </c>
      <c r="Z67" s="451">
        <v>25745</v>
      </c>
      <c r="AA67" s="451">
        <v>0</v>
      </c>
      <c r="AB67" s="451">
        <v>0</v>
      </c>
      <c r="AC67" s="451">
        <v>25745</v>
      </c>
      <c r="AD67" s="451">
        <v>16035196</v>
      </c>
      <c r="AE67" s="451">
        <v>0</v>
      </c>
      <c r="AF67" s="451">
        <v>0</v>
      </c>
      <c r="AG67" s="451">
        <v>16035196</v>
      </c>
      <c r="AH67" s="451">
        <v>527754</v>
      </c>
      <c r="AI67" s="451">
        <v>0</v>
      </c>
      <c r="AJ67" s="451">
        <v>0</v>
      </c>
      <c r="AK67" s="451">
        <v>527754</v>
      </c>
      <c r="AL67" s="451">
        <v>10168511</v>
      </c>
      <c r="AM67" s="451">
        <v>0</v>
      </c>
      <c r="AN67" s="451">
        <v>0</v>
      </c>
      <c r="AO67" s="451">
        <v>10168511</v>
      </c>
      <c r="AP67" s="451">
        <v>30217</v>
      </c>
      <c r="AQ67" s="451">
        <v>0</v>
      </c>
      <c r="AR67" s="451">
        <v>0</v>
      </c>
      <c r="AS67" s="451">
        <v>30217</v>
      </c>
      <c r="AT67" s="451">
        <v>0</v>
      </c>
      <c r="AU67" s="451">
        <v>0</v>
      </c>
      <c r="AV67" s="451">
        <v>0</v>
      </c>
      <c r="AW67" s="451">
        <v>0</v>
      </c>
      <c r="AX67" s="451">
        <v>0</v>
      </c>
      <c r="AY67" s="451">
        <v>0</v>
      </c>
      <c r="AZ67" s="451">
        <v>0</v>
      </c>
      <c r="BA67" s="451">
        <v>0</v>
      </c>
      <c r="BB67" s="451">
        <v>0</v>
      </c>
      <c r="BC67" s="451">
        <v>0</v>
      </c>
      <c r="BD67" s="451">
        <v>0</v>
      </c>
      <c r="BE67" s="451">
        <v>0</v>
      </c>
      <c r="BF67" s="451">
        <v>0</v>
      </c>
      <c r="BG67" s="451">
        <v>0</v>
      </c>
      <c r="BH67" s="451">
        <v>0</v>
      </c>
      <c r="BI67" s="451">
        <v>0</v>
      </c>
      <c r="BJ67" s="451">
        <v>811742</v>
      </c>
      <c r="BK67" s="451">
        <v>0</v>
      </c>
      <c r="BL67" s="451">
        <v>0</v>
      </c>
      <c r="BM67" s="451">
        <v>811742</v>
      </c>
      <c r="BN67" s="451">
        <v>3875370</v>
      </c>
      <c r="BO67" s="451">
        <v>0</v>
      </c>
      <c r="BP67" s="451">
        <v>0</v>
      </c>
      <c r="BQ67" s="451">
        <v>3875370</v>
      </c>
      <c r="BR67" s="451">
        <v>34285468</v>
      </c>
      <c r="BS67" s="451">
        <v>0</v>
      </c>
      <c r="BT67" s="451">
        <v>0</v>
      </c>
      <c r="BU67" s="451">
        <v>34285468</v>
      </c>
      <c r="BV67" s="451">
        <v>472411</v>
      </c>
      <c r="BW67" s="451">
        <v>0</v>
      </c>
      <c r="BX67" s="451">
        <v>0</v>
      </c>
      <c r="BY67" s="451">
        <v>472411</v>
      </c>
      <c r="BZ67" s="451">
        <v>132990</v>
      </c>
      <c r="CA67" s="451">
        <v>0</v>
      </c>
      <c r="CB67" s="451">
        <v>0</v>
      </c>
      <c r="CC67" s="451">
        <v>132990</v>
      </c>
      <c r="CD67" s="451">
        <v>4182</v>
      </c>
      <c r="CE67" s="451">
        <v>0</v>
      </c>
      <c r="CF67" s="451">
        <v>0</v>
      </c>
      <c r="CG67" s="451">
        <v>4182</v>
      </c>
      <c r="CH67" s="451">
        <v>480625</v>
      </c>
      <c r="CI67" s="451">
        <v>0</v>
      </c>
      <c r="CJ67" s="451">
        <v>0</v>
      </c>
      <c r="CK67" s="451">
        <v>480625</v>
      </c>
      <c r="CL67" s="451">
        <v>-4181</v>
      </c>
      <c r="CM67" s="451">
        <v>0</v>
      </c>
      <c r="CN67" s="451">
        <v>0</v>
      </c>
      <c r="CO67" s="451">
        <v>-4181</v>
      </c>
      <c r="CP67" s="451">
        <v>0</v>
      </c>
      <c r="CQ67" s="451">
        <v>0</v>
      </c>
      <c r="CR67" s="451">
        <v>0</v>
      </c>
      <c r="CS67" s="451">
        <v>0</v>
      </c>
      <c r="CT67" s="451">
        <v>0</v>
      </c>
      <c r="CU67" s="451">
        <v>0</v>
      </c>
      <c r="CV67" s="451">
        <v>0</v>
      </c>
      <c r="CW67" s="451">
        <v>0</v>
      </c>
      <c r="CX67" s="451">
        <v>0</v>
      </c>
      <c r="CY67" s="451">
        <v>0</v>
      </c>
      <c r="CZ67" s="451">
        <v>0</v>
      </c>
      <c r="DA67" s="451">
        <v>0</v>
      </c>
      <c r="DB67" s="451">
        <v>0</v>
      </c>
      <c r="DC67" s="451">
        <v>0</v>
      </c>
      <c r="DD67" s="451">
        <v>0</v>
      </c>
      <c r="DE67" s="451">
        <v>0</v>
      </c>
      <c r="DF67" s="451">
        <v>0</v>
      </c>
      <c r="DG67" s="451">
        <v>0</v>
      </c>
      <c r="DH67" s="451">
        <v>0</v>
      </c>
      <c r="DI67" s="451">
        <v>0</v>
      </c>
      <c r="DJ67" s="451">
        <v>0</v>
      </c>
      <c r="DK67" s="451">
        <v>0</v>
      </c>
      <c r="DL67" s="451">
        <v>0</v>
      </c>
      <c r="DM67" s="451">
        <v>0</v>
      </c>
      <c r="DN67" s="451">
        <v>0</v>
      </c>
      <c r="DO67" s="451">
        <v>0</v>
      </c>
      <c r="DP67" s="451">
        <v>0</v>
      </c>
      <c r="DQ67" s="451">
        <v>0</v>
      </c>
      <c r="DR67" s="451">
        <v>0</v>
      </c>
      <c r="DS67" s="451">
        <v>0</v>
      </c>
      <c r="DT67" s="451">
        <v>0</v>
      </c>
      <c r="DU67" s="451">
        <v>0</v>
      </c>
      <c r="DV67" s="451">
        <v>0</v>
      </c>
      <c r="DW67" s="451">
        <v>0</v>
      </c>
      <c r="DX67" s="451">
        <v>0</v>
      </c>
      <c r="DY67" s="451">
        <v>0</v>
      </c>
      <c r="DZ67" s="451">
        <v>0</v>
      </c>
      <c r="EA67" s="451">
        <v>0</v>
      </c>
      <c r="EB67" s="451">
        <v>0</v>
      </c>
      <c r="EC67" s="451">
        <v>0</v>
      </c>
      <c r="ED67" s="451">
        <v>0</v>
      </c>
      <c r="EE67" s="451">
        <v>0</v>
      </c>
      <c r="EF67" s="451">
        <v>42626</v>
      </c>
      <c r="EG67" s="451">
        <v>0</v>
      </c>
      <c r="EH67" s="451">
        <v>0</v>
      </c>
      <c r="EI67" s="451">
        <v>42626</v>
      </c>
      <c r="EJ67" s="451">
        <v>0</v>
      </c>
      <c r="EK67" s="451">
        <v>0</v>
      </c>
      <c r="EL67" s="451">
        <v>0</v>
      </c>
      <c r="EM67" s="451">
        <v>0</v>
      </c>
    </row>
    <row r="68" spans="1:143" ht="12.75" x14ac:dyDescent="0.2">
      <c r="A68" s="446">
        <v>62</v>
      </c>
      <c r="B68" s="447" t="s">
        <v>2</v>
      </c>
      <c r="C68" s="448" t="s">
        <v>1093</v>
      </c>
      <c r="D68" s="449" t="s">
        <v>1097</v>
      </c>
      <c r="E68" s="450" t="s">
        <v>1</v>
      </c>
      <c r="F68" s="451">
        <v>110938</v>
      </c>
      <c r="G68" s="451">
        <v>0</v>
      </c>
      <c r="H68" s="451">
        <v>0</v>
      </c>
      <c r="I68" s="451">
        <v>110938</v>
      </c>
      <c r="J68" s="451">
        <v>-53587</v>
      </c>
      <c r="K68" s="451">
        <v>0</v>
      </c>
      <c r="L68" s="451">
        <v>0</v>
      </c>
      <c r="M68" s="451">
        <v>-53587</v>
      </c>
      <c r="N68" s="451">
        <v>160112</v>
      </c>
      <c r="O68" s="451">
        <v>0</v>
      </c>
      <c r="P68" s="451">
        <v>0</v>
      </c>
      <c r="Q68" s="451">
        <v>160112</v>
      </c>
      <c r="R68" s="451">
        <v>211311</v>
      </c>
      <c r="S68" s="451">
        <v>0</v>
      </c>
      <c r="T68" s="451">
        <v>0</v>
      </c>
      <c r="U68" s="451">
        <v>211311</v>
      </c>
      <c r="V68" s="451">
        <v>2725345</v>
      </c>
      <c r="W68" s="451">
        <v>0</v>
      </c>
      <c r="X68" s="451">
        <v>0</v>
      </c>
      <c r="Y68" s="451">
        <v>2725345</v>
      </c>
      <c r="Z68" s="451">
        <v>82272</v>
      </c>
      <c r="AA68" s="451">
        <v>0</v>
      </c>
      <c r="AB68" s="451">
        <v>0</v>
      </c>
      <c r="AC68" s="451">
        <v>82272</v>
      </c>
      <c r="AD68" s="451">
        <v>1211424</v>
      </c>
      <c r="AE68" s="451">
        <v>0</v>
      </c>
      <c r="AF68" s="451">
        <v>0</v>
      </c>
      <c r="AG68" s="451">
        <v>1211424</v>
      </c>
      <c r="AH68" s="451">
        <v>-13922</v>
      </c>
      <c r="AI68" s="451">
        <v>0</v>
      </c>
      <c r="AJ68" s="451">
        <v>0</v>
      </c>
      <c r="AK68" s="451">
        <v>-13922</v>
      </c>
      <c r="AL68" s="451">
        <v>4334327</v>
      </c>
      <c r="AM68" s="451">
        <v>0</v>
      </c>
      <c r="AN68" s="451">
        <v>0</v>
      </c>
      <c r="AO68" s="451">
        <v>4334327</v>
      </c>
      <c r="AP68" s="451">
        <v>231</v>
      </c>
      <c r="AQ68" s="451">
        <v>0</v>
      </c>
      <c r="AR68" s="451">
        <v>0</v>
      </c>
      <c r="AS68" s="451">
        <v>231</v>
      </c>
      <c r="AT68" s="451">
        <v>57744</v>
      </c>
      <c r="AU68" s="451">
        <v>0</v>
      </c>
      <c r="AV68" s="451">
        <v>0</v>
      </c>
      <c r="AW68" s="451">
        <v>57744</v>
      </c>
      <c r="AX68" s="451">
        <v>0</v>
      </c>
      <c r="AY68" s="451">
        <v>0</v>
      </c>
      <c r="AZ68" s="451">
        <v>0</v>
      </c>
      <c r="BA68" s="451">
        <v>0</v>
      </c>
      <c r="BB68" s="451">
        <v>16869</v>
      </c>
      <c r="BC68" s="451">
        <v>0</v>
      </c>
      <c r="BD68" s="451">
        <v>0</v>
      </c>
      <c r="BE68" s="451">
        <v>16869</v>
      </c>
      <c r="BF68" s="451">
        <v>0</v>
      </c>
      <c r="BG68" s="451">
        <v>0</v>
      </c>
      <c r="BH68" s="451">
        <v>0</v>
      </c>
      <c r="BI68" s="451">
        <v>0</v>
      </c>
      <c r="BJ68" s="451">
        <v>18210</v>
      </c>
      <c r="BK68" s="451">
        <v>0</v>
      </c>
      <c r="BL68" s="451">
        <v>0</v>
      </c>
      <c r="BM68" s="451">
        <v>18210</v>
      </c>
      <c r="BN68" s="451">
        <v>2989</v>
      </c>
      <c r="BO68" s="451">
        <v>0</v>
      </c>
      <c r="BP68" s="451">
        <v>0</v>
      </c>
      <c r="BQ68" s="451">
        <v>2989</v>
      </c>
      <c r="BR68" s="451">
        <v>2967155</v>
      </c>
      <c r="BS68" s="451">
        <v>0</v>
      </c>
      <c r="BT68" s="451">
        <v>0</v>
      </c>
      <c r="BU68" s="451">
        <v>2967155</v>
      </c>
      <c r="BV68" s="451">
        <v>165417</v>
      </c>
      <c r="BW68" s="451">
        <v>0</v>
      </c>
      <c r="BX68" s="451">
        <v>0</v>
      </c>
      <c r="BY68" s="451">
        <v>165417</v>
      </c>
      <c r="BZ68" s="451">
        <v>147352</v>
      </c>
      <c r="CA68" s="451">
        <v>0</v>
      </c>
      <c r="CB68" s="451">
        <v>0</v>
      </c>
      <c r="CC68" s="451">
        <v>147352</v>
      </c>
      <c r="CD68" s="451">
        <v>926</v>
      </c>
      <c r="CE68" s="451">
        <v>0</v>
      </c>
      <c r="CF68" s="451">
        <v>0</v>
      </c>
      <c r="CG68" s="451">
        <v>926</v>
      </c>
      <c r="CH68" s="451">
        <v>37828</v>
      </c>
      <c r="CI68" s="451">
        <v>0</v>
      </c>
      <c r="CJ68" s="451">
        <v>0</v>
      </c>
      <c r="CK68" s="451">
        <v>37828</v>
      </c>
      <c r="CL68" s="451">
        <v>2108</v>
      </c>
      <c r="CM68" s="451">
        <v>0</v>
      </c>
      <c r="CN68" s="451">
        <v>0</v>
      </c>
      <c r="CO68" s="451">
        <v>2108</v>
      </c>
      <c r="CP68" s="451">
        <v>14097</v>
      </c>
      <c r="CQ68" s="451">
        <v>0</v>
      </c>
      <c r="CR68" s="451">
        <v>0</v>
      </c>
      <c r="CS68" s="451">
        <v>14097</v>
      </c>
      <c r="CT68" s="451">
        <v>0</v>
      </c>
      <c r="CU68" s="451">
        <v>0</v>
      </c>
      <c r="CV68" s="451">
        <v>0</v>
      </c>
      <c r="CW68" s="451">
        <v>0</v>
      </c>
      <c r="CX68" s="451">
        <v>16869</v>
      </c>
      <c r="CY68" s="451">
        <v>0</v>
      </c>
      <c r="CZ68" s="451">
        <v>0</v>
      </c>
      <c r="DA68" s="451">
        <v>16869</v>
      </c>
      <c r="DB68" s="451">
        <v>0</v>
      </c>
      <c r="DC68" s="451">
        <v>0</v>
      </c>
      <c r="DD68" s="451">
        <v>0</v>
      </c>
      <c r="DE68" s="451">
        <v>0</v>
      </c>
      <c r="DF68" s="451">
        <v>0</v>
      </c>
      <c r="DG68" s="451">
        <v>0</v>
      </c>
      <c r="DH68" s="451">
        <v>0</v>
      </c>
      <c r="DI68" s="451">
        <v>0</v>
      </c>
      <c r="DJ68" s="451">
        <v>0</v>
      </c>
      <c r="DK68" s="451">
        <v>0</v>
      </c>
      <c r="DL68" s="451">
        <v>0</v>
      </c>
      <c r="DM68" s="451">
        <v>0</v>
      </c>
      <c r="DN68" s="451">
        <v>0</v>
      </c>
      <c r="DO68" s="451">
        <v>0</v>
      </c>
      <c r="DP68" s="451">
        <v>0</v>
      </c>
      <c r="DQ68" s="451">
        <v>0</v>
      </c>
      <c r="DR68" s="451">
        <v>0</v>
      </c>
      <c r="DS68" s="451">
        <v>0</v>
      </c>
      <c r="DT68" s="451">
        <v>0</v>
      </c>
      <c r="DU68" s="451">
        <v>0</v>
      </c>
      <c r="DV68" s="451">
        <v>0</v>
      </c>
      <c r="DW68" s="451">
        <v>0</v>
      </c>
      <c r="DX68" s="451">
        <v>0</v>
      </c>
      <c r="DY68" s="451">
        <v>0</v>
      </c>
      <c r="DZ68" s="451">
        <v>0</v>
      </c>
      <c r="EA68" s="451">
        <v>0</v>
      </c>
      <c r="EB68" s="451">
        <v>0</v>
      </c>
      <c r="EC68" s="451">
        <v>0</v>
      </c>
      <c r="ED68" s="451">
        <v>0</v>
      </c>
      <c r="EE68" s="451">
        <v>0</v>
      </c>
      <c r="EF68" s="451">
        <v>0</v>
      </c>
      <c r="EG68" s="451">
        <v>0</v>
      </c>
      <c r="EH68" s="451">
        <v>0</v>
      </c>
      <c r="EI68" s="451">
        <v>0</v>
      </c>
      <c r="EJ68" s="451">
        <v>0</v>
      </c>
      <c r="EK68" s="451">
        <v>0</v>
      </c>
      <c r="EL68" s="451">
        <v>0</v>
      </c>
      <c r="EM68" s="451">
        <v>0</v>
      </c>
    </row>
    <row r="69" spans="1:143" ht="12.75" x14ac:dyDescent="0.2">
      <c r="A69" s="446">
        <v>63</v>
      </c>
      <c r="B69" s="447" t="s">
        <v>4</v>
      </c>
      <c r="C69" s="448" t="s">
        <v>1093</v>
      </c>
      <c r="D69" s="449" t="s">
        <v>1095</v>
      </c>
      <c r="E69" s="450" t="s">
        <v>3</v>
      </c>
      <c r="F69" s="451">
        <v>99021</v>
      </c>
      <c r="G69" s="451">
        <v>0</v>
      </c>
      <c r="H69" s="451">
        <v>0</v>
      </c>
      <c r="I69" s="451">
        <v>99021</v>
      </c>
      <c r="J69" s="451">
        <v>-77055</v>
      </c>
      <c r="K69" s="451">
        <v>0</v>
      </c>
      <c r="L69" s="451">
        <v>0</v>
      </c>
      <c r="M69" s="451">
        <v>-77055</v>
      </c>
      <c r="N69" s="451">
        <v>18403</v>
      </c>
      <c r="O69" s="451">
        <v>0</v>
      </c>
      <c r="P69" s="451">
        <v>0</v>
      </c>
      <c r="Q69" s="451">
        <v>18403</v>
      </c>
      <c r="R69" s="451">
        <v>36408</v>
      </c>
      <c r="S69" s="451">
        <v>0</v>
      </c>
      <c r="T69" s="451">
        <v>0</v>
      </c>
      <c r="U69" s="451">
        <v>36408</v>
      </c>
      <c r="V69" s="451">
        <v>1292276</v>
      </c>
      <c r="W69" s="451">
        <v>0</v>
      </c>
      <c r="X69" s="451">
        <v>0</v>
      </c>
      <c r="Y69" s="451">
        <v>1292276</v>
      </c>
      <c r="Z69" s="451">
        <v>61083</v>
      </c>
      <c r="AA69" s="451">
        <v>0</v>
      </c>
      <c r="AB69" s="451">
        <v>0</v>
      </c>
      <c r="AC69" s="451">
        <v>61083</v>
      </c>
      <c r="AD69" s="451">
        <v>794635</v>
      </c>
      <c r="AE69" s="451">
        <v>0</v>
      </c>
      <c r="AF69" s="451">
        <v>0</v>
      </c>
      <c r="AG69" s="451">
        <v>794635</v>
      </c>
      <c r="AH69" s="451">
        <v>-4706</v>
      </c>
      <c r="AI69" s="451">
        <v>0</v>
      </c>
      <c r="AJ69" s="451">
        <v>0</v>
      </c>
      <c r="AK69" s="451">
        <v>-4706</v>
      </c>
      <c r="AL69" s="451">
        <v>1138397</v>
      </c>
      <c r="AM69" s="451">
        <v>0</v>
      </c>
      <c r="AN69" s="451">
        <v>0</v>
      </c>
      <c r="AO69" s="451">
        <v>1138397</v>
      </c>
      <c r="AP69" s="451">
        <v>19433</v>
      </c>
      <c r="AQ69" s="451">
        <v>0</v>
      </c>
      <c r="AR69" s="451">
        <v>0</v>
      </c>
      <c r="AS69" s="451">
        <v>19433</v>
      </c>
      <c r="AT69" s="451">
        <v>61039</v>
      </c>
      <c r="AU69" s="451">
        <v>0</v>
      </c>
      <c r="AV69" s="451">
        <v>0</v>
      </c>
      <c r="AW69" s="451">
        <v>61039</v>
      </c>
      <c r="AX69" s="451">
        <v>-9260</v>
      </c>
      <c r="AY69" s="451">
        <v>0</v>
      </c>
      <c r="AZ69" s="451">
        <v>0</v>
      </c>
      <c r="BA69" s="451">
        <v>-9260</v>
      </c>
      <c r="BB69" s="451">
        <v>23253</v>
      </c>
      <c r="BC69" s="451">
        <v>0</v>
      </c>
      <c r="BD69" s="451">
        <v>0</v>
      </c>
      <c r="BE69" s="451">
        <v>23253</v>
      </c>
      <c r="BF69" s="451">
        <v>-10</v>
      </c>
      <c r="BG69" s="451">
        <v>0</v>
      </c>
      <c r="BH69" s="451">
        <v>0</v>
      </c>
      <c r="BI69" s="451">
        <v>-10</v>
      </c>
      <c r="BJ69" s="451">
        <v>958</v>
      </c>
      <c r="BK69" s="451">
        <v>0</v>
      </c>
      <c r="BL69" s="451">
        <v>0</v>
      </c>
      <c r="BM69" s="451">
        <v>958</v>
      </c>
      <c r="BN69" s="451">
        <v>0</v>
      </c>
      <c r="BO69" s="451">
        <v>0</v>
      </c>
      <c r="BP69" s="451">
        <v>0</v>
      </c>
      <c r="BQ69" s="451">
        <v>0</v>
      </c>
      <c r="BR69" s="451">
        <v>291941</v>
      </c>
      <c r="BS69" s="451">
        <v>0</v>
      </c>
      <c r="BT69" s="451">
        <v>0</v>
      </c>
      <c r="BU69" s="451">
        <v>291941</v>
      </c>
      <c r="BV69" s="451">
        <v>-22402</v>
      </c>
      <c r="BW69" s="451">
        <v>0</v>
      </c>
      <c r="BX69" s="451">
        <v>0</v>
      </c>
      <c r="BY69" s="451">
        <v>-22402</v>
      </c>
      <c r="BZ69" s="451">
        <v>0</v>
      </c>
      <c r="CA69" s="451">
        <v>0</v>
      </c>
      <c r="CB69" s="451">
        <v>0</v>
      </c>
      <c r="CC69" s="451">
        <v>0</v>
      </c>
      <c r="CD69" s="451">
        <v>0</v>
      </c>
      <c r="CE69" s="451">
        <v>0</v>
      </c>
      <c r="CF69" s="451">
        <v>0</v>
      </c>
      <c r="CG69" s="451">
        <v>0</v>
      </c>
      <c r="CH69" s="451">
        <v>0</v>
      </c>
      <c r="CI69" s="451">
        <v>0</v>
      </c>
      <c r="CJ69" s="451">
        <v>0</v>
      </c>
      <c r="CK69" s="451">
        <v>0</v>
      </c>
      <c r="CL69" s="451">
        <v>0</v>
      </c>
      <c r="CM69" s="451">
        <v>0</v>
      </c>
      <c r="CN69" s="451">
        <v>0</v>
      </c>
      <c r="CO69" s="451">
        <v>0</v>
      </c>
      <c r="CP69" s="451">
        <v>0</v>
      </c>
      <c r="CQ69" s="451">
        <v>0</v>
      </c>
      <c r="CR69" s="451">
        <v>0</v>
      </c>
      <c r="CS69" s="451">
        <v>0</v>
      </c>
      <c r="CT69" s="451">
        <v>0</v>
      </c>
      <c r="CU69" s="451">
        <v>0</v>
      </c>
      <c r="CV69" s="451">
        <v>0</v>
      </c>
      <c r="CW69" s="451">
        <v>0</v>
      </c>
      <c r="CX69" s="451">
        <v>109</v>
      </c>
      <c r="CY69" s="451">
        <v>0</v>
      </c>
      <c r="CZ69" s="451">
        <v>0</v>
      </c>
      <c r="DA69" s="451">
        <v>109</v>
      </c>
      <c r="DB69" s="451">
        <v>0</v>
      </c>
      <c r="DC69" s="451">
        <v>0</v>
      </c>
      <c r="DD69" s="451">
        <v>0</v>
      </c>
      <c r="DE69" s="451">
        <v>0</v>
      </c>
      <c r="DF69" s="451">
        <v>0</v>
      </c>
      <c r="DG69" s="451">
        <v>0</v>
      </c>
      <c r="DH69" s="451">
        <v>0</v>
      </c>
      <c r="DI69" s="451">
        <v>0</v>
      </c>
      <c r="DJ69" s="451">
        <v>0</v>
      </c>
      <c r="DK69" s="451">
        <v>0</v>
      </c>
      <c r="DL69" s="451">
        <v>0</v>
      </c>
      <c r="DM69" s="451">
        <v>0</v>
      </c>
      <c r="DN69" s="451">
        <v>0</v>
      </c>
      <c r="DO69" s="451">
        <v>0</v>
      </c>
      <c r="DP69" s="451">
        <v>0</v>
      </c>
      <c r="DQ69" s="451">
        <v>0</v>
      </c>
      <c r="DR69" s="451">
        <v>0</v>
      </c>
      <c r="DS69" s="451">
        <v>0</v>
      </c>
      <c r="DT69" s="451">
        <v>0</v>
      </c>
      <c r="DU69" s="451">
        <v>0</v>
      </c>
      <c r="DV69" s="451">
        <v>0</v>
      </c>
      <c r="DW69" s="451">
        <v>0</v>
      </c>
      <c r="DX69" s="451">
        <v>0</v>
      </c>
      <c r="DY69" s="451">
        <v>0</v>
      </c>
      <c r="DZ69" s="451">
        <v>0</v>
      </c>
      <c r="EA69" s="451">
        <v>0</v>
      </c>
      <c r="EB69" s="451">
        <v>0</v>
      </c>
      <c r="EC69" s="451">
        <v>0</v>
      </c>
      <c r="ED69" s="451">
        <v>0</v>
      </c>
      <c r="EE69" s="451">
        <v>0</v>
      </c>
      <c r="EF69" s="451">
        <v>0</v>
      </c>
      <c r="EG69" s="451">
        <v>0</v>
      </c>
      <c r="EH69" s="451">
        <v>0</v>
      </c>
      <c r="EI69" s="451">
        <v>0</v>
      </c>
      <c r="EJ69" s="451">
        <v>0</v>
      </c>
      <c r="EK69" s="451">
        <v>0</v>
      </c>
      <c r="EL69" s="451">
        <v>0</v>
      </c>
      <c r="EM69" s="451">
        <v>0</v>
      </c>
    </row>
    <row r="70" spans="1:143" ht="12.75" x14ac:dyDescent="0.2">
      <c r="A70" s="446">
        <v>64</v>
      </c>
      <c r="B70" s="447" t="s">
        <v>6</v>
      </c>
      <c r="C70" s="448" t="s">
        <v>1093</v>
      </c>
      <c r="D70" s="449" t="s">
        <v>1096</v>
      </c>
      <c r="E70" s="450" t="s">
        <v>5</v>
      </c>
      <c r="F70" s="451">
        <v>525588</v>
      </c>
      <c r="G70" s="451">
        <v>0</v>
      </c>
      <c r="H70" s="451">
        <v>0</v>
      </c>
      <c r="I70" s="451">
        <v>525588</v>
      </c>
      <c r="J70" s="451">
        <v>51244</v>
      </c>
      <c r="K70" s="451">
        <v>0</v>
      </c>
      <c r="L70" s="451">
        <v>0</v>
      </c>
      <c r="M70" s="451">
        <v>51244</v>
      </c>
      <c r="N70" s="451">
        <v>1864</v>
      </c>
      <c r="O70" s="451">
        <v>0</v>
      </c>
      <c r="P70" s="451">
        <v>0</v>
      </c>
      <c r="Q70" s="451">
        <v>1864</v>
      </c>
      <c r="R70" s="451">
        <v>169755</v>
      </c>
      <c r="S70" s="451">
        <v>0</v>
      </c>
      <c r="T70" s="451">
        <v>0</v>
      </c>
      <c r="U70" s="451">
        <v>169755</v>
      </c>
      <c r="V70" s="451">
        <v>1002738</v>
      </c>
      <c r="W70" s="451">
        <v>0</v>
      </c>
      <c r="X70" s="451">
        <v>0</v>
      </c>
      <c r="Y70" s="451">
        <v>1002738</v>
      </c>
      <c r="Z70" s="451">
        <v>35705</v>
      </c>
      <c r="AA70" s="451">
        <v>0</v>
      </c>
      <c r="AB70" s="451">
        <v>0</v>
      </c>
      <c r="AC70" s="451">
        <v>35705</v>
      </c>
      <c r="AD70" s="451">
        <v>679614</v>
      </c>
      <c r="AE70" s="451">
        <v>0</v>
      </c>
      <c r="AF70" s="451">
        <v>0</v>
      </c>
      <c r="AG70" s="451">
        <v>679614</v>
      </c>
      <c r="AH70" s="451">
        <v>13369</v>
      </c>
      <c r="AI70" s="451">
        <v>0</v>
      </c>
      <c r="AJ70" s="451">
        <v>0</v>
      </c>
      <c r="AK70" s="451">
        <v>13369</v>
      </c>
      <c r="AL70" s="451">
        <v>1721514</v>
      </c>
      <c r="AM70" s="451">
        <v>0</v>
      </c>
      <c r="AN70" s="451">
        <v>0</v>
      </c>
      <c r="AO70" s="451">
        <v>1721514</v>
      </c>
      <c r="AP70" s="451">
        <v>35505</v>
      </c>
      <c r="AQ70" s="451">
        <v>0</v>
      </c>
      <c r="AR70" s="451">
        <v>0</v>
      </c>
      <c r="AS70" s="451">
        <v>35505</v>
      </c>
      <c r="AT70" s="451">
        <v>0</v>
      </c>
      <c r="AU70" s="451">
        <v>0</v>
      </c>
      <c r="AV70" s="451">
        <v>0</v>
      </c>
      <c r="AW70" s="451">
        <v>0</v>
      </c>
      <c r="AX70" s="451">
        <v>0</v>
      </c>
      <c r="AY70" s="451">
        <v>0</v>
      </c>
      <c r="AZ70" s="451">
        <v>0</v>
      </c>
      <c r="BA70" s="451">
        <v>0</v>
      </c>
      <c r="BB70" s="451">
        <v>518</v>
      </c>
      <c r="BC70" s="451">
        <v>0</v>
      </c>
      <c r="BD70" s="451">
        <v>0</v>
      </c>
      <c r="BE70" s="451">
        <v>518</v>
      </c>
      <c r="BF70" s="451">
        <v>0</v>
      </c>
      <c r="BG70" s="451">
        <v>0</v>
      </c>
      <c r="BH70" s="451">
        <v>0</v>
      </c>
      <c r="BI70" s="451">
        <v>0</v>
      </c>
      <c r="BJ70" s="451">
        <v>141523</v>
      </c>
      <c r="BK70" s="451">
        <v>0</v>
      </c>
      <c r="BL70" s="451">
        <v>0</v>
      </c>
      <c r="BM70" s="451">
        <v>141523</v>
      </c>
      <c r="BN70" s="451">
        <v>7492.81</v>
      </c>
      <c r="BO70" s="451">
        <v>0</v>
      </c>
      <c r="BP70" s="451">
        <v>0</v>
      </c>
      <c r="BQ70" s="451">
        <v>7492.81</v>
      </c>
      <c r="BR70" s="451">
        <v>1769143.85</v>
      </c>
      <c r="BS70" s="451">
        <v>0</v>
      </c>
      <c r="BT70" s="451">
        <v>0</v>
      </c>
      <c r="BU70" s="451">
        <v>1769143.85</v>
      </c>
      <c r="BV70" s="451">
        <v>266558</v>
      </c>
      <c r="BW70" s="451">
        <v>0</v>
      </c>
      <c r="BX70" s="451">
        <v>0</v>
      </c>
      <c r="BY70" s="451">
        <v>266558</v>
      </c>
      <c r="BZ70" s="451">
        <v>31701</v>
      </c>
      <c r="CA70" s="451">
        <v>0</v>
      </c>
      <c r="CB70" s="451">
        <v>0</v>
      </c>
      <c r="CC70" s="451">
        <v>31701</v>
      </c>
      <c r="CD70" s="451">
        <v>0</v>
      </c>
      <c r="CE70" s="451">
        <v>0</v>
      </c>
      <c r="CF70" s="451">
        <v>0</v>
      </c>
      <c r="CG70" s="451">
        <v>0</v>
      </c>
      <c r="CH70" s="451">
        <v>42482</v>
      </c>
      <c r="CI70" s="451">
        <v>0</v>
      </c>
      <c r="CJ70" s="451">
        <v>0</v>
      </c>
      <c r="CK70" s="451">
        <v>42482</v>
      </c>
      <c r="CL70" s="451">
        <v>0</v>
      </c>
      <c r="CM70" s="451">
        <v>0</v>
      </c>
      <c r="CN70" s="451">
        <v>0</v>
      </c>
      <c r="CO70" s="451">
        <v>0</v>
      </c>
      <c r="CP70" s="451">
        <v>0</v>
      </c>
      <c r="CQ70" s="451">
        <v>0</v>
      </c>
      <c r="CR70" s="451">
        <v>0</v>
      </c>
      <c r="CS70" s="451">
        <v>0</v>
      </c>
      <c r="CT70" s="451">
        <v>0</v>
      </c>
      <c r="CU70" s="451">
        <v>0</v>
      </c>
      <c r="CV70" s="451">
        <v>0</v>
      </c>
      <c r="CW70" s="451">
        <v>0</v>
      </c>
      <c r="CX70" s="451">
        <v>0</v>
      </c>
      <c r="CY70" s="451">
        <v>0</v>
      </c>
      <c r="CZ70" s="451">
        <v>0</v>
      </c>
      <c r="DA70" s="451">
        <v>0</v>
      </c>
      <c r="DB70" s="451">
        <v>0</v>
      </c>
      <c r="DC70" s="451">
        <v>0</v>
      </c>
      <c r="DD70" s="451">
        <v>0</v>
      </c>
      <c r="DE70" s="451">
        <v>0</v>
      </c>
      <c r="DF70" s="451">
        <v>0</v>
      </c>
      <c r="DG70" s="451">
        <v>0</v>
      </c>
      <c r="DH70" s="451">
        <v>0</v>
      </c>
      <c r="DI70" s="451">
        <v>0</v>
      </c>
      <c r="DJ70" s="451">
        <v>0</v>
      </c>
      <c r="DK70" s="451">
        <v>0</v>
      </c>
      <c r="DL70" s="451">
        <v>0</v>
      </c>
      <c r="DM70" s="451">
        <v>0</v>
      </c>
      <c r="DN70" s="451">
        <v>0</v>
      </c>
      <c r="DO70" s="451">
        <v>0</v>
      </c>
      <c r="DP70" s="451">
        <v>0</v>
      </c>
      <c r="DQ70" s="451">
        <v>0</v>
      </c>
      <c r="DR70" s="451">
        <v>0</v>
      </c>
      <c r="DS70" s="451">
        <v>0</v>
      </c>
      <c r="DT70" s="451">
        <v>0</v>
      </c>
      <c r="DU70" s="451">
        <v>0</v>
      </c>
      <c r="DV70" s="451">
        <v>0</v>
      </c>
      <c r="DW70" s="451">
        <v>0</v>
      </c>
      <c r="DX70" s="451">
        <v>0</v>
      </c>
      <c r="DY70" s="451">
        <v>0</v>
      </c>
      <c r="DZ70" s="451">
        <v>0</v>
      </c>
      <c r="EA70" s="451">
        <v>0</v>
      </c>
      <c r="EB70" s="451">
        <v>0</v>
      </c>
      <c r="EC70" s="451">
        <v>0</v>
      </c>
      <c r="ED70" s="451">
        <v>0</v>
      </c>
      <c r="EE70" s="451">
        <v>0</v>
      </c>
      <c r="EF70" s="451">
        <v>0</v>
      </c>
      <c r="EG70" s="451">
        <v>0</v>
      </c>
      <c r="EH70" s="451">
        <v>0</v>
      </c>
      <c r="EI70" s="451">
        <v>0</v>
      </c>
      <c r="EJ70" s="451">
        <v>0</v>
      </c>
      <c r="EK70" s="451">
        <v>0</v>
      </c>
      <c r="EL70" s="451">
        <v>0</v>
      </c>
      <c r="EM70" s="451">
        <v>0</v>
      </c>
    </row>
    <row r="71" spans="1:143" ht="12.75" x14ac:dyDescent="0.2">
      <c r="A71" s="446">
        <v>65</v>
      </c>
      <c r="B71" s="447" t="s">
        <v>8</v>
      </c>
      <c r="C71" s="448" t="s">
        <v>794</v>
      </c>
      <c r="D71" s="449" t="s">
        <v>1102</v>
      </c>
      <c r="E71" s="450" t="s">
        <v>7</v>
      </c>
      <c r="F71" s="451">
        <v>1984624</v>
      </c>
      <c r="G71" s="451">
        <v>0</v>
      </c>
      <c r="H71" s="451">
        <v>0</v>
      </c>
      <c r="I71" s="451">
        <v>1984624</v>
      </c>
      <c r="J71" s="451">
        <v>-612354</v>
      </c>
      <c r="K71" s="451">
        <v>0</v>
      </c>
      <c r="L71" s="451">
        <v>6</v>
      </c>
      <c r="M71" s="451">
        <v>-612348</v>
      </c>
      <c r="N71" s="451">
        <v>171800</v>
      </c>
      <c r="O71" s="451">
        <v>0</v>
      </c>
      <c r="P71" s="451">
        <v>0</v>
      </c>
      <c r="Q71" s="451">
        <v>171800</v>
      </c>
      <c r="R71" s="451">
        <v>190952</v>
      </c>
      <c r="S71" s="451">
        <v>0</v>
      </c>
      <c r="T71" s="451">
        <v>0</v>
      </c>
      <c r="U71" s="451">
        <v>190952</v>
      </c>
      <c r="V71" s="451">
        <v>20566382</v>
      </c>
      <c r="W71" s="451">
        <v>0</v>
      </c>
      <c r="X71" s="451">
        <v>0</v>
      </c>
      <c r="Y71" s="451">
        <v>20566382</v>
      </c>
      <c r="Z71" s="451">
        <v>1258539</v>
      </c>
      <c r="AA71" s="451">
        <v>0</v>
      </c>
      <c r="AB71" s="451">
        <v>0</v>
      </c>
      <c r="AC71" s="451">
        <v>1258539</v>
      </c>
      <c r="AD71" s="451">
        <v>2786893</v>
      </c>
      <c r="AE71" s="451">
        <v>0</v>
      </c>
      <c r="AF71" s="451">
        <v>10355</v>
      </c>
      <c r="AG71" s="451">
        <v>2797248</v>
      </c>
      <c r="AH71" s="451">
        <v>-26635</v>
      </c>
      <c r="AI71" s="451">
        <v>0</v>
      </c>
      <c r="AJ71" s="451">
        <v>-7954</v>
      </c>
      <c r="AK71" s="451">
        <v>-34589</v>
      </c>
      <c r="AL71" s="451">
        <v>14685960</v>
      </c>
      <c r="AM71" s="451">
        <v>0</v>
      </c>
      <c r="AN71" s="451">
        <v>77969</v>
      </c>
      <c r="AO71" s="451">
        <v>14763929</v>
      </c>
      <c r="AP71" s="451">
        <v>1419073</v>
      </c>
      <c r="AQ71" s="451">
        <v>0</v>
      </c>
      <c r="AR71" s="451">
        <v>22652</v>
      </c>
      <c r="AS71" s="451">
        <v>1441725</v>
      </c>
      <c r="AT71" s="451">
        <v>192844</v>
      </c>
      <c r="AU71" s="451">
        <v>0</v>
      </c>
      <c r="AV71" s="451">
        <v>0</v>
      </c>
      <c r="AW71" s="451">
        <v>192844</v>
      </c>
      <c r="AX71" s="451">
        <v>5476</v>
      </c>
      <c r="AY71" s="451">
        <v>0</v>
      </c>
      <c r="AZ71" s="451">
        <v>0</v>
      </c>
      <c r="BA71" s="451">
        <v>5476</v>
      </c>
      <c r="BB71" s="451">
        <v>248611</v>
      </c>
      <c r="BC71" s="451">
        <v>0</v>
      </c>
      <c r="BD71" s="451">
        <v>0</v>
      </c>
      <c r="BE71" s="451">
        <v>248611</v>
      </c>
      <c r="BF71" s="451">
        <v>530</v>
      </c>
      <c r="BG71" s="451">
        <v>0</v>
      </c>
      <c r="BH71" s="451">
        <v>0</v>
      </c>
      <c r="BI71" s="451">
        <v>530</v>
      </c>
      <c r="BJ71" s="451">
        <v>67797</v>
      </c>
      <c r="BK71" s="451">
        <v>0</v>
      </c>
      <c r="BL71" s="451">
        <v>0</v>
      </c>
      <c r="BM71" s="451">
        <v>67797</v>
      </c>
      <c r="BN71" s="451">
        <v>5327</v>
      </c>
      <c r="BO71" s="451">
        <v>0</v>
      </c>
      <c r="BP71" s="451">
        <v>0</v>
      </c>
      <c r="BQ71" s="451">
        <v>5327</v>
      </c>
      <c r="BR71" s="451">
        <v>3757412</v>
      </c>
      <c r="BS71" s="451">
        <v>0</v>
      </c>
      <c r="BT71" s="451">
        <v>0</v>
      </c>
      <c r="BU71" s="451">
        <v>3757412</v>
      </c>
      <c r="BV71" s="451">
        <v>273059</v>
      </c>
      <c r="BW71" s="451">
        <v>0</v>
      </c>
      <c r="BX71" s="451">
        <v>0</v>
      </c>
      <c r="BY71" s="451">
        <v>273059</v>
      </c>
      <c r="BZ71" s="451">
        <v>1005239</v>
      </c>
      <c r="CA71" s="451">
        <v>0</v>
      </c>
      <c r="CB71" s="451">
        <v>0</v>
      </c>
      <c r="CC71" s="451">
        <v>1005239</v>
      </c>
      <c r="CD71" s="451">
        <v>606</v>
      </c>
      <c r="CE71" s="451">
        <v>0</v>
      </c>
      <c r="CF71" s="451">
        <v>0</v>
      </c>
      <c r="CG71" s="451">
        <v>606</v>
      </c>
      <c r="CH71" s="451">
        <v>476857</v>
      </c>
      <c r="CI71" s="451">
        <v>0</v>
      </c>
      <c r="CJ71" s="451">
        <v>0</v>
      </c>
      <c r="CK71" s="451">
        <v>476857</v>
      </c>
      <c r="CL71" s="451">
        <v>-19631</v>
      </c>
      <c r="CM71" s="451">
        <v>0</v>
      </c>
      <c r="CN71" s="451">
        <v>0</v>
      </c>
      <c r="CO71" s="451">
        <v>-19631</v>
      </c>
      <c r="CP71" s="451">
        <v>6560</v>
      </c>
      <c r="CQ71" s="451">
        <v>0</v>
      </c>
      <c r="CR71" s="451">
        <v>0</v>
      </c>
      <c r="CS71" s="451">
        <v>6560</v>
      </c>
      <c r="CT71" s="451">
        <v>1369</v>
      </c>
      <c r="CU71" s="451">
        <v>0</v>
      </c>
      <c r="CV71" s="451">
        <v>0</v>
      </c>
      <c r="CW71" s="451">
        <v>1369</v>
      </c>
      <c r="CX71" s="451">
        <v>123886</v>
      </c>
      <c r="CY71" s="451">
        <v>0</v>
      </c>
      <c r="CZ71" s="451">
        <v>0</v>
      </c>
      <c r="DA71" s="451">
        <v>123886</v>
      </c>
      <c r="DB71" s="451">
        <v>-1845</v>
      </c>
      <c r="DC71" s="451">
        <v>0</v>
      </c>
      <c r="DD71" s="451">
        <v>0</v>
      </c>
      <c r="DE71" s="451">
        <v>-1845</v>
      </c>
      <c r="DF71" s="451">
        <v>41702</v>
      </c>
      <c r="DG71" s="451">
        <v>0</v>
      </c>
      <c r="DH71" s="451">
        <v>0</v>
      </c>
      <c r="DI71" s="451">
        <v>41702</v>
      </c>
      <c r="DJ71" s="451">
        <v>0</v>
      </c>
      <c r="DK71" s="451">
        <v>0</v>
      </c>
      <c r="DL71" s="451">
        <v>0</v>
      </c>
      <c r="DM71" s="451">
        <v>0</v>
      </c>
      <c r="DN71" s="451">
        <v>0</v>
      </c>
      <c r="DO71" s="451">
        <v>0</v>
      </c>
      <c r="DP71" s="451">
        <v>139268</v>
      </c>
      <c r="DQ71" s="451">
        <v>139268</v>
      </c>
      <c r="DR71" s="451">
        <v>0</v>
      </c>
      <c r="DS71" s="451">
        <v>0</v>
      </c>
      <c r="DT71" s="451">
        <v>0</v>
      </c>
      <c r="DU71" s="451">
        <v>0</v>
      </c>
      <c r="DV71" s="451">
        <v>139268</v>
      </c>
      <c r="DW71" s="451">
        <v>0</v>
      </c>
      <c r="DX71" s="451">
        <v>0</v>
      </c>
      <c r="DY71" s="451">
        <v>0</v>
      </c>
      <c r="DZ71" s="451">
        <v>0</v>
      </c>
      <c r="EA71" s="451">
        <v>0</v>
      </c>
      <c r="EB71" s="451">
        <v>1021</v>
      </c>
      <c r="EC71" s="451">
        <v>0</v>
      </c>
      <c r="ED71" s="451">
        <v>0</v>
      </c>
      <c r="EE71" s="451">
        <v>1021</v>
      </c>
      <c r="EF71" s="451">
        <v>8186</v>
      </c>
      <c r="EG71" s="451">
        <v>0</v>
      </c>
      <c r="EH71" s="451">
        <v>0</v>
      </c>
      <c r="EI71" s="451">
        <v>8186</v>
      </c>
      <c r="EJ71" s="451">
        <v>8352</v>
      </c>
      <c r="EK71" s="451">
        <v>0</v>
      </c>
      <c r="EL71" s="451">
        <v>0</v>
      </c>
      <c r="EM71" s="451">
        <v>8352</v>
      </c>
    </row>
    <row r="72" spans="1:143" ht="12.75" x14ac:dyDescent="0.2">
      <c r="A72" s="446">
        <v>66</v>
      </c>
      <c r="B72" s="447" t="s">
        <v>10</v>
      </c>
      <c r="C72" s="448" t="s">
        <v>1093</v>
      </c>
      <c r="D72" s="449" t="s">
        <v>1102</v>
      </c>
      <c r="E72" s="450" t="s">
        <v>9</v>
      </c>
      <c r="F72" s="451">
        <v>335109</v>
      </c>
      <c r="G72" s="451">
        <v>0</v>
      </c>
      <c r="H72" s="451">
        <v>0</v>
      </c>
      <c r="I72" s="451">
        <v>335109</v>
      </c>
      <c r="J72" s="451">
        <v>-137538</v>
      </c>
      <c r="K72" s="451">
        <v>0</v>
      </c>
      <c r="L72" s="451">
        <v>0</v>
      </c>
      <c r="M72" s="451">
        <v>-137538</v>
      </c>
      <c r="N72" s="451">
        <v>13105</v>
      </c>
      <c r="O72" s="451">
        <v>0</v>
      </c>
      <c r="P72" s="451">
        <v>0</v>
      </c>
      <c r="Q72" s="451">
        <v>13105</v>
      </c>
      <c r="R72" s="451">
        <v>18880</v>
      </c>
      <c r="S72" s="451">
        <v>0</v>
      </c>
      <c r="T72" s="451">
        <v>0</v>
      </c>
      <c r="U72" s="451">
        <v>18880</v>
      </c>
      <c r="V72" s="451">
        <v>2507343</v>
      </c>
      <c r="W72" s="451">
        <v>0</v>
      </c>
      <c r="X72" s="451">
        <v>0</v>
      </c>
      <c r="Y72" s="451">
        <v>2507343</v>
      </c>
      <c r="Z72" s="451">
        <v>158081</v>
      </c>
      <c r="AA72" s="451">
        <v>0</v>
      </c>
      <c r="AB72" s="451">
        <v>0</v>
      </c>
      <c r="AC72" s="451">
        <v>158081</v>
      </c>
      <c r="AD72" s="451">
        <v>502571</v>
      </c>
      <c r="AE72" s="451">
        <v>0</v>
      </c>
      <c r="AF72" s="451">
        <v>0</v>
      </c>
      <c r="AG72" s="451">
        <v>502571</v>
      </c>
      <c r="AH72" s="451">
        <v>-3965</v>
      </c>
      <c r="AI72" s="451">
        <v>0</v>
      </c>
      <c r="AJ72" s="451">
        <v>0</v>
      </c>
      <c r="AK72" s="451">
        <v>-3965</v>
      </c>
      <c r="AL72" s="451">
        <v>1862803</v>
      </c>
      <c r="AM72" s="451">
        <v>0</v>
      </c>
      <c r="AN72" s="451">
        <v>0</v>
      </c>
      <c r="AO72" s="451">
        <v>1862803</v>
      </c>
      <c r="AP72" s="451">
        <v>-23334</v>
      </c>
      <c r="AQ72" s="451">
        <v>0</v>
      </c>
      <c r="AR72" s="451">
        <v>0</v>
      </c>
      <c r="AS72" s="451">
        <v>-23334</v>
      </c>
      <c r="AT72" s="451">
        <v>110201</v>
      </c>
      <c r="AU72" s="451">
        <v>0</v>
      </c>
      <c r="AV72" s="451">
        <v>0</v>
      </c>
      <c r="AW72" s="451">
        <v>110201</v>
      </c>
      <c r="AX72" s="451">
        <v>358</v>
      </c>
      <c r="AY72" s="451">
        <v>0</v>
      </c>
      <c r="AZ72" s="451">
        <v>0</v>
      </c>
      <c r="BA72" s="451">
        <v>358</v>
      </c>
      <c r="BB72" s="451">
        <v>34998</v>
      </c>
      <c r="BC72" s="451">
        <v>0</v>
      </c>
      <c r="BD72" s="451">
        <v>0</v>
      </c>
      <c r="BE72" s="451">
        <v>34998</v>
      </c>
      <c r="BF72" s="451">
        <v>-1393</v>
      </c>
      <c r="BG72" s="451">
        <v>0</v>
      </c>
      <c r="BH72" s="451">
        <v>0</v>
      </c>
      <c r="BI72" s="451">
        <v>-1393</v>
      </c>
      <c r="BJ72" s="451">
        <v>19720</v>
      </c>
      <c r="BK72" s="451">
        <v>0</v>
      </c>
      <c r="BL72" s="451">
        <v>0</v>
      </c>
      <c r="BM72" s="451">
        <v>19720</v>
      </c>
      <c r="BN72" s="451">
        <v>19640</v>
      </c>
      <c r="BO72" s="451">
        <v>0</v>
      </c>
      <c r="BP72" s="451">
        <v>0</v>
      </c>
      <c r="BQ72" s="451">
        <v>19640</v>
      </c>
      <c r="BR72" s="451">
        <v>1174154</v>
      </c>
      <c r="BS72" s="451">
        <v>0</v>
      </c>
      <c r="BT72" s="451">
        <v>0</v>
      </c>
      <c r="BU72" s="451">
        <v>1174154</v>
      </c>
      <c r="BV72" s="451">
        <v>-13493</v>
      </c>
      <c r="BW72" s="451">
        <v>0</v>
      </c>
      <c r="BX72" s="451">
        <v>0</v>
      </c>
      <c r="BY72" s="451">
        <v>-13493</v>
      </c>
      <c r="BZ72" s="451">
        <v>58605</v>
      </c>
      <c r="CA72" s="451">
        <v>0</v>
      </c>
      <c r="CB72" s="451">
        <v>0</v>
      </c>
      <c r="CC72" s="451">
        <v>58605</v>
      </c>
      <c r="CD72" s="451">
        <v>-2882</v>
      </c>
      <c r="CE72" s="451">
        <v>0</v>
      </c>
      <c r="CF72" s="451">
        <v>0</v>
      </c>
      <c r="CG72" s="451">
        <v>-2882</v>
      </c>
      <c r="CH72" s="451">
        <v>8250</v>
      </c>
      <c r="CI72" s="451">
        <v>0</v>
      </c>
      <c r="CJ72" s="451">
        <v>0</v>
      </c>
      <c r="CK72" s="451">
        <v>8250</v>
      </c>
      <c r="CL72" s="451">
        <v>-145</v>
      </c>
      <c r="CM72" s="451">
        <v>0</v>
      </c>
      <c r="CN72" s="451">
        <v>0</v>
      </c>
      <c r="CO72" s="451">
        <v>-145</v>
      </c>
      <c r="CP72" s="451">
        <v>74</v>
      </c>
      <c r="CQ72" s="451">
        <v>0</v>
      </c>
      <c r="CR72" s="451">
        <v>0</v>
      </c>
      <c r="CS72" s="451">
        <v>74</v>
      </c>
      <c r="CT72" s="451">
        <v>0</v>
      </c>
      <c r="CU72" s="451">
        <v>0</v>
      </c>
      <c r="CV72" s="451">
        <v>0</v>
      </c>
      <c r="CW72" s="451">
        <v>0</v>
      </c>
      <c r="CX72" s="451">
        <v>8089</v>
      </c>
      <c r="CY72" s="451">
        <v>0</v>
      </c>
      <c r="CZ72" s="451">
        <v>0</v>
      </c>
      <c r="DA72" s="451">
        <v>8089</v>
      </c>
      <c r="DB72" s="451">
        <v>-3169</v>
      </c>
      <c r="DC72" s="451">
        <v>0</v>
      </c>
      <c r="DD72" s="451">
        <v>0</v>
      </c>
      <c r="DE72" s="451">
        <v>-3169</v>
      </c>
      <c r="DF72" s="451">
        <v>0</v>
      </c>
      <c r="DG72" s="451">
        <v>0</v>
      </c>
      <c r="DH72" s="451">
        <v>0</v>
      </c>
      <c r="DI72" s="451">
        <v>0</v>
      </c>
      <c r="DJ72" s="451">
        <v>0</v>
      </c>
      <c r="DK72" s="451">
        <v>0</v>
      </c>
      <c r="DL72" s="451">
        <v>0</v>
      </c>
      <c r="DM72" s="451">
        <v>0</v>
      </c>
      <c r="DN72" s="451">
        <v>0</v>
      </c>
      <c r="DO72" s="451">
        <v>0</v>
      </c>
      <c r="DP72" s="451">
        <v>0</v>
      </c>
      <c r="DQ72" s="451">
        <v>0</v>
      </c>
      <c r="DR72" s="451">
        <v>0</v>
      </c>
      <c r="DS72" s="451">
        <v>0</v>
      </c>
      <c r="DT72" s="451">
        <v>0</v>
      </c>
      <c r="DU72" s="451">
        <v>0</v>
      </c>
      <c r="DV72" s="451">
        <v>0</v>
      </c>
      <c r="DW72" s="451">
        <v>0</v>
      </c>
      <c r="DX72" s="451">
        <v>0</v>
      </c>
      <c r="DY72" s="451">
        <v>0</v>
      </c>
      <c r="DZ72" s="451">
        <v>0</v>
      </c>
      <c r="EA72" s="451">
        <v>0</v>
      </c>
      <c r="EB72" s="451">
        <v>33187</v>
      </c>
      <c r="EC72" s="451">
        <v>0</v>
      </c>
      <c r="ED72" s="451">
        <v>0</v>
      </c>
      <c r="EE72" s="451">
        <v>33187</v>
      </c>
      <c r="EF72" s="451">
        <v>0</v>
      </c>
      <c r="EG72" s="451">
        <v>0</v>
      </c>
      <c r="EH72" s="451">
        <v>0</v>
      </c>
      <c r="EI72" s="451">
        <v>0</v>
      </c>
      <c r="EJ72" s="451">
        <v>0</v>
      </c>
      <c r="EK72" s="451">
        <v>0</v>
      </c>
      <c r="EL72" s="451">
        <v>0</v>
      </c>
      <c r="EM72" s="451">
        <v>0</v>
      </c>
    </row>
    <row r="73" spans="1:143" ht="12.75" x14ac:dyDescent="0.2">
      <c r="A73" s="446">
        <v>67</v>
      </c>
      <c r="B73" s="447" t="s">
        <v>12</v>
      </c>
      <c r="C73" s="448" t="s">
        <v>1100</v>
      </c>
      <c r="D73" s="449" t="s">
        <v>1103</v>
      </c>
      <c r="E73" s="450" t="s">
        <v>11</v>
      </c>
      <c r="F73" s="451">
        <v>67243</v>
      </c>
      <c r="G73" s="451">
        <v>0</v>
      </c>
      <c r="H73" s="451">
        <v>0</v>
      </c>
      <c r="I73" s="451">
        <v>67243</v>
      </c>
      <c r="J73" s="451">
        <v>-187603</v>
      </c>
      <c r="K73" s="451">
        <v>0</v>
      </c>
      <c r="L73" s="451">
        <v>0</v>
      </c>
      <c r="M73" s="451">
        <v>-187603</v>
      </c>
      <c r="N73" s="451">
        <v>67437</v>
      </c>
      <c r="O73" s="451">
        <v>0</v>
      </c>
      <c r="P73" s="451">
        <v>0</v>
      </c>
      <c r="Q73" s="451">
        <v>67437</v>
      </c>
      <c r="R73" s="451">
        <v>429972</v>
      </c>
      <c r="S73" s="451">
        <v>0</v>
      </c>
      <c r="T73" s="451">
        <v>0</v>
      </c>
      <c r="U73" s="451">
        <v>429972</v>
      </c>
      <c r="V73" s="451">
        <v>4879669</v>
      </c>
      <c r="W73" s="451">
        <v>0</v>
      </c>
      <c r="X73" s="451">
        <v>0</v>
      </c>
      <c r="Y73" s="451">
        <v>4879669</v>
      </c>
      <c r="Z73" s="451">
        <v>240285</v>
      </c>
      <c r="AA73" s="451">
        <v>0</v>
      </c>
      <c r="AB73" s="451">
        <v>0</v>
      </c>
      <c r="AC73" s="451">
        <v>240285</v>
      </c>
      <c r="AD73" s="451">
        <v>2425870</v>
      </c>
      <c r="AE73" s="451">
        <v>0</v>
      </c>
      <c r="AF73" s="451">
        <v>0</v>
      </c>
      <c r="AG73" s="451">
        <v>2425870</v>
      </c>
      <c r="AH73" s="451">
        <v>-42476</v>
      </c>
      <c r="AI73" s="451">
        <v>0</v>
      </c>
      <c r="AJ73" s="451">
        <v>0</v>
      </c>
      <c r="AK73" s="451">
        <v>-42476</v>
      </c>
      <c r="AL73" s="451">
        <v>11162457</v>
      </c>
      <c r="AM73" s="451">
        <v>0</v>
      </c>
      <c r="AN73" s="451">
        <v>0</v>
      </c>
      <c r="AO73" s="451">
        <v>11162457</v>
      </c>
      <c r="AP73" s="451">
        <v>-176174</v>
      </c>
      <c r="AQ73" s="451">
        <v>0</v>
      </c>
      <c r="AR73" s="451">
        <v>0</v>
      </c>
      <c r="AS73" s="451">
        <v>-176174</v>
      </c>
      <c r="AT73" s="451">
        <v>42107</v>
      </c>
      <c r="AU73" s="451">
        <v>0</v>
      </c>
      <c r="AV73" s="451">
        <v>0</v>
      </c>
      <c r="AW73" s="451">
        <v>42107</v>
      </c>
      <c r="AX73" s="451">
        <v>0</v>
      </c>
      <c r="AY73" s="451">
        <v>0</v>
      </c>
      <c r="AZ73" s="451">
        <v>0</v>
      </c>
      <c r="BA73" s="451">
        <v>0</v>
      </c>
      <c r="BB73" s="451">
        <v>0</v>
      </c>
      <c r="BC73" s="451">
        <v>0</v>
      </c>
      <c r="BD73" s="451">
        <v>0</v>
      </c>
      <c r="BE73" s="451">
        <v>0</v>
      </c>
      <c r="BF73" s="451">
        <v>0</v>
      </c>
      <c r="BG73" s="451">
        <v>0</v>
      </c>
      <c r="BH73" s="451">
        <v>0</v>
      </c>
      <c r="BI73" s="451">
        <v>0</v>
      </c>
      <c r="BJ73" s="451">
        <v>539891</v>
      </c>
      <c r="BK73" s="451">
        <v>0</v>
      </c>
      <c r="BL73" s="451">
        <v>0</v>
      </c>
      <c r="BM73" s="451">
        <v>539891</v>
      </c>
      <c r="BN73" s="451">
        <v>168302</v>
      </c>
      <c r="BO73" s="451">
        <v>0</v>
      </c>
      <c r="BP73" s="451">
        <v>0</v>
      </c>
      <c r="BQ73" s="451">
        <v>168302</v>
      </c>
      <c r="BR73" s="451">
        <v>3174252</v>
      </c>
      <c r="BS73" s="451">
        <v>0</v>
      </c>
      <c r="BT73" s="451">
        <v>0</v>
      </c>
      <c r="BU73" s="451">
        <v>3174252</v>
      </c>
      <c r="BV73" s="451">
        <v>493619</v>
      </c>
      <c r="BW73" s="451">
        <v>0</v>
      </c>
      <c r="BX73" s="451">
        <v>0</v>
      </c>
      <c r="BY73" s="451">
        <v>493619</v>
      </c>
      <c r="BZ73" s="451">
        <v>730024</v>
      </c>
      <c r="CA73" s="451">
        <v>0</v>
      </c>
      <c r="CB73" s="451">
        <v>0</v>
      </c>
      <c r="CC73" s="451">
        <v>730024</v>
      </c>
      <c r="CD73" s="451">
        <v>7078</v>
      </c>
      <c r="CE73" s="451">
        <v>0</v>
      </c>
      <c r="CF73" s="451">
        <v>0</v>
      </c>
      <c r="CG73" s="451">
        <v>7078</v>
      </c>
      <c r="CH73" s="451">
        <v>302696</v>
      </c>
      <c r="CI73" s="451">
        <v>0</v>
      </c>
      <c r="CJ73" s="451">
        <v>0</v>
      </c>
      <c r="CK73" s="451">
        <v>302696</v>
      </c>
      <c r="CL73" s="451">
        <v>5025</v>
      </c>
      <c r="CM73" s="451">
        <v>0</v>
      </c>
      <c r="CN73" s="451">
        <v>0</v>
      </c>
      <c r="CO73" s="451">
        <v>5025</v>
      </c>
      <c r="CP73" s="451">
        <v>10527</v>
      </c>
      <c r="CQ73" s="451">
        <v>0</v>
      </c>
      <c r="CR73" s="451">
        <v>0</v>
      </c>
      <c r="CS73" s="451">
        <v>10527</v>
      </c>
      <c r="CT73" s="451">
        <v>0</v>
      </c>
      <c r="CU73" s="451">
        <v>0</v>
      </c>
      <c r="CV73" s="451">
        <v>0</v>
      </c>
      <c r="CW73" s="451">
        <v>0</v>
      </c>
      <c r="CX73" s="451">
        <v>0</v>
      </c>
      <c r="CY73" s="451">
        <v>0</v>
      </c>
      <c r="CZ73" s="451">
        <v>0</v>
      </c>
      <c r="DA73" s="451">
        <v>0</v>
      </c>
      <c r="DB73" s="451">
        <v>0</v>
      </c>
      <c r="DC73" s="451">
        <v>0</v>
      </c>
      <c r="DD73" s="451">
        <v>0</v>
      </c>
      <c r="DE73" s="451">
        <v>0</v>
      </c>
      <c r="DF73" s="451">
        <v>0</v>
      </c>
      <c r="DG73" s="451">
        <v>0</v>
      </c>
      <c r="DH73" s="451">
        <v>0</v>
      </c>
      <c r="DI73" s="451">
        <v>0</v>
      </c>
      <c r="DJ73" s="451">
        <v>0</v>
      </c>
      <c r="DK73" s="451">
        <v>0</v>
      </c>
      <c r="DL73" s="451">
        <v>0</v>
      </c>
      <c r="DM73" s="451">
        <v>0</v>
      </c>
      <c r="DN73" s="451">
        <v>0</v>
      </c>
      <c r="DO73" s="451">
        <v>0</v>
      </c>
      <c r="DP73" s="451">
        <v>0</v>
      </c>
      <c r="DQ73" s="451">
        <v>0</v>
      </c>
      <c r="DR73" s="451">
        <v>0</v>
      </c>
      <c r="DS73" s="451">
        <v>0</v>
      </c>
      <c r="DT73" s="451">
        <v>0</v>
      </c>
      <c r="DU73" s="451">
        <v>0</v>
      </c>
      <c r="DV73" s="451">
        <v>0</v>
      </c>
      <c r="DW73" s="451">
        <v>0</v>
      </c>
      <c r="DX73" s="451">
        <v>0</v>
      </c>
      <c r="DY73" s="451">
        <v>0</v>
      </c>
      <c r="DZ73" s="451">
        <v>0</v>
      </c>
      <c r="EA73" s="451">
        <v>0</v>
      </c>
      <c r="EB73" s="451">
        <v>0</v>
      </c>
      <c r="EC73" s="451">
        <v>0</v>
      </c>
      <c r="ED73" s="451">
        <v>0</v>
      </c>
      <c r="EE73" s="451">
        <v>0</v>
      </c>
      <c r="EF73" s="451">
        <v>0</v>
      </c>
      <c r="EG73" s="451">
        <v>0</v>
      </c>
      <c r="EH73" s="451">
        <v>0</v>
      </c>
      <c r="EI73" s="451">
        <v>0</v>
      </c>
      <c r="EJ73" s="451">
        <v>395</v>
      </c>
      <c r="EK73" s="451">
        <v>0</v>
      </c>
      <c r="EL73" s="451">
        <v>0</v>
      </c>
      <c r="EM73" s="451">
        <v>395</v>
      </c>
    </row>
    <row r="74" spans="1:143" ht="12.75" x14ac:dyDescent="0.2">
      <c r="A74" s="446">
        <v>68</v>
      </c>
      <c r="B74" s="447" t="s">
        <v>14</v>
      </c>
      <c r="C74" s="448" t="s">
        <v>1093</v>
      </c>
      <c r="D74" s="449" t="s">
        <v>1101</v>
      </c>
      <c r="E74" s="450" t="s">
        <v>13</v>
      </c>
      <c r="F74" s="451">
        <v>44475</v>
      </c>
      <c r="G74" s="451">
        <v>0</v>
      </c>
      <c r="H74" s="451">
        <v>0</v>
      </c>
      <c r="I74" s="451">
        <v>44475</v>
      </c>
      <c r="J74" s="451">
        <v>-22473</v>
      </c>
      <c r="K74" s="451">
        <v>0</v>
      </c>
      <c r="L74" s="451">
        <v>0</v>
      </c>
      <c r="M74" s="451">
        <v>-22473</v>
      </c>
      <c r="N74" s="451">
        <v>8073</v>
      </c>
      <c r="O74" s="451">
        <v>0</v>
      </c>
      <c r="P74" s="451">
        <v>0</v>
      </c>
      <c r="Q74" s="451">
        <v>8073</v>
      </c>
      <c r="R74" s="451">
        <v>31858</v>
      </c>
      <c r="S74" s="451">
        <v>0</v>
      </c>
      <c r="T74" s="451">
        <v>0</v>
      </c>
      <c r="U74" s="451">
        <v>31858</v>
      </c>
      <c r="V74" s="451">
        <v>2057290</v>
      </c>
      <c r="W74" s="451">
        <v>0</v>
      </c>
      <c r="X74" s="451">
        <v>0</v>
      </c>
      <c r="Y74" s="451">
        <v>2057290</v>
      </c>
      <c r="Z74" s="451">
        <v>109149</v>
      </c>
      <c r="AA74" s="451">
        <v>0</v>
      </c>
      <c r="AB74" s="451">
        <v>0</v>
      </c>
      <c r="AC74" s="451">
        <v>109149</v>
      </c>
      <c r="AD74" s="451">
        <v>314713</v>
      </c>
      <c r="AE74" s="451">
        <v>0</v>
      </c>
      <c r="AF74" s="451">
        <v>0</v>
      </c>
      <c r="AG74" s="451">
        <v>314713</v>
      </c>
      <c r="AH74" s="451">
        <v>4832</v>
      </c>
      <c r="AI74" s="451">
        <v>0</v>
      </c>
      <c r="AJ74" s="451">
        <v>0</v>
      </c>
      <c r="AK74" s="451">
        <v>4832</v>
      </c>
      <c r="AL74" s="451">
        <v>1092454</v>
      </c>
      <c r="AM74" s="451">
        <v>0</v>
      </c>
      <c r="AN74" s="451">
        <v>0</v>
      </c>
      <c r="AO74" s="451">
        <v>1092454</v>
      </c>
      <c r="AP74" s="451">
        <v>-6157</v>
      </c>
      <c r="AQ74" s="451">
        <v>0</v>
      </c>
      <c r="AR74" s="451">
        <v>0</v>
      </c>
      <c r="AS74" s="451">
        <v>-6157</v>
      </c>
      <c r="AT74" s="451">
        <v>27101</v>
      </c>
      <c r="AU74" s="451">
        <v>0</v>
      </c>
      <c r="AV74" s="451">
        <v>0</v>
      </c>
      <c r="AW74" s="451">
        <v>27101</v>
      </c>
      <c r="AX74" s="451">
        <v>0</v>
      </c>
      <c r="AY74" s="451">
        <v>0</v>
      </c>
      <c r="AZ74" s="451">
        <v>0</v>
      </c>
      <c r="BA74" s="451">
        <v>0</v>
      </c>
      <c r="BB74" s="451">
        <v>36095</v>
      </c>
      <c r="BC74" s="451">
        <v>0</v>
      </c>
      <c r="BD74" s="451">
        <v>0</v>
      </c>
      <c r="BE74" s="451">
        <v>36095</v>
      </c>
      <c r="BF74" s="451">
        <v>-3</v>
      </c>
      <c r="BG74" s="451">
        <v>0</v>
      </c>
      <c r="BH74" s="451">
        <v>0</v>
      </c>
      <c r="BI74" s="451">
        <v>-3</v>
      </c>
      <c r="BJ74" s="451">
        <v>25441</v>
      </c>
      <c r="BK74" s="451">
        <v>0</v>
      </c>
      <c r="BL74" s="451">
        <v>0</v>
      </c>
      <c r="BM74" s="451">
        <v>25441</v>
      </c>
      <c r="BN74" s="451">
        <v>2033</v>
      </c>
      <c r="BO74" s="451">
        <v>0</v>
      </c>
      <c r="BP74" s="451">
        <v>0</v>
      </c>
      <c r="BQ74" s="451">
        <v>2033</v>
      </c>
      <c r="BR74" s="451">
        <v>677833</v>
      </c>
      <c r="BS74" s="451">
        <v>0</v>
      </c>
      <c r="BT74" s="451">
        <v>0</v>
      </c>
      <c r="BU74" s="451">
        <v>677833</v>
      </c>
      <c r="BV74" s="451">
        <v>-66447</v>
      </c>
      <c r="BW74" s="451">
        <v>0</v>
      </c>
      <c r="BX74" s="451">
        <v>0</v>
      </c>
      <c r="BY74" s="451">
        <v>-66447</v>
      </c>
      <c r="BZ74" s="451">
        <v>21506</v>
      </c>
      <c r="CA74" s="451">
        <v>0</v>
      </c>
      <c r="CB74" s="451">
        <v>0</v>
      </c>
      <c r="CC74" s="451">
        <v>21506</v>
      </c>
      <c r="CD74" s="451">
        <v>0</v>
      </c>
      <c r="CE74" s="451">
        <v>0</v>
      </c>
      <c r="CF74" s="451">
        <v>0</v>
      </c>
      <c r="CG74" s="451">
        <v>0</v>
      </c>
      <c r="CH74" s="451">
        <v>3761</v>
      </c>
      <c r="CI74" s="451">
        <v>0</v>
      </c>
      <c r="CJ74" s="451">
        <v>0</v>
      </c>
      <c r="CK74" s="451">
        <v>3761</v>
      </c>
      <c r="CL74" s="451">
        <v>0</v>
      </c>
      <c r="CM74" s="451">
        <v>0</v>
      </c>
      <c r="CN74" s="451">
        <v>0</v>
      </c>
      <c r="CO74" s="451">
        <v>0</v>
      </c>
      <c r="CP74" s="451">
        <v>0</v>
      </c>
      <c r="CQ74" s="451">
        <v>0</v>
      </c>
      <c r="CR74" s="451">
        <v>0</v>
      </c>
      <c r="CS74" s="451">
        <v>0</v>
      </c>
      <c r="CT74" s="451">
        <v>0</v>
      </c>
      <c r="CU74" s="451">
        <v>0</v>
      </c>
      <c r="CV74" s="451">
        <v>0</v>
      </c>
      <c r="CW74" s="451">
        <v>0</v>
      </c>
      <c r="CX74" s="451">
        <v>30184</v>
      </c>
      <c r="CY74" s="451">
        <v>0</v>
      </c>
      <c r="CZ74" s="451">
        <v>0</v>
      </c>
      <c r="DA74" s="451">
        <v>30184</v>
      </c>
      <c r="DB74" s="451">
        <v>-3</v>
      </c>
      <c r="DC74" s="451">
        <v>0</v>
      </c>
      <c r="DD74" s="451">
        <v>0</v>
      </c>
      <c r="DE74" s="451">
        <v>-3</v>
      </c>
      <c r="DF74" s="451">
        <v>0</v>
      </c>
      <c r="DG74" s="451">
        <v>0</v>
      </c>
      <c r="DH74" s="451">
        <v>0</v>
      </c>
      <c r="DI74" s="451">
        <v>0</v>
      </c>
      <c r="DJ74" s="451">
        <v>0</v>
      </c>
      <c r="DK74" s="451">
        <v>0</v>
      </c>
      <c r="DL74" s="451">
        <v>0</v>
      </c>
      <c r="DM74" s="451">
        <v>0</v>
      </c>
      <c r="DN74" s="451">
        <v>0</v>
      </c>
      <c r="DO74" s="451">
        <v>0</v>
      </c>
      <c r="DP74" s="451">
        <v>0</v>
      </c>
      <c r="DQ74" s="451">
        <v>0</v>
      </c>
      <c r="DR74" s="451">
        <v>0</v>
      </c>
      <c r="DS74" s="451">
        <v>0</v>
      </c>
      <c r="DT74" s="451">
        <v>0</v>
      </c>
      <c r="DU74" s="451">
        <v>0</v>
      </c>
      <c r="DV74" s="451">
        <v>0</v>
      </c>
      <c r="DW74" s="451">
        <v>0</v>
      </c>
      <c r="DX74" s="451">
        <v>0</v>
      </c>
      <c r="DY74" s="451">
        <v>0</v>
      </c>
      <c r="DZ74" s="451">
        <v>0</v>
      </c>
      <c r="EA74" s="451">
        <v>0</v>
      </c>
      <c r="EB74" s="451">
        <v>0</v>
      </c>
      <c r="EC74" s="451">
        <v>0</v>
      </c>
      <c r="ED74" s="451">
        <v>0</v>
      </c>
      <c r="EE74" s="451">
        <v>0</v>
      </c>
      <c r="EF74" s="451">
        <v>0</v>
      </c>
      <c r="EG74" s="451">
        <v>0</v>
      </c>
      <c r="EH74" s="451">
        <v>0</v>
      </c>
      <c r="EI74" s="451">
        <v>0</v>
      </c>
      <c r="EJ74" s="451">
        <v>0</v>
      </c>
      <c r="EK74" s="451">
        <v>0</v>
      </c>
      <c r="EL74" s="451">
        <v>0</v>
      </c>
      <c r="EM74" s="451">
        <v>0</v>
      </c>
    </row>
    <row r="75" spans="1:143" ht="12.75" x14ac:dyDescent="0.2">
      <c r="A75" s="446">
        <v>69</v>
      </c>
      <c r="B75" s="447" t="s">
        <v>16</v>
      </c>
      <c r="C75" s="448" t="s">
        <v>1093</v>
      </c>
      <c r="D75" s="449" t="s">
        <v>1094</v>
      </c>
      <c r="E75" s="450" t="s">
        <v>15</v>
      </c>
      <c r="F75" s="451">
        <v>45378</v>
      </c>
      <c r="G75" s="451">
        <v>0</v>
      </c>
      <c r="H75" s="451">
        <v>0</v>
      </c>
      <c r="I75" s="451">
        <v>45378</v>
      </c>
      <c r="J75" s="451">
        <v>-450457</v>
      </c>
      <c r="K75" s="451">
        <v>0</v>
      </c>
      <c r="L75" s="451">
        <v>0</v>
      </c>
      <c r="M75" s="451">
        <v>-450457</v>
      </c>
      <c r="N75" s="451">
        <v>70488</v>
      </c>
      <c r="O75" s="451">
        <v>0</v>
      </c>
      <c r="P75" s="451">
        <v>0</v>
      </c>
      <c r="Q75" s="451">
        <v>70488</v>
      </c>
      <c r="R75" s="451">
        <v>128260</v>
      </c>
      <c r="S75" s="451">
        <v>0</v>
      </c>
      <c r="T75" s="451">
        <v>0</v>
      </c>
      <c r="U75" s="451">
        <v>128260</v>
      </c>
      <c r="V75" s="451">
        <v>718970</v>
      </c>
      <c r="W75" s="451">
        <v>0</v>
      </c>
      <c r="X75" s="451">
        <v>0</v>
      </c>
      <c r="Y75" s="451">
        <v>718970</v>
      </c>
      <c r="Z75" s="451">
        <v>17704</v>
      </c>
      <c r="AA75" s="451">
        <v>0</v>
      </c>
      <c r="AB75" s="451">
        <v>0</v>
      </c>
      <c r="AC75" s="451">
        <v>17704</v>
      </c>
      <c r="AD75" s="451">
        <v>2236186</v>
      </c>
      <c r="AE75" s="451">
        <v>0</v>
      </c>
      <c r="AF75" s="451">
        <v>0</v>
      </c>
      <c r="AG75" s="451">
        <v>2236186</v>
      </c>
      <c r="AH75" s="451">
        <v>-25818</v>
      </c>
      <c r="AI75" s="451">
        <v>0</v>
      </c>
      <c r="AJ75" s="451">
        <v>0</v>
      </c>
      <c r="AK75" s="451">
        <v>-25818</v>
      </c>
      <c r="AL75" s="451">
        <v>2583247</v>
      </c>
      <c r="AM75" s="451">
        <v>0</v>
      </c>
      <c r="AN75" s="451">
        <v>0</v>
      </c>
      <c r="AO75" s="451">
        <v>2583247</v>
      </c>
      <c r="AP75" s="451">
        <v>-56850</v>
      </c>
      <c r="AQ75" s="451">
        <v>0</v>
      </c>
      <c r="AR75" s="451">
        <v>0</v>
      </c>
      <c r="AS75" s="451">
        <v>-56850</v>
      </c>
      <c r="AT75" s="451">
        <v>27729</v>
      </c>
      <c r="AU75" s="451">
        <v>0</v>
      </c>
      <c r="AV75" s="451">
        <v>0</v>
      </c>
      <c r="AW75" s="451">
        <v>27729</v>
      </c>
      <c r="AX75" s="451">
        <v>355</v>
      </c>
      <c r="AY75" s="451">
        <v>0</v>
      </c>
      <c r="AZ75" s="451">
        <v>0</v>
      </c>
      <c r="BA75" s="451">
        <v>355</v>
      </c>
      <c r="BB75" s="451">
        <v>0</v>
      </c>
      <c r="BC75" s="451">
        <v>0</v>
      </c>
      <c r="BD75" s="451">
        <v>0</v>
      </c>
      <c r="BE75" s="451">
        <v>0</v>
      </c>
      <c r="BF75" s="451">
        <v>0</v>
      </c>
      <c r="BG75" s="451">
        <v>0</v>
      </c>
      <c r="BH75" s="451">
        <v>0</v>
      </c>
      <c r="BI75" s="451">
        <v>0</v>
      </c>
      <c r="BJ75" s="451">
        <v>9202</v>
      </c>
      <c r="BK75" s="451">
        <v>0</v>
      </c>
      <c r="BL75" s="451">
        <v>0</v>
      </c>
      <c r="BM75" s="451">
        <v>9202</v>
      </c>
      <c r="BN75" s="451">
        <v>128496</v>
      </c>
      <c r="BO75" s="451">
        <v>0</v>
      </c>
      <c r="BP75" s="451">
        <v>0</v>
      </c>
      <c r="BQ75" s="451">
        <v>128496</v>
      </c>
      <c r="BR75" s="451">
        <v>3950952</v>
      </c>
      <c r="BS75" s="451">
        <v>0</v>
      </c>
      <c r="BT75" s="451">
        <v>0</v>
      </c>
      <c r="BU75" s="451">
        <v>3950952</v>
      </c>
      <c r="BV75" s="451">
        <v>8537</v>
      </c>
      <c r="BW75" s="451">
        <v>0</v>
      </c>
      <c r="BX75" s="451">
        <v>0</v>
      </c>
      <c r="BY75" s="451">
        <v>8537</v>
      </c>
      <c r="BZ75" s="451">
        <v>274493</v>
      </c>
      <c r="CA75" s="451">
        <v>0</v>
      </c>
      <c r="CB75" s="451">
        <v>0</v>
      </c>
      <c r="CC75" s="451">
        <v>274493</v>
      </c>
      <c r="CD75" s="451">
        <v>-437</v>
      </c>
      <c r="CE75" s="451">
        <v>0</v>
      </c>
      <c r="CF75" s="451">
        <v>0</v>
      </c>
      <c r="CG75" s="451">
        <v>-437</v>
      </c>
      <c r="CH75" s="451">
        <v>97696</v>
      </c>
      <c r="CI75" s="451">
        <v>0</v>
      </c>
      <c r="CJ75" s="451">
        <v>0</v>
      </c>
      <c r="CK75" s="451">
        <v>97696</v>
      </c>
      <c r="CL75" s="451">
        <v>4417</v>
      </c>
      <c r="CM75" s="451">
        <v>0</v>
      </c>
      <c r="CN75" s="451">
        <v>0</v>
      </c>
      <c r="CO75" s="451">
        <v>4417</v>
      </c>
      <c r="CP75" s="451">
        <v>1607</v>
      </c>
      <c r="CQ75" s="451">
        <v>0</v>
      </c>
      <c r="CR75" s="451">
        <v>0</v>
      </c>
      <c r="CS75" s="451">
        <v>1607</v>
      </c>
      <c r="CT75" s="451">
        <v>0</v>
      </c>
      <c r="CU75" s="451">
        <v>0</v>
      </c>
      <c r="CV75" s="451">
        <v>0</v>
      </c>
      <c r="CW75" s="451">
        <v>0</v>
      </c>
      <c r="CX75" s="451">
        <v>0</v>
      </c>
      <c r="CY75" s="451">
        <v>0</v>
      </c>
      <c r="CZ75" s="451">
        <v>0</v>
      </c>
      <c r="DA75" s="451">
        <v>0</v>
      </c>
      <c r="DB75" s="451">
        <v>0</v>
      </c>
      <c r="DC75" s="451">
        <v>0</v>
      </c>
      <c r="DD75" s="451">
        <v>0</v>
      </c>
      <c r="DE75" s="451">
        <v>0</v>
      </c>
      <c r="DF75" s="451">
        <v>0</v>
      </c>
      <c r="DG75" s="451">
        <v>0</v>
      </c>
      <c r="DH75" s="451">
        <v>0</v>
      </c>
      <c r="DI75" s="451">
        <v>0</v>
      </c>
      <c r="DJ75" s="451">
        <v>0</v>
      </c>
      <c r="DK75" s="451">
        <v>0</v>
      </c>
      <c r="DL75" s="451">
        <v>0</v>
      </c>
      <c r="DM75" s="451">
        <v>0</v>
      </c>
      <c r="DN75" s="451">
        <v>0</v>
      </c>
      <c r="DO75" s="451">
        <v>0</v>
      </c>
      <c r="DP75" s="451">
        <v>0</v>
      </c>
      <c r="DQ75" s="451">
        <v>0</v>
      </c>
      <c r="DR75" s="451">
        <v>0</v>
      </c>
      <c r="DS75" s="451">
        <v>0</v>
      </c>
      <c r="DT75" s="451">
        <v>0</v>
      </c>
      <c r="DU75" s="451">
        <v>0</v>
      </c>
      <c r="DV75" s="451">
        <v>0</v>
      </c>
      <c r="DW75" s="451">
        <v>0</v>
      </c>
      <c r="DX75" s="451">
        <v>0</v>
      </c>
      <c r="DY75" s="451">
        <v>0</v>
      </c>
      <c r="DZ75" s="451">
        <v>0</v>
      </c>
      <c r="EA75" s="451">
        <v>0</v>
      </c>
      <c r="EB75" s="451">
        <v>6442</v>
      </c>
      <c r="EC75" s="451">
        <v>0</v>
      </c>
      <c r="ED75" s="451">
        <v>0</v>
      </c>
      <c r="EE75" s="451">
        <v>6442</v>
      </c>
      <c r="EF75" s="451">
        <v>0</v>
      </c>
      <c r="EG75" s="451">
        <v>0</v>
      </c>
      <c r="EH75" s="451">
        <v>0</v>
      </c>
      <c r="EI75" s="451">
        <v>0</v>
      </c>
      <c r="EJ75" s="451">
        <v>0</v>
      </c>
      <c r="EK75" s="451">
        <v>0</v>
      </c>
      <c r="EL75" s="451">
        <v>0</v>
      </c>
      <c r="EM75" s="451">
        <v>0</v>
      </c>
    </row>
    <row r="76" spans="1:143" ht="12.75" x14ac:dyDescent="0.2">
      <c r="A76" s="446">
        <v>70</v>
      </c>
      <c r="B76" s="447" t="s">
        <v>18</v>
      </c>
      <c r="C76" s="448" t="s">
        <v>1098</v>
      </c>
      <c r="D76" s="449" t="s">
        <v>1099</v>
      </c>
      <c r="E76" s="450" t="s">
        <v>17</v>
      </c>
      <c r="F76" s="451">
        <v>423650</v>
      </c>
      <c r="G76" s="451">
        <v>0</v>
      </c>
      <c r="H76" s="451">
        <v>0</v>
      </c>
      <c r="I76" s="451">
        <v>423650</v>
      </c>
      <c r="J76" s="451">
        <v>-674549</v>
      </c>
      <c r="K76" s="451">
        <v>0</v>
      </c>
      <c r="L76" s="451">
        <v>0</v>
      </c>
      <c r="M76" s="451">
        <v>-674549</v>
      </c>
      <c r="N76" s="451">
        <v>225426</v>
      </c>
      <c r="O76" s="451">
        <v>0</v>
      </c>
      <c r="P76" s="451">
        <v>0</v>
      </c>
      <c r="Q76" s="451">
        <v>225426</v>
      </c>
      <c r="R76" s="451">
        <v>-32386</v>
      </c>
      <c r="S76" s="451">
        <v>0</v>
      </c>
      <c r="T76" s="451">
        <v>0</v>
      </c>
      <c r="U76" s="451">
        <v>-32386</v>
      </c>
      <c r="V76" s="451">
        <v>5413081</v>
      </c>
      <c r="W76" s="451">
        <v>0</v>
      </c>
      <c r="X76" s="451">
        <v>0</v>
      </c>
      <c r="Y76" s="451">
        <v>5413081</v>
      </c>
      <c r="Z76" s="451">
        <v>399293</v>
      </c>
      <c r="AA76" s="451">
        <v>0</v>
      </c>
      <c r="AB76" s="451">
        <v>0</v>
      </c>
      <c r="AC76" s="451">
        <v>399293</v>
      </c>
      <c r="AD76" s="451">
        <v>28367</v>
      </c>
      <c r="AE76" s="451">
        <v>0</v>
      </c>
      <c r="AF76" s="451">
        <v>0</v>
      </c>
      <c r="AG76" s="451">
        <v>28367</v>
      </c>
      <c r="AH76" s="451">
        <v>-3047</v>
      </c>
      <c r="AI76" s="451">
        <v>0</v>
      </c>
      <c r="AJ76" s="451">
        <v>0</v>
      </c>
      <c r="AK76" s="451">
        <v>-3047</v>
      </c>
      <c r="AL76" s="451">
        <v>7872517</v>
      </c>
      <c r="AM76" s="451">
        <v>0</v>
      </c>
      <c r="AN76" s="451">
        <v>0</v>
      </c>
      <c r="AO76" s="451">
        <v>7872517</v>
      </c>
      <c r="AP76" s="451">
        <v>-91545</v>
      </c>
      <c r="AQ76" s="451">
        <v>0</v>
      </c>
      <c r="AR76" s="451">
        <v>0</v>
      </c>
      <c r="AS76" s="451">
        <v>-91545</v>
      </c>
      <c r="AT76" s="451">
        <v>119318</v>
      </c>
      <c r="AU76" s="451">
        <v>0</v>
      </c>
      <c r="AV76" s="451">
        <v>0</v>
      </c>
      <c r="AW76" s="451">
        <v>119318</v>
      </c>
      <c r="AX76" s="451">
        <v>-16101</v>
      </c>
      <c r="AY76" s="451">
        <v>0</v>
      </c>
      <c r="AZ76" s="451">
        <v>0</v>
      </c>
      <c r="BA76" s="451">
        <v>-16101</v>
      </c>
      <c r="BB76" s="451">
        <v>0</v>
      </c>
      <c r="BC76" s="451">
        <v>0</v>
      </c>
      <c r="BD76" s="451">
        <v>0</v>
      </c>
      <c r="BE76" s="451">
        <v>0</v>
      </c>
      <c r="BF76" s="451">
        <v>0</v>
      </c>
      <c r="BG76" s="451">
        <v>0</v>
      </c>
      <c r="BH76" s="451">
        <v>0</v>
      </c>
      <c r="BI76" s="451">
        <v>0</v>
      </c>
      <c r="BJ76" s="451">
        <v>197105</v>
      </c>
      <c r="BK76" s="451">
        <v>0</v>
      </c>
      <c r="BL76" s="451">
        <v>0</v>
      </c>
      <c r="BM76" s="451">
        <v>197105</v>
      </c>
      <c r="BN76" s="451">
        <v>430593</v>
      </c>
      <c r="BO76" s="451">
        <v>0</v>
      </c>
      <c r="BP76" s="451">
        <v>0</v>
      </c>
      <c r="BQ76" s="451">
        <v>430593</v>
      </c>
      <c r="BR76" s="451">
        <v>8657713</v>
      </c>
      <c r="BS76" s="451">
        <v>0</v>
      </c>
      <c r="BT76" s="451">
        <v>0</v>
      </c>
      <c r="BU76" s="451">
        <v>8657713</v>
      </c>
      <c r="BV76" s="451">
        <v>-610310</v>
      </c>
      <c r="BW76" s="451">
        <v>0</v>
      </c>
      <c r="BX76" s="451">
        <v>0</v>
      </c>
      <c r="BY76" s="451">
        <v>-610310</v>
      </c>
      <c r="BZ76" s="451">
        <v>26563</v>
      </c>
      <c r="CA76" s="451">
        <v>0</v>
      </c>
      <c r="CB76" s="451">
        <v>0</v>
      </c>
      <c r="CC76" s="451">
        <v>26563</v>
      </c>
      <c r="CD76" s="451">
        <v>346</v>
      </c>
      <c r="CE76" s="451">
        <v>0</v>
      </c>
      <c r="CF76" s="451">
        <v>0</v>
      </c>
      <c r="CG76" s="451">
        <v>346</v>
      </c>
      <c r="CH76" s="451">
        <v>48444</v>
      </c>
      <c r="CI76" s="451">
        <v>0</v>
      </c>
      <c r="CJ76" s="451">
        <v>0</v>
      </c>
      <c r="CK76" s="451">
        <v>48444</v>
      </c>
      <c r="CL76" s="451">
        <v>936</v>
      </c>
      <c r="CM76" s="451">
        <v>0</v>
      </c>
      <c r="CN76" s="451">
        <v>0</v>
      </c>
      <c r="CO76" s="451">
        <v>936</v>
      </c>
      <c r="CP76" s="451">
        <v>0</v>
      </c>
      <c r="CQ76" s="451">
        <v>0</v>
      </c>
      <c r="CR76" s="451">
        <v>0</v>
      </c>
      <c r="CS76" s="451">
        <v>0</v>
      </c>
      <c r="CT76" s="451">
        <v>0</v>
      </c>
      <c r="CU76" s="451">
        <v>0</v>
      </c>
      <c r="CV76" s="451">
        <v>0</v>
      </c>
      <c r="CW76" s="451">
        <v>0</v>
      </c>
      <c r="CX76" s="451">
        <v>0</v>
      </c>
      <c r="CY76" s="451">
        <v>0</v>
      </c>
      <c r="CZ76" s="451">
        <v>0</v>
      </c>
      <c r="DA76" s="451">
        <v>0</v>
      </c>
      <c r="DB76" s="451">
        <v>0</v>
      </c>
      <c r="DC76" s="451">
        <v>0</v>
      </c>
      <c r="DD76" s="451">
        <v>0</v>
      </c>
      <c r="DE76" s="451">
        <v>0</v>
      </c>
      <c r="DF76" s="451">
        <v>0</v>
      </c>
      <c r="DG76" s="451">
        <v>0</v>
      </c>
      <c r="DH76" s="451">
        <v>0</v>
      </c>
      <c r="DI76" s="451">
        <v>0</v>
      </c>
      <c r="DJ76" s="451">
        <v>0</v>
      </c>
      <c r="DK76" s="451">
        <v>0</v>
      </c>
      <c r="DL76" s="451">
        <v>0</v>
      </c>
      <c r="DM76" s="451">
        <v>0</v>
      </c>
      <c r="DN76" s="451">
        <v>135870</v>
      </c>
      <c r="DO76" s="451">
        <v>0</v>
      </c>
      <c r="DP76" s="451">
        <v>0</v>
      </c>
      <c r="DQ76" s="451">
        <v>135870</v>
      </c>
      <c r="DR76" s="451">
        <v>0</v>
      </c>
      <c r="DS76" s="451">
        <v>0</v>
      </c>
      <c r="DT76" s="451">
        <v>0</v>
      </c>
      <c r="DU76" s="451">
        <v>0</v>
      </c>
      <c r="DV76" s="451">
        <v>0</v>
      </c>
      <c r="DW76" s="451">
        <v>0</v>
      </c>
      <c r="DX76" s="451">
        <v>0</v>
      </c>
      <c r="DY76" s="451">
        <v>0</v>
      </c>
      <c r="DZ76" s="451">
        <v>0</v>
      </c>
      <c r="EA76" s="451">
        <v>0</v>
      </c>
      <c r="EB76" s="451">
        <v>0</v>
      </c>
      <c r="EC76" s="451">
        <v>0</v>
      </c>
      <c r="ED76" s="451">
        <v>0</v>
      </c>
      <c r="EE76" s="451">
        <v>0</v>
      </c>
      <c r="EF76" s="451">
        <v>0</v>
      </c>
      <c r="EG76" s="451">
        <v>0</v>
      </c>
      <c r="EH76" s="451">
        <v>0</v>
      </c>
      <c r="EI76" s="451">
        <v>0</v>
      </c>
      <c r="EJ76" s="451">
        <v>144</v>
      </c>
      <c r="EK76" s="451">
        <v>0</v>
      </c>
      <c r="EL76" s="451">
        <v>0</v>
      </c>
      <c r="EM76" s="451">
        <v>144</v>
      </c>
    </row>
    <row r="77" spans="1:143" ht="12.75" x14ac:dyDescent="0.2">
      <c r="A77" s="446">
        <v>71</v>
      </c>
      <c r="B77" s="447" t="s">
        <v>20</v>
      </c>
      <c r="C77" s="448" t="s">
        <v>1093</v>
      </c>
      <c r="D77" s="449" t="s">
        <v>1097</v>
      </c>
      <c r="E77" s="450" t="s">
        <v>19</v>
      </c>
      <c r="F77" s="451">
        <v>35763.64</v>
      </c>
      <c r="G77" s="451">
        <v>0</v>
      </c>
      <c r="H77" s="451">
        <v>0</v>
      </c>
      <c r="I77" s="451">
        <v>35763.64</v>
      </c>
      <c r="J77" s="451">
        <v>7534.7</v>
      </c>
      <c r="K77" s="451">
        <v>0</v>
      </c>
      <c r="L77" s="451">
        <v>0</v>
      </c>
      <c r="M77" s="451">
        <v>7534.7</v>
      </c>
      <c r="N77" s="451">
        <v>261531.69</v>
      </c>
      <c r="O77" s="451">
        <v>0</v>
      </c>
      <c r="P77" s="451">
        <v>0</v>
      </c>
      <c r="Q77" s="451">
        <v>261531.69</v>
      </c>
      <c r="R77" s="451">
        <v>725762.01</v>
      </c>
      <c r="S77" s="451">
        <v>0</v>
      </c>
      <c r="T77" s="451">
        <v>0</v>
      </c>
      <c r="U77" s="451">
        <v>725762.01</v>
      </c>
      <c r="V77" s="451">
        <v>2036043.51</v>
      </c>
      <c r="W77" s="451">
        <v>0</v>
      </c>
      <c r="X77" s="451">
        <v>0</v>
      </c>
      <c r="Y77" s="451">
        <v>2036043.51</v>
      </c>
      <c r="Z77" s="451">
        <v>151583.42000000001</v>
      </c>
      <c r="AA77" s="451">
        <v>0</v>
      </c>
      <c r="AB77" s="451">
        <v>0</v>
      </c>
      <c r="AC77" s="451">
        <v>151583.42000000001</v>
      </c>
      <c r="AD77" s="451">
        <v>1213460.97</v>
      </c>
      <c r="AE77" s="451">
        <v>0</v>
      </c>
      <c r="AF77" s="451">
        <v>0</v>
      </c>
      <c r="AG77" s="451">
        <v>1213460.97</v>
      </c>
      <c r="AH77" s="451">
        <v>6678.87</v>
      </c>
      <c r="AI77" s="451">
        <v>0</v>
      </c>
      <c r="AJ77" s="451">
        <v>0</v>
      </c>
      <c r="AK77" s="451">
        <v>6678.87</v>
      </c>
      <c r="AL77" s="451">
        <v>3755160.65</v>
      </c>
      <c r="AM77" s="451">
        <v>0</v>
      </c>
      <c r="AN77" s="451">
        <v>0</v>
      </c>
      <c r="AO77" s="451">
        <v>3755160.65</v>
      </c>
      <c r="AP77" s="451">
        <v>-75701.06</v>
      </c>
      <c r="AQ77" s="451">
        <v>0</v>
      </c>
      <c r="AR77" s="451">
        <v>0</v>
      </c>
      <c r="AS77" s="451">
        <v>-75701.06</v>
      </c>
      <c r="AT77" s="451">
        <v>76526.759999999995</v>
      </c>
      <c r="AU77" s="451">
        <v>0</v>
      </c>
      <c r="AV77" s="451">
        <v>0</v>
      </c>
      <c r="AW77" s="451">
        <v>76526.759999999995</v>
      </c>
      <c r="AX77" s="451">
        <v>0</v>
      </c>
      <c r="AY77" s="451">
        <v>0</v>
      </c>
      <c r="AZ77" s="451">
        <v>0</v>
      </c>
      <c r="BA77" s="451">
        <v>0</v>
      </c>
      <c r="BB77" s="451">
        <v>3909.3</v>
      </c>
      <c r="BC77" s="451">
        <v>0</v>
      </c>
      <c r="BD77" s="451">
        <v>0</v>
      </c>
      <c r="BE77" s="451">
        <v>3909.3</v>
      </c>
      <c r="BF77" s="451">
        <v>0</v>
      </c>
      <c r="BG77" s="451">
        <v>0</v>
      </c>
      <c r="BH77" s="451">
        <v>0</v>
      </c>
      <c r="BI77" s="451">
        <v>0</v>
      </c>
      <c r="BJ77" s="451">
        <v>36066.97</v>
      </c>
      <c r="BK77" s="451">
        <v>0</v>
      </c>
      <c r="BL77" s="451">
        <v>0</v>
      </c>
      <c r="BM77" s="451">
        <v>36066.97</v>
      </c>
      <c r="BN77" s="451">
        <v>309384.05</v>
      </c>
      <c r="BO77" s="451">
        <v>0</v>
      </c>
      <c r="BP77" s="451">
        <v>0</v>
      </c>
      <c r="BQ77" s="451">
        <v>309384.05</v>
      </c>
      <c r="BR77" s="451">
        <v>2269429.5099999998</v>
      </c>
      <c r="BS77" s="451">
        <v>0</v>
      </c>
      <c r="BT77" s="451">
        <v>0</v>
      </c>
      <c r="BU77" s="451">
        <v>2269429.5099999998</v>
      </c>
      <c r="BV77" s="451">
        <v>160657.94</v>
      </c>
      <c r="BW77" s="451">
        <v>0</v>
      </c>
      <c r="BX77" s="451">
        <v>0</v>
      </c>
      <c r="BY77" s="451">
        <v>160657.94</v>
      </c>
      <c r="BZ77" s="451">
        <v>240554.62</v>
      </c>
      <c r="CA77" s="451">
        <v>0</v>
      </c>
      <c r="CB77" s="451">
        <v>0</v>
      </c>
      <c r="CC77" s="451">
        <v>240554.62</v>
      </c>
      <c r="CD77" s="451">
        <v>-1067.8399999999999</v>
      </c>
      <c r="CE77" s="451">
        <v>0</v>
      </c>
      <c r="CF77" s="451">
        <v>0</v>
      </c>
      <c r="CG77" s="451">
        <v>-1067.8399999999999</v>
      </c>
      <c r="CH77" s="451">
        <v>19839.37</v>
      </c>
      <c r="CI77" s="451">
        <v>0</v>
      </c>
      <c r="CJ77" s="451">
        <v>0</v>
      </c>
      <c r="CK77" s="451">
        <v>19839.37</v>
      </c>
      <c r="CL77" s="451">
        <v>0</v>
      </c>
      <c r="CM77" s="451">
        <v>0</v>
      </c>
      <c r="CN77" s="451">
        <v>0</v>
      </c>
      <c r="CO77" s="451">
        <v>0</v>
      </c>
      <c r="CP77" s="451">
        <v>978.52</v>
      </c>
      <c r="CQ77" s="451">
        <v>0</v>
      </c>
      <c r="CR77" s="451">
        <v>0</v>
      </c>
      <c r="CS77" s="451">
        <v>978.52</v>
      </c>
      <c r="CT77" s="451">
        <v>0</v>
      </c>
      <c r="CU77" s="451">
        <v>0</v>
      </c>
      <c r="CV77" s="451">
        <v>0</v>
      </c>
      <c r="CW77" s="451">
        <v>0</v>
      </c>
      <c r="CX77" s="451">
        <v>0</v>
      </c>
      <c r="CY77" s="451">
        <v>0</v>
      </c>
      <c r="CZ77" s="451">
        <v>0</v>
      </c>
      <c r="DA77" s="451">
        <v>0</v>
      </c>
      <c r="DB77" s="451">
        <v>0</v>
      </c>
      <c r="DC77" s="451">
        <v>0</v>
      </c>
      <c r="DD77" s="451">
        <v>0</v>
      </c>
      <c r="DE77" s="451">
        <v>0</v>
      </c>
      <c r="DF77" s="451">
        <v>217.87</v>
      </c>
      <c r="DG77" s="451">
        <v>0</v>
      </c>
      <c r="DH77" s="451">
        <v>0</v>
      </c>
      <c r="DI77" s="451">
        <v>217.87</v>
      </c>
      <c r="DJ77" s="451">
        <v>0</v>
      </c>
      <c r="DK77" s="451">
        <v>0</v>
      </c>
      <c r="DL77" s="451">
        <v>0</v>
      </c>
      <c r="DM77" s="451">
        <v>0</v>
      </c>
      <c r="DN77" s="451">
        <v>0</v>
      </c>
      <c r="DO77" s="451">
        <v>0</v>
      </c>
      <c r="DP77" s="451">
        <v>0</v>
      </c>
      <c r="DQ77" s="451">
        <v>0</v>
      </c>
      <c r="DR77" s="451">
        <v>0</v>
      </c>
      <c r="DS77" s="451">
        <v>0</v>
      </c>
      <c r="DT77" s="451">
        <v>0</v>
      </c>
      <c r="DU77" s="451">
        <v>0</v>
      </c>
      <c r="DV77" s="451">
        <v>0</v>
      </c>
      <c r="DW77" s="451">
        <v>0</v>
      </c>
      <c r="DX77" s="451">
        <v>0</v>
      </c>
      <c r="DY77" s="451">
        <v>0</v>
      </c>
      <c r="DZ77" s="451">
        <v>0</v>
      </c>
      <c r="EA77" s="451">
        <v>0</v>
      </c>
      <c r="EB77" s="451">
        <v>0</v>
      </c>
      <c r="EC77" s="451">
        <v>0</v>
      </c>
      <c r="ED77" s="451">
        <v>0</v>
      </c>
      <c r="EE77" s="451">
        <v>0</v>
      </c>
      <c r="EF77" s="451">
        <v>0</v>
      </c>
      <c r="EG77" s="451">
        <v>0</v>
      </c>
      <c r="EH77" s="451">
        <v>0</v>
      </c>
      <c r="EI77" s="451">
        <v>0</v>
      </c>
      <c r="EJ77" s="451">
        <v>0</v>
      </c>
      <c r="EK77" s="451">
        <v>0</v>
      </c>
      <c r="EL77" s="451">
        <v>0</v>
      </c>
      <c r="EM77" s="451">
        <v>0</v>
      </c>
    </row>
    <row r="78" spans="1:143" ht="12.75" x14ac:dyDescent="0.2">
      <c r="A78" s="446">
        <v>72</v>
      </c>
      <c r="B78" s="447" t="s">
        <v>22</v>
      </c>
      <c r="C78" s="448" t="s">
        <v>794</v>
      </c>
      <c r="D78" s="449" t="s">
        <v>1105</v>
      </c>
      <c r="E78" s="450" t="s">
        <v>714</v>
      </c>
      <c r="F78" s="451">
        <v>88678</v>
      </c>
      <c r="G78" s="451">
        <v>0</v>
      </c>
      <c r="H78" s="451">
        <v>0</v>
      </c>
      <c r="I78" s="451">
        <v>88678</v>
      </c>
      <c r="J78" s="451">
        <v>-94897</v>
      </c>
      <c r="K78" s="451">
        <v>0</v>
      </c>
      <c r="L78" s="451">
        <v>0</v>
      </c>
      <c r="M78" s="451">
        <v>-94897</v>
      </c>
      <c r="N78" s="451">
        <v>210481</v>
      </c>
      <c r="O78" s="451">
        <v>0</v>
      </c>
      <c r="P78" s="451">
        <v>0</v>
      </c>
      <c r="Q78" s="451">
        <v>210481</v>
      </c>
      <c r="R78" s="451">
        <v>838380</v>
      </c>
      <c r="S78" s="451">
        <v>0</v>
      </c>
      <c r="T78" s="451">
        <v>0</v>
      </c>
      <c r="U78" s="451">
        <v>838380</v>
      </c>
      <c r="V78" s="451">
        <v>2059081</v>
      </c>
      <c r="W78" s="451">
        <v>0</v>
      </c>
      <c r="X78" s="451">
        <v>0</v>
      </c>
      <c r="Y78" s="451">
        <v>2059081</v>
      </c>
      <c r="Z78" s="451">
        <v>137180</v>
      </c>
      <c r="AA78" s="451">
        <v>0</v>
      </c>
      <c r="AB78" s="451">
        <v>0</v>
      </c>
      <c r="AC78" s="451">
        <v>137180</v>
      </c>
      <c r="AD78" s="451">
        <v>657915</v>
      </c>
      <c r="AE78" s="451">
        <v>0</v>
      </c>
      <c r="AF78" s="451">
        <v>0</v>
      </c>
      <c r="AG78" s="451">
        <v>657915</v>
      </c>
      <c r="AH78" s="451">
        <v>1926</v>
      </c>
      <c r="AI78" s="451">
        <v>0</v>
      </c>
      <c r="AJ78" s="451">
        <v>0</v>
      </c>
      <c r="AK78" s="451">
        <v>1926</v>
      </c>
      <c r="AL78" s="451">
        <v>2522661</v>
      </c>
      <c r="AM78" s="451">
        <v>0</v>
      </c>
      <c r="AN78" s="451">
        <v>0</v>
      </c>
      <c r="AO78" s="451">
        <v>2522661</v>
      </c>
      <c r="AP78" s="451">
        <v>-114100</v>
      </c>
      <c r="AQ78" s="451">
        <v>0</v>
      </c>
      <c r="AR78" s="451">
        <v>0</v>
      </c>
      <c r="AS78" s="451">
        <v>-114100</v>
      </c>
      <c r="AT78" s="451">
        <v>50907</v>
      </c>
      <c r="AU78" s="451">
        <v>0</v>
      </c>
      <c r="AV78" s="451">
        <v>0</v>
      </c>
      <c r="AW78" s="451">
        <v>50907</v>
      </c>
      <c r="AX78" s="451">
        <v>0</v>
      </c>
      <c r="AY78" s="451">
        <v>0</v>
      </c>
      <c r="AZ78" s="451">
        <v>0</v>
      </c>
      <c r="BA78" s="451">
        <v>0</v>
      </c>
      <c r="BB78" s="451">
        <v>3867</v>
      </c>
      <c r="BC78" s="451">
        <v>0</v>
      </c>
      <c r="BD78" s="451">
        <v>0</v>
      </c>
      <c r="BE78" s="451">
        <v>3867</v>
      </c>
      <c r="BF78" s="451">
        <v>0</v>
      </c>
      <c r="BG78" s="451">
        <v>0</v>
      </c>
      <c r="BH78" s="451">
        <v>0</v>
      </c>
      <c r="BI78" s="451">
        <v>0</v>
      </c>
      <c r="BJ78" s="451">
        <v>7571</v>
      </c>
      <c r="BK78" s="451">
        <v>0</v>
      </c>
      <c r="BL78" s="451">
        <v>0</v>
      </c>
      <c r="BM78" s="451">
        <v>7571</v>
      </c>
      <c r="BN78" s="451">
        <v>2656</v>
      </c>
      <c r="BO78" s="451">
        <v>0</v>
      </c>
      <c r="BP78" s="451">
        <v>0</v>
      </c>
      <c r="BQ78" s="451">
        <v>2656</v>
      </c>
      <c r="BR78" s="451">
        <v>1582247</v>
      </c>
      <c r="BS78" s="451">
        <v>0</v>
      </c>
      <c r="BT78" s="451">
        <v>0</v>
      </c>
      <c r="BU78" s="451">
        <v>1582247</v>
      </c>
      <c r="BV78" s="451">
        <v>115595</v>
      </c>
      <c r="BW78" s="451">
        <v>0</v>
      </c>
      <c r="BX78" s="451">
        <v>0</v>
      </c>
      <c r="BY78" s="451">
        <v>115595</v>
      </c>
      <c r="BZ78" s="451">
        <v>32957</v>
      </c>
      <c r="CA78" s="451">
        <v>0</v>
      </c>
      <c r="CB78" s="451">
        <v>0</v>
      </c>
      <c r="CC78" s="451">
        <v>32957</v>
      </c>
      <c r="CD78" s="451">
        <v>12633</v>
      </c>
      <c r="CE78" s="451">
        <v>0</v>
      </c>
      <c r="CF78" s="451">
        <v>0</v>
      </c>
      <c r="CG78" s="451">
        <v>12633</v>
      </c>
      <c r="CH78" s="451">
        <v>0</v>
      </c>
      <c r="CI78" s="451">
        <v>0</v>
      </c>
      <c r="CJ78" s="451">
        <v>0</v>
      </c>
      <c r="CK78" s="451">
        <v>0</v>
      </c>
      <c r="CL78" s="451">
        <v>0</v>
      </c>
      <c r="CM78" s="451">
        <v>0</v>
      </c>
      <c r="CN78" s="451">
        <v>0</v>
      </c>
      <c r="CO78" s="451">
        <v>0</v>
      </c>
      <c r="CP78" s="451">
        <v>0</v>
      </c>
      <c r="CQ78" s="451">
        <v>0</v>
      </c>
      <c r="CR78" s="451">
        <v>0</v>
      </c>
      <c r="CS78" s="451">
        <v>0</v>
      </c>
      <c r="CT78" s="451">
        <v>0</v>
      </c>
      <c r="CU78" s="451">
        <v>0</v>
      </c>
      <c r="CV78" s="451">
        <v>0</v>
      </c>
      <c r="CW78" s="451">
        <v>0</v>
      </c>
      <c r="CX78" s="451">
        <v>0</v>
      </c>
      <c r="CY78" s="451">
        <v>0</v>
      </c>
      <c r="CZ78" s="451">
        <v>0</v>
      </c>
      <c r="DA78" s="451">
        <v>0</v>
      </c>
      <c r="DB78" s="451">
        <v>0</v>
      </c>
      <c r="DC78" s="451">
        <v>0</v>
      </c>
      <c r="DD78" s="451">
        <v>0</v>
      </c>
      <c r="DE78" s="451">
        <v>0</v>
      </c>
      <c r="DF78" s="451">
        <v>0</v>
      </c>
      <c r="DG78" s="451">
        <v>0</v>
      </c>
      <c r="DH78" s="451">
        <v>0</v>
      </c>
      <c r="DI78" s="451">
        <v>0</v>
      </c>
      <c r="DJ78" s="451">
        <v>0</v>
      </c>
      <c r="DK78" s="451">
        <v>0</v>
      </c>
      <c r="DL78" s="451">
        <v>0</v>
      </c>
      <c r="DM78" s="451">
        <v>0</v>
      </c>
      <c r="DN78" s="451">
        <v>0</v>
      </c>
      <c r="DO78" s="451">
        <v>0</v>
      </c>
      <c r="DP78" s="451">
        <v>0</v>
      </c>
      <c r="DQ78" s="451">
        <v>0</v>
      </c>
      <c r="DR78" s="451">
        <v>0</v>
      </c>
      <c r="DS78" s="451">
        <v>0</v>
      </c>
      <c r="DT78" s="451">
        <v>0</v>
      </c>
      <c r="DU78" s="451">
        <v>0</v>
      </c>
      <c r="DV78" s="451">
        <v>0</v>
      </c>
      <c r="DW78" s="451">
        <v>0</v>
      </c>
      <c r="DX78" s="451">
        <v>0</v>
      </c>
      <c r="DY78" s="451">
        <v>0</v>
      </c>
      <c r="DZ78" s="451">
        <v>0</v>
      </c>
      <c r="EA78" s="451">
        <v>0</v>
      </c>
      <c r="EB78" s="451">
        <v>0</v>
      </c>
      <c r="EC78" s="451">
        <v>0</v>
      </c>
      <c r="ED78" s="451">
        <v>0</v>
      </c>
      <c r="EE78" s="451">
        <v>0</v>
      </c>
      <c r="EF78" s="451">
        <v>0</v>
      </c>
      <c r="EG78" s="451">
        <v>0</v>
      </c>
      <c r="EH78" s="451">
        <v>0</v>
      </c>
      <c r="EI78" s="451">
        <v>0</v>
      </c>
      <c r="EJ78" s="451">
        <v>0</v>
      </c>
      <c r="EK78" s="451">
        <v>0</v>
      </c>
      <c r="EL78" s="451">
        <v>0</v>
      </c>
      <c r="EM78" s="451">
        <v>0</v>
      </c>
    </row>
    <row r="79" spans="1:143" ht="12.75" x14ac:dyDescent="0.2">
      <c r="A79" s="446">
        <v>73</v>
      </c>
      <c r="B79" s="447" t="s">
        <v>24</v>
      </c>
      <c r="C79" s="448" t="s">
        <v>1093</v>
      </c>
      <c r="D79" s="449" t="s">
        <v>1094</v>
      </c>
      <c r="E79" s="450" t="s">
        <v>23</v>
      </c>
      <c r="F79" s="451">
        <v>120538</v>
      </c>
      <c r="G79" s="451">
        <v>0</v>
      </c>
      <c r="H79" s="451">
        <v>0</v>
      </c>
      <c r="I79" s="451">
        <v>120538</v>
      </c>
      <c r="J79" s="451">
        <v>-173779</v>
      </c>
      <c r="K79" s="451">
        <v>0</v>
      </c>
      <c r="L79" s="451">
        <v>0</v>
      </c>
      <c r="M79" s="451">
        <v>-173779</v>
      </c>
      <c r="N79" s="451">
        <v>23949</v>
      </c>
      <c r="O79" s="451">
        <v>0</v>
      </c>
      <c r="P79" s="451">
        <v>0</v>
      </c>
      <c r="Q79" s="451">
        <v>23949</v>
      </c>
      <c r="R79" s="451">
        <v>298367</v>
      </c>
      <c r="S79" s="451">
        <v>0</v>
      </c>
      <c r="T79" s="451">
        <v>0</v>
      </c>
      <c r="U79" s="451">
        <v>298367</v>
      </c>
      <c r="V79" s="451">
        <v>1336305</v>
      </c>
      <c r="W79" s="451">
        <v>0</v>
      </c>
      <c r="X79" s="451">
        <v>0</v>
      </c>
      <c r="Y79" s="451">
        <v>1336305</v>
      </c>
      <c r="Z79" s="451">
        <v>34808</v>
      </c>
      <c r="AA79" s="451">
        <v>0</v>
      </c>
      <c r="AB79" s="451">
        <v>0</v>
      </c>
      <c r="AC79" s="451">
        <v>34808</v>
      </c>
      <c r="AD79" s="451">
        <v>1647088</v>
      </c>
      <c r="AE79" s="451">
        <v>0</v>
      </c>
      <c r="AF79" s="451">
        <v>0</v>
      </c>
      <c r="AG79" s="451">
        <v>1647088</v>
      </c>
      <c r="AH79" s="451">
        <v>-50168</v>
      </c>
      <c r="AI79" s="451">
        <v>0</v>
      </c>
      <c r="AJ79" s="451">
        <v>0</v>
      </c>
      <c r="AK79" s="451">
        <v>-50168</v>
      </c>
      <c r="AL79" s="451">
        <v>2413976</v>
      </c>
      <c r="AM79" s="451">
        <v>0</v>
      </c>
      <c r="AN79" s="451">
        <v>0</v>
      </c>
      <c r="AO79" s="451">
        <v>2413976</v>
      </c>
      <c r="AP79" s="451">
        <v>10873</v>
      </c>
      <c r="AQ79" s="451">
        <v>0</v>
      </c>
      <c r="AR79" s="451">
        <v>0</v>
      </c>
      <c r="AS79" s="451">
        <v>10873</v>
      </c>
      <c r="AT79" s="451">
        <v>49696</v>
      </c>
      <c r="AU79" s="451">
        <v>0</v>
      </c>
      <c r="AV79" s="451">
        <v>0</v>
      </c>
      <c r="AW79" s="451">
        <v>49696</v>
      </c>
      <c r="AX79" s="451">
        <v>0</v>
      </c>
      <c r="AY79" s="451">
        <v>0</v>
      </c>
      <c r="AZ79" s="451">
        <v>0</v>
      </c>
      <c r="BA79" s="451">
        <v>0</v>
      </c>
      <c r="BB79" s="451">
        <v>648</v>
      </c>
      <c r="BC79" s="451">
        <v>0</v>
      </c>
      <c r="BD79" s="451">
        <v>0</v>
      </c>
      <c r="BE79" s="451">
        <v>648</v>
      </c>
      <c r="BF79" s="451">
        <v>0</v>
      </c>
      <c r="BG79" s="451">
        <v>0</v>
      </c>
      <c r="BH79" s="451">
        <v>0</v>
      </c>
      <c r="BI79" s="451">
        <v>0</v>
      </c>
      <c r="BJ79" s="451">
        <v>282373</v>
      </c>
      <c r="BK79" s="451">
        <v>0</v>
      </c>
      <c r="BL79" s="451">
        <v>0</v>
      </c>
      <c r="BM79" s="451">
        <v>282373</v>
      </c>
      <c r="BN79" s="451">
        <v>132202</v>
      </c>
      <c r="BO79" s="451">
        <v>0</v>
      </c>
      <c r="BP79" s="451">
        <v>0</v>
      </c>
      <c r="BQ79" s="451">
        <v>132202</v>
      </c>
      <c r="BR79" s="451">
        <v>2553164</v>
      </c>
      <c r="BS79" s="451">
        <v>0</v>
      </c>
      <c r="BT79" s="451">
        <v>0</v>
      </c>
      <c r="BU79" s="451">
        <v>2553164</v>
      </c>
      <c r="BV79" s="451">
        <v>-42583</v>
      </c>
      <c r="BW79" s="451">
        <v>0</v>
      </c>
      <c r="BX79" s="451">
        <v>0</v>
      </c>
      <c r="BY79" s="451">
        <v>-42583</v>
      </c>
      <c r="BZ79" s="451">
        <v>43283</v>
      </c>
      <c r="CA79" s="451">
        <v>0</v>
      </c>
      <c r="CB79" s="451">
        <v>0</v>
      </c>
      <c r="CC79" s="451">
        <v>43283</v>
      </c>
      <c r="CD79" s="451">
        <v>255</v>
      </c>
      <c r="CE79" s="451">
        <v>0</v>
      </c>
      <c r="CF79" s="451">
        <v>0</v>
      </c>
      <c r="CG79" s="451">
        <v>255</v>
      </c>
      <c r="CH79" s="451">
        <v>1875</v>
      </c>
      <c r="CI79" s="451">
        <v>0</v>
      </c>
      <c r="CJ79" s="451">
        <v>0</v>
      </c>
      <c r="CK79" s="451">
        <v>1875</v>
      </c>
      <c r="CL79" s="451">
        <v>-78</v>
      </c>
      <c r="CM79" s="451">
        <v>0</v>
      </c>
      <c r="CN79" s="451">
        <v>0</v>
      </c>
      <c r="CO79" s="451">
        <v>-78</v>
      </c>
      <c r="CP79" s="451">
        <v>7630</v>
      </c>
      <c r="CQ79" s="451">
        <v>0</v>
      </c>
      <c r="CR79" s="451">
        <v>0</v>
      </c>
      <c r="CS79" s="451">
        <v>7630</v>
      </c>
      <c r="CT79" s="451">
        <v>0</v>
      </c>
      <c r="CU79" s="451">
        <v>0</v>
      </c>
      <c r="CV79" s="451">
        <v>0</v>
      </c>
      <c r="CW79" s="451">
        <v>0</v>
      </c>
      <c r="CX79" s="451">
        <v>0</v>
      </c>
      <c r="CY79" s="451">
        <v>0</v>
      </c>
      <c r="CZ79" s="451">
        <v>0</v>
      </c>
      <c r="DA79" s="451">
        <v>0</v>
      </c>
      <c r="DB79" s="451">
        <v>0</v>
      </c>
      <c r="DC79" s="451">
        <v>0</v>
      </c>
      <c r="DD79" s="451">
        <v>0</v>
      </c>
      <c r="DE79" s="451">
        <v>0</v>
      </c>
      <c r="DF79" s="451">
        <v>2213</v>
      </c>
      <c r="DG79" s="451">
        <v>0</v>
      </c>
      <c r="DH79" s="451">
        <v>0</v>
      </c>
      <c r="DI79" s="451">
        <v>2213</v>
      </c>
      <c r="DJ79" s="451">
        <v>0</v>
      </c>
      <c r="DK79" s="451">
        <v>0</v>
      </c>
      <c r="DL79" s="451">
        <v>0</v>
      </c>
      <c r="DM79" s="451">
        <v>0</v>
      </c>
      <c r="DN79" s="451">
        <v>0</v>
      </c>
      <c r="DO79" s="451">
        <v>0</v>
      </c>
      <c r="DP79" s="451">
        <v>0</v>
      </c>
      <c r="DQ79" s="451">
        <v>0</v>
      </c>
      <c r="DR79" s="451">
        <v>0</v>
      </c>
      <c r="DS79" s="451">
        <v>0</v>
      </c>
      <c r="DT79" s="451">
        <v>0</v>
      </c>
      <c r="DU79" s="451">
        <v>0</v>
      </c>
      <c r="DV79" s="451">
        <v>0</v>
      </c>
      <c r="DW79" s="451">
        <v>0</v>
      </c>
      <c r="DX79" s="451">
        <v>0</v>
      </c>
      <c r="DY79" s="451">
        <v>0</v>
      </c>
      <c r="DZ79" s="451">
        <v>0</v>
      </c>
      <c r="EA79" s="451">
        <v>0</v>
      </c>
      <c r="EB79" s="451">
        <v>0</v>
      </c>
      <c r="EC79" s="451">
        <v>0</v>
      </c>
      <c r="ED79" s="451">
        <v>0</v>
      </c>
      <c r="EE79" s="451">
        <v>0</v>
      </c>
      <c r="EF79" s="451">
        <v>0</v>
      </c>
      <c r="EG79" s="451">
        <v>0</v>
      </c>
      <c r="EH79" s="451">
        <v>0</v>
      </c>
      <c r="EI79" s="451">
        <v>0</v>
      </c>
      <c r="EJ79" s="451">
        <v>0</v>
      </c>
      <c r="EK79" s="451">
        <v>0</v>
      </c>
      <c r="EL79" s="451">
        <v>0</v>
      </c>
      <c r="EM79" s="451">
        <v>0</v>
      </c>
    </row>
    <row r="80" spans="1:143" ht="12.75" x14ac:dyDescent="0.2">
      <c r="A80" s="446">
        <v>74</v>
      </c>
      <c r="B80" s="447" t="s">
        <v>26</v>
      </c>
      <c r="C80" s="448" t="s">
        <v>1093</v>
      </c>
      <c r="D80" s="449" t="s">
        <v>1096</v>
      </c>
      <c r="E80" s="450" t="s">
        <v>25</v>
      </c>
      <c r="F80" s="451">
        <v>67006</v>
      </c>
      <c r="G80" s="451">
        <v>0</v>
      </c>
      <c r="H80" s="451">
        <v>0</v>
      </c>
      <c r="I80" s="451">
        <v>67006</v>
      </c>
      <c r="J80" s="451">
        <v>-23518</v>
      </c>
      <c r="K80" s="451">
        <v>0</v>
      </c>
      <c r="L80" s="451">
        <v>0</v>
      </c>
      <c r="M80" s="451">
        <v>-23518</v>
      </c>
      <c r="N80" s="451">
        <v>20112</v>
      </c>
      <c r="O80" s="451">
        <v>0</v>
      </c>
      <c r="P80" s="451">
        <v>0</v>
      </c>
      <c r="Q80" s="451">
        <v>20112</v>
      </c>
      <c r="R80" s="451">
        <v>491058</v>
      </c>
      <c r="S80" s="451">
        <v>0</v>
      </c>
      <c r="T80" s="451">
        <v>0</v>
      </c>
      <c r="U80" s="451">
        <v>491058</v>
      </c>
      <c r="V80" s="451">
        <v>1425982</v>
      </c>
      <c r="W80" s="451">
        <v>0</v>
      </c>
      <c r="X80" s="451">
        <v>0</v>
      </c>
      <c r="Y80" s="451">
        <v>1425982</v>
      </c>
      <c r="Z80" s="451">
        <v>154964</v>
      </c>
      <c r="AA80" s="451">
        <v>0</v>
      </c>
      <c r="AB80" s="451">
        <v>0</v>
      </c>
      <c r="AC80" s="451">
        <v>154964</v>
      </c>
      <c r="AD80" s="451">
        <v>753444</v>
      </c>
      <c r="AE80" s="451">
        <v>0</v>
      </c>
      <c r="AF80" s="451">
        <v>0</v>
      </c>
      <c r="AG80" s="451">
        <v>753444</v>
      </c>
      <c r="AH80" s="451">
        <v>-12928</v>
      </c>
      <c r="AI80" s="451">
        <v>0</v>
      </c>
      <c r="AJ80" s="451">
        <v>0</v>
      </c>
      <c r="AK80" s="451">
        <v>-12928</v>
      </c>
      <c r="AL80" s="451">
        <v>1554058</v>
      </c>
      <c r="AM80" s="451">
        <v>0</v>
      </c>
      <c r="AN80" s="451">
        <v>0</v>
      </c>
      <c r="AO80" s="451">
        <v>1554058</v>
      </c>
      <c r="AP80" s="451">
        <v>107672</v>
      </c>
      <c r="AQ80" s="451">
        <v>0</v>
      </c>
      <c r="AR80" s="451">
        <v>0</v>
      </c>
      <c r="AS80" s="451">
        <v>107672</v>
      </c>
      <c r="AT80" s="451">
        <v>26229</v>
      </c>
      <c r="AU80" s="451">
        <v>0</v>
      </c>
      <c r="AV80" s="451">
        <v>0</v>
      </c>
      <c r="AW80" s="451">
        <v>26229</v>
      </c>
      <c r="AX80" s="451">
        <v>0</v>
      </c>
      <c r="AY80" s="451">
        <v>0</v>
      </c>
      <c r="AZ80" s="451">
        <v>0</v>
      </c>
      <c r="BA80" s="451">
        <v>0</v>
      </c>
      <c r="BB80" s="451">
        <v>40110</v>
      </c>
      <c r="BC80" s="451">
        <v>0</v>
      </c>
      <c r="BD80" s="451">
        <v>0</v>
      </c>
      <c r="BE80" s="451">
        <v>40110</v>
      </c>
      <c r="BF80" s="451">
        <v>10650</v>
      </c>
      <c r="BG80" s="451">
        <v>0</v>
      </c>
      <c r="BH80" s="451">
        <v>0</v>
      </c>
      <c r="BI80" s="451">
        <v>10650</v>
      </c>
      <c r="BJ80" s="451">
        <v>404113</v>
      </c>
      <c r="BK80" s="451">
        <v>0</v>
      </c>
      <c r="BL80" s="451">
        <v>0</v>
      </c>
      <c r="BM80" s="451">
        <v>404113</v>
      </c>
      <c r="BN80" s="451">
        <v>85660</v>
      </c>
      <c r="BO80" s="451">
        <v>0</v>
      </c>
      <c r="BP80" s="451">
        <v>0</v>
      </c>
      <c r="BQ80" s="451">
        <v>85660</v>
      </c>
      <c r="BR80" s="451">
        <v>1336492</v>
      </c>
      <c r="BS80" s="451">
        <v>0</v>
      </c>
      <c r="BT80" s="451">
        <v>0</v>
      </c>
      <c r="BU80" s="451">
        <v>1336492</v>
      </c>
      <c r="BV80" s="451">
        <v>26523</v>
      </c>
      <c r="BW80" s="451">
        <v>0</v>
      </c>
      <c r="BX80" s="451">
        <v>0</v>
      </c>
      <c r="BY80" s="451">
        <v>26523</v>
      </c>
      <c r="BZ80" s="451">
        <v>44434</v>
      </c>
      <c r="CA80" s="451">
        <v>0</v>
      </c>
      <c r="CB80" s="451">
        <v>0</v>
      </c>
      <c r="CC80" s="451">
        <v>44434</v>
      </c>
      <c r="CD80" s="451">
        <v>497</v>
      </c>
      <c r="CE80" s="451">
        <v>0</v>
      </c>
      <c r="CF80" s="451">
        <v>0</v>
      </c>
      <c r="CG80" s="451">
        <v>497</v>
      </c>
      <c r="CH80" s="451">
        <v>15990</v>
      </c>
      <c r="CI80" s="451">
        <v>0</v>
      </c>
      <c r="CJ80" s="451">
        <v>0</v>
      </c>
      <c r="CK80" s="451">
        <v>15990</v>
      </c>
      <c r="CL80" s="451">
        <v>0</v>
      </c>
      <c r="CM80" s="451">
        <v>0</v>
      </c>
      <c r="CN80" s="451">
        <v>0</v>
      </c>
      <c r="CO80" s="451">
        <v>0</v>
      </c>
      <c r="CP80" s="451">
        <v>824</v>
      </c>
      <c r="CQ80" s="451">
        <v>0</v>
      </c>
      <c r="CR80" s="451">
        <v>0</v>
      </c>
      <c r="CS80" s="451">
        <v>824</v>
      </c>
      <c r="CT80" s="451">
        <v>0</v>
      </c>
      <c r="CU80" s="451">
        <v>0</v>
      </c>
      <c r="CV80" s="451">
        <v>0</v>
      </c>
      <c r="CW80" s="451">
        <v>0</v>
      </c>
      <c r="CX80" s="451">
        <v>2243</v>
      </c>
      <c r="CY80" s="451">
        <v>0</v>
      </c>
      <c r="CZ80" s="451">
        <v>0</v>
      </c>
      <c r="DA80" s="451">
        <v>2243</v>
      </c>
      <c r="DB80" s="451">
        <v>0</v>
      </c>
      <c r="DC80" s="451">
        <v>0</v>
      </c>
      <c r="DD80" s="451">
        <v>0</v>
      </c>
      <c r="DE80" s="451">
        <v>0</v>
      </c>
      <c r="DF80" s="451">
        <v>0</v>
      </c>
      <c r="DG80" s="451">
        <v>0</v>
      </c>
      <c r="DH80" s="451">
        <v>0</v>
      </c>
      <c r="DI80" s="451">
        <v>0</v>
      </c>
      <c r="DJ80" s="451">
        <v>0</v>
      </c>
      <c r="DK80" s="451">
        <v>0</v>
      </c>
      <c r="DL80" s="451">
        <v>0</v>
      </c>
      <c r="DM80" s="451">
        <v>0</v>
      </c>
      <c r="DN80" s="451">
        <v>0</v>
      </c>
      <c r="DO80" s="451">
        <v>0</v>
      </c>
      <c r="DP80" s="451">
        <v>0</v>
      </c>
      <c r="DQ80" s="451">
        <v>0</v>
      </c>
      <c r="DR80" s="451">
        <v>0</v>
      </c>
      <c r="DS80" s="451">
        <v>0</v>
      </c>
      <c r="DT80" s="451">
        <v>0</v>
      </c>
      <c r="DU80" s="451">
        <v>0</v>
      </c>
      <c r="DV80" s="451">
        <v>0</v>
      </c>
      <c r="DW80" s="451">
        <v>0</v>
      </c>
      <c r="DX80" s="451">
        <v>0</v>
      </c>
      <c r="DY80" s="451">
        <v>0</v>
      </c>
      <c r="DZ80" s="451">
        <v>0</v>
      </c>
      <c r="EA80" s="451">
        <v>0</v>
      </c>
      <c r="EB80" s="451">
        <v>0</v>
      </c>
      <c r="EC80" s="451">
        <v>0</v>
      </c>
      <c r="ED80" s="451">
        <v>0</v>
      </c>
      <c r="EE80" s="451">
        <v>0</v>
      </c>
      <c r="EF80" s="451">
        <v>0</v>
      </c>
      <c r="EG80" s="451">
        <v>0</v>
      </c>
      <c r="EH80" s="451">
        <v>0</v>
      </c>
      <c r="EI80" s="451">
        <v>0</v>
      </c>
      <c r="EJ80" s="451">
        <v>0</v>
      </c>
      <c r="EK80" s="451">
        <v>0</v>
      </c>
      <c r="EL80" s="451">
        <v>0</v>
      </c>
      <c r="EM80" s="451">
        <v>0</v>
      </c>
    </row>
    <row r="81" spans="1:143" ht="12.75" x14ac:dyDescent="0.2">
      <c r="A81" s="446">
        <v>75</v>
      </c>
      <c r="B81" s="447" t="s">
        <v>28</v>
      </c>
      <c r="C81" s="448" t="s">
        <v>794</v>
      </c>
      <c r="D81" s="449" t="s">
        <v>1096</v>
      </c>
      <c r="E81" s="450" t="s">
        <v>715</v>
      </c>
      <c r="F81" s="451">
        <v>197133.46</v>
      </c>
      <c r="G81" s="451">
        <v>0</v>
      </c>
      <c r="H81" s="451">
        <v>0</v>
      </c>
      <c r="I81" s="451">
        <v>197133.46</v>
      </c>
      <c r="J81" s="451">
        <v>-125484.47</v>
      </c>
      <c r="K81" s="451">
        <v>0</v>
      </c>
      <c r="L81" s="451">
        <v>0</v>
      </c>
      <c r="M81" s="451">
        <v>-125484.47</v>
      </c>
      <c r="N81" s="451">
        <v>231093.55</v>
      </c>
      <c r="O81" s="451">
        <v>0</v>
      </c>
      <c r="P81" s="451">
        <v>0</v>
      </c>
      <c r="Q81" s="451">
        <v>231093.55</v>
      </c>
      <c r="R81" s="451">
        <v>319394.46999999997</v>
      </c>
      <c r="S81" s="451">
        <v>0</v>
      </c>
      <c r="T81" s="451">
        <v>0</v>
      </c>
      <c r="U81" s="451">
        <v>319394.46999999997</v>
      </c>
      <c r="V81" s="451">
        <v>3793478.27</v>
      </c>
      <c r="W81" s="451">
        <v>0</v>
      </c>
      <c r="X81" s="451">
        <v>0</v>
      </c>
      <c r="Y81" s="451">
        <v>3793478.27</v>
      </c>
      <c r="Z81" s="451">
        <v>170899.08</v>
      </c>
      <c r="AA81" s="451">
        <v>0</v>
      </c>
      <c r="AB81" s="451">
        <v>0</v>
      </c>
      <c r="AC81" s="451">
        <v>170899.08</v>
      </c>
      <c r="AD81" s="451">
        <v>1687172.21</v>
      </c>
      <c r="AE81" s="451">
        <v>0</v>
      </c>
      <c r="AF81" s="451">
        <v>0</v>
      </c>
      <c r="AG81" s="451">
        <v>1687172.21</v>
      </c>
      <c r="AH81" s="451">
        <v>-1724.36</v>
      </c>
      <c r="AI81" s="451">
        <v>0</v>
      </c>
      <c r="AJ81" s="451">
        <v>0</v>
      </c>
      <c r="AK81" s="451">
        <v>-1724.36</v>
      </c>
      <c r="AL81" s="451">
        <v>5200608.07</v>
      </c>
      <c r="AM81" s="451">
        <v>0</v>
      </c>
      <c r="AN81" s="451">
        <v>0</v>
      </c>
      <c r="AO81" s="451">
        <v>5200608.07</v>
      </c>
      <c r="AP81" s="451">
        <v>-29465.15</v>
      </c>
      <c r="AQ81" s="451">
        <v>0</v>
      </c>
      <c r="AR81" s="451">
        <v>0</v>
      </c>
      <c r="AS81" s="451">
        <v>-29465.15</v>
      </c>
      <c r="AT81" s="451">
        <v>32970</v>
      </c>
      <c r="AU81" s="451">
        <v>0</v>
      </c>
      <c r="AV81" s="451">
        <v>0</v>
      </c>
      <c r="AW81" s="451">
        <v>32970</v>
      </c>
      <c r="AX81" s="451">
        <v>0</v>
      </c>
      <c r="AY81" s="451">
        <v>0</v>
      </c>
      <c r="AZ81" s="451">
        <v>0</v>
      </c>
      <c r="BA81" s="451">
        <v>0</v>
      </c>
      <c r="BB81" s="451">
        <v>0</v>
      </c>
      <c r="BC81" s="451">
        <v>0</v>
      </c>
      <c r="BD81" s="451">
        <v>0</v>
      </c>
      <c r="BE81" s="451">
        <v>0</v>
      </c>
      <c r="BF81" s="451">
        <v>0</v>
      </c>
      <c r="BG81" s="451">
        <v>0</v>
      </c>
      <c r="BH81" s="451">
        <v>0</v>
      </c>
      <c r="BI81" s="451">
        <v>0</v>
      </c>
      <c r="BJ81" s="451">
        <v>67947.44</v>
      </c>
      <c r="BK81" s="451">
        <v>0</v>
      </c>
      <c r="BL81" s="451">
        <v>0</v>
      </c>
      <c r="BM81" s="451">
        <v>67947.44</v>
      </c>
      <c r="BN81" s="451">
        <v>152951.75</v>
      </c>
      <c r="BO81" s="451">
        <v>0</v>
      </c>
      <c r="BP81" s="451">
        <v>0</v>
      </c>
      <c r="BQ81" s="451">
        <v>152951.75</v>
      </c>
      <c r="BR81" s="451">
        <v>3388472.12</v>
      </c>
      <c r="BS81" s="451">
        <v>0</v>
      </c>
      <c r="BT81" s="451">
        <v>0</v>
      </c>
      <c r="BU81" s="451">
        <v>3388472.12</v>
      </c>
      <c r="BV81" s="451">
        <v>730840.21</v>
      </c>
      <c r="BW81" s="451">
        <v>0</v>
      </c>
      <c r="BX81" s="451">
        <v>0</v>
      </c>
      <c r="BY81" s="451">
        <v>730840.21</v>
      </c>
      <c r="BZ81" s="451">
        <v>66321.34</v>
      </c>
      <c r="CA81" s="451">
        <v>0</v>
      </c>
      <c r="CB81" s="451">
        <v>0</v>
      </c>
      <c r="CC81" s="451">
        <v>66321.34</v>
      </c>
      <c r="CD81" s="451">
        <v>3424.76</v>
      </c>
      <c r="CE81" s="451">
        <v>0</v>
      </c>
      <c r="CF81" s="451">
        <v>0</v>
      </c>
      <c r="CG81" s="451">
        <v>3424.76</v>
      </c>
      <c r="CH81" s="451">
        <v>176673.88</v>
      </c>
      <c r="CI81" s="451">
        <v>0</v>
      </c>
      <c r="CJ81" s="451">
        <v>0</v>
      </c>
      <c r="CK81" s="451">
        <v>176673.88</v>
      </c>
      <c r="CL81" s="451">
        <v>-5020.46</v>
      </c>
      <c r="CM81" s="451">
        <v>0</v>
      </c>
      <c r="CN81" s="451">
        <v>0</v>
      </c>
      <c r="CO81" s="451">
        <v>-5020.46</v>
      </c>
      <c r="CP81" s="451">
        <v>8242.5</v>
      </c>
      <c r="CQ81" s="451">
        <v>0</v>
      </c>
      <c r="CR81" s="451">
        <v>0</v>
      </c>
      <c r="CS81" s="451">
        <v>8242.5</v>
      </c>
      <c r="CT81" s="451">
        <v>0</v>
      </c>
      <c r="CU81" s="451">
        <v>0</v>
      </c>
      <c r="CV81" s="451">
        <v>0</v>
      </c>
      <c r="CW81" s="451">
        <v>0</v>
      </c>
      <c r="CX81" s="451">
        <v>0</v>
      </c>
      <c r="CY81" s="451">
        <v>0</v>
      </c>
      <c r="CZ81" s="451">
        <v>0</v>
      </c>
      <c r="DA81" s="451">
        <v>0</v>
      </c>
      <c r="DB81" s="451">
        <v>0</v>
      </c>
      <c r="DC81" s="451">
        <v>0</v>
      </c>
      <c r="DD81" s="451">
        <v>0</v>
      </c>
      <c r="DE81" s="451">
        <v>0</v>
      </c>
      <c r="DF81" s="451">
        <v>0</v>
      </c>
      <c r="DG81" s="451">
        <v>0</v>
      </c>
      <c r="DH81" s="451">
        <v>0</v>
      </c>
      <c r="DI81" s="451">
        <v>0</v>
      </c>
      <c r="DJ81" s="451">
        <v>0</v>
      </c>
      <c r="DK81" s="451">
        <v>0</v>
      </c>
      <c r="DL81" s="451">
        <v>0</v>
      </c>
      <c r="DM81" s="451">
        <v>0</v>
      </c>
      <c r="DN81" s="451">
        <v>0</v>
      </c>
      <c r="DO81" s="451">
        <v>0</v>
      </c>
      <c r="DP81" s="451">
        <v>0</v>
      </c>
      <c r="DQ81" s="451">
        <v>0</v>
      </c>
      <c r="DR81" s="451">
        <v>0</v>
      </c>
      <c r="DS81" s="451">
        <v>0</v>
      </c>
      <c r="DT81" s="451">
        <v>0</v>
      </c>
      <c r="DU81" s="451">
        <v>0</v>
      </c>
      <c r="DV81" s="451">
        <v>0</v>
      </c>
      <c r="DW81" s="451">
        <v>0</v>
      </c>
      <c r="DX81" s="451">
        <v>0</v>
      </c>
      <c r="DY81" s="451">
        <v>0</v>
      </c>
      <c r="DZ81" s="451">
        <v>0</v>
      </c>
      <c r="EA81" s="451">
        <v>0</v>
      </c>
      <c r="EB81" s="451">
        <v>0</v>
      </c>
      <c r="EC81" s="451">
        <v>0</v>
      </c>
      <c r="ED81" s="451">
        <v>0</v>
      </c>
      <c r="EE81" s="451">
        <v>0</v>
      </c>
      <c r="EF81" s="451">
        <v>0</v>
      </c>
      <c r="EG81" s="451">
        <v>0</v>
      </c>
      <c r="EH81" s="451">
        <v>0</v>
      </c>
      <c r="EI81" s="451">
        <v>0</v>
      </c>
      <c r="EJ81" s="451">
        <v>0</v>
      </c>
      <c r="EK81" s="451">
        <v>0</v>
      </c>
      <c r="EL81" s="451">
        <v>0</v>
      </c>
      <c r="EM81" s="451">
        <v>0</v>
      </c>
    </row>
    <row r="82" spans="1:143" ht="12.75" x14ac:dyDescent="0.2">
      <c r="A82" s="446">
        <v>76</v>
      </c>
      <c r="B82" s="447" t="s">
        <v>30</v>
      </c>
      <c r="C82" s="448" t="s">
        <v>1093</v>
      </c>
      <c r="D82" s="449" t="s">
        <v>1096</v>
      </c>
      <c r="E82" s="450" t="s">
        <v>29</v>
      </c>
      <c r="F82" s="451">
        <v>129693</v>
      </c>
      <c r="G82" s="451">
        <v>0</v>
      </c>
      <c r="H82" s="451">
        <v>0</v>
      </c>
      <c r="I82" s="451">
        <v>129693</v>
      </c>
      <c r="J82" s="451">
        <v>-12066</v>
      </c>
      <c r="K82" s="451">
        <v>0</v>
      </c>
      <c r="L82" s="451">
        <v>0</v>
      </c>
      <c r="M82" s="451">
        <v>-12066</v>
      </c>
      <c r="N82" s="451">
        <v>91606</v>
      </c>
      <c r="O82" s="451">
        <v>0</v>
      </c>
      <c r="P82" s="451">
        <v>0</v>
      </c>
      <c r="Q82" s="451">
        <v>91606</v>
      </c>
      <c r="R82" s="451">
        <v>1815</v>
      </c>
      <c r="S82" s="451">
        <v>0</v>
      </c>
      <c r="T82" s="451">
        <v>0</v>
      </c>
      <c r="U82" s="451">
        <v>1815</v>
      </c>
      <c r="V82" s="451">
        <v>2461415</v>
      </c>
      <c r="W82" s="451">
        <v>0</v>
      </c>
      <c r="X82" s="451">
        <v>0</v>
      </c>
      <c r="Y82" s="451">
        <v>2461415</v>
      </c>
      <c r="Z82" s="451">
        <v>138951</v>
      </c>
      <c r="AA82" s="451">
        <v>0</v>
      </c>
      <c r="AB82" s="451">
        <v>0</v>
      </c>
      <c r="AC82" s="451">
        <v>138951</v>
      </c>
      <c r="AD82" s="451">
        <v>282119</v>
      </c>
      <c r="AE82" s="451">
        <v>0</v>
      </c>
      <c r="AF82" s="451">
        <v>0</v>
      </c>
      <c r="AG82" s="451">
        <v>282119</v>
      </c>
      <c r="AH82" s="451">
        <v>-1724</v>
      </c>
      <c r="AI82" s="451">
        <v>0</v>
      </c>
      <c r="AJ82" s="451">
        <v>0</v>
      </c>
      <c r="AK82" s="451">
        <v>-1724</v>
      </c>
      <c r="AL82" s="451">
        <v>1008455</v>
      </c>
      <c r="AM82" s="451">
        <v>0</v>
      </c>
      <c r="AN82" s="451">
        <v>0</v>
      </c>
      <c r="AO82" s="451">
        <v>1008455</v>
      </c>
      <c r="AP82" s="451">
        <v>-265</v>
      </c>
      <c r="AQ82" s="451">
        <v>0</v>
      </c>
      <c r="AR82" s="451">
        <v>0</v>
      </c>
      <c r="AS82" s="451">
        <v>-265</v>
      </c>
      <c r="AT82" s="451">
        <v>43794</v>
      </c>
      <c r="AU82" s="451">
        <v>0</v>
      </c>
      <c r="AV82" s="451">
        <v>0</v>
      </c>
      <c r="AW82" s="451">
        <v>43794</v>
      </c>
      <c r="AX82" s="451">
        <v>0</v>
      </c>
      <c r="AY82" s="451">
        <v>0</v>
      </c>
      <c r="AZ82" s="451">
        <v>0</v>
      </c>
      <c r="BA82" s="451">
        <v>0</v>
      </c>
      <c r="BB82" s="451">
        <v>59606</v>
      </c>
      <c r="BC82" s="451">
        <v>0</v>
      </c>
      <c r="BD82" s="451">
        <v>0</v>
      </c>
      <c r="BE82" s="451">
        <v>59606</v>
      </c>
      <c r="BF82" s="451">
        <v>13701</v>
      </c>
      <c r="BG82" s="451">
        <v>0</v>
      </c>
      <c r="BH82" s="451">
        <v>0</v>
      </c>
      <c r="BI82" s="451">
        <v>13701</v>
      </c>
      <c r="BJ82" s="451">
        <v>0</v>
      </c>
      <c r="BK82" s="451">
        <v>0</v>
      </c>
      <c r="BL82" s="451">
        <v>0</v>
      </c>
      <c r="BM82" s="451">
        <v>0</v>
      </c>
      <c r="BN82" s="451">
        <v>0</v>
      </c>
      <c r="BO82" s="451">
        <v>0</v>
      </c>
      <c r="BP82" s="451">
        <v>0</v>
      </c>
      <c r="BQ82" s="451">
        <v>0</v>
      </c>
      <c r="BR82" s="451">
        <v>457224</v>
      </c>
      <c r="BS82" s="451">
        <v>0</v>
      </c>
      <c r="BT82" s="451">
        <v>0</v>
      </c>
      <c r="BU82" s="451">
        <v>457224</v>
      </c>
      <c r="BV82" s="451">
        <v>8503</v>
      </c>
      <c r="BW82" s="451">
        <v>0</v>
      </c>
      <c r="BX82" s="451">
        <v>0</v>
      </c>
      <c r="BY82" s="451">
        <v>8503</v>
      </c>
      <c r="BZ82" s="451">
        <v>107204</v>
      </c>
      <c r="CA82" s="451">
        <v>0</v>
      </c>
      <c r="CB82" s="451">
        <v>0</v>
      </c>
      <c r="CC82" s="451">
        <v>107204</v>
      </c>
      <c r="CD82" s="451">
        <v>-1040</v>
      </c>
      <c r="CE82" s="451">
        <v>0</v>
      </c>
      <c r="CF82" s="451">
        <v>0</v>
      </c>
      <c r="CG82" s="451">
        <v>-1040</v>
      </c>
      <c r="CH82" s="451">
        <v>127325</v>
      </c>
      <c r="CI82" s="451">
        <v>0</v>
      </c>
      <c r="CJ82" s="451">
        <v>0</v>
      </c>
      <c r="CK82" s="451">
        <v>127325</v>
      </c>
      <c r="CL82" s="451">
        <v>0</v>
      </c>
      <c r="CM82" s="451">
        <v>0</v>
      </c>
      <c r="CN82" s="451">
        <v>0</v>
      </c>
      <c r="CO82" s="451">
        <v>0</v>
      </c>
      <c r="CP82" s="451">
        <v>4072</v>
      </c>
      <c r="CQ82" s="451">
        <v>0</v>
      </c>
      <c r="CR82" s="451">
        <v>0</v>
      </c>
      <c r="CS82" s="451">
        <v>4072</v>
      </c>
      <c r="CT82" s="451">
        <v>0</v>
      </c>
      <c r="CU82" s="451">
        <v>0</v>
      </c>
      <c r="CV82" s="451">
        <v>0</v>
      </c>
      <c r="CW82" s="451">
        <v>0</v>
      </c>
      <c r="CX82" s="451">
        <v>59606</v>
      </c>
      <c r="CY82" s="451">
        <v>0</v>
      </c>
      <c r="CZ82" s="451">
        <v>0</v>
      </c>
      <c r="DA82" s="451">
        <v>59606</v>
      </c>
      <c r="DB82" s="451">
        <v>7823</v>
      </c>
      <c r="DC82" s="451">
        <v>0</v>
      </c>
      <c r="DD82" s="451">
        <v>0</v>
      </c>
      <c r="DE82" s="451">
        <v>7823</v>
      </c>
      <c r="DF82" s="451">
        <v>8986</v>
      </c>
      <c r="DG82" s="451">
        <v>0</v>
      </c>
      <c r="DH82" s="451">
        <v>0</v>
      </c>
      <c r="DI82" s="451">
        <v>8986</v>
      </c>
      <c r="DJ82" s="451">
        <v>-783</v>
      </c>
      <c r="DK82" s="451">
        <v>0</v>
      </c>
      <c r="DL82" s="451">
        <v>0</v>
      </c>
      <c r="DM82" s="451">
        <v>-783</v>
      </c>
      <c r="DN82" s="451">
        <v>2572</v>
      </c>
      <c r="DO82" s="451">
        <v>0</v>
      </c>
      <c r="DP82" s="451">
        <v>0</v>
      </c>
      <c r="DQ82" s="451">
        <v>2572</v>
      </c>
      <c r="DR82" s="451">
        <v>20459</v>
      </c>
      <c r="DS82" s="451">
        <v>0</v>
      </c>
      <c r="DT82" s="451">
        <v>0</v>
      </c>
      <c r="DU82" s="451">
        <v>20459</v>
      </c>
      <c r="DV82" s="451">
        <v>0</v>
      </c>
      <c r="DW82" s="451">
        <v>0</v>
      </c>
      <c r="DX82" s="451">
        <v>0</v>
      </c>
      <c r="DY82" s="451">
        <v>0</v>
      </c>
      <c r="DZ82" s="451">
        <v>0</v>
      </c>
      <c r="EA82" s="451">
        <v>0</v>
      </c>
      <c r="EB82" s="451">
        <v>0</v>
      </c>
      <c r="EC82" s="451">
        <v>0</v>
      </c>
      <c r="ED82" s="451">
        <v>0</v>
      </c>
      <c r="EE82" s="451">
        <v>0</v>
      </c>
      <c r="EF82" s="451">
        <v>0</v>
      </c>
      <c r="EG82" s="451">
        <v>0</v>
      </c>
      <c r="EH82" s="451">
        <v>0</v>
      </c>
      <c r="EI82" s="451">
        <v>0</v>
      </c>
      <c r="EJ82" s="451">
        <v>0</v>
      </c>
      <c r="EK82" s="451">
        <v>0</v>
      </c>
      <c r="EL82" s="451">
        <v>0</v>
      </c>
      <c r="EM82" s="451">
        <v>0</v>
      </c>
    </row>
    <row r="83" spans="1:143" ht="12.75" x14ac:dyDescent="0.2">
      <c r="A83" s="446">
        <v>77</v>
      </c>
      <c r="B83" s="447" t="s">
        <v>32</v>
      </c>
      <c r="C83" s="448" t="s">
        <v>1100</v>
      </c>
      <c r="D83" s="449" t="s">
        <v>1101</v>
      </c>
      <c r="E83" s="450" t="s">
        <v>31</v>
      </c>
      <c r="F83" s="451">
        <v>150014</v>
      </c>
      <c r="G83" s="451">
        <v>0</v>
      </c>
      <c r="H83" s="451">
        <v>0</v>
      </c>
      <c r="I83" s="451">
        <v>150014</v>
      </c>
      <c r="J83" s="451">
        <v>-220299</v>
      </c>
      <c r="K83" s="451">
        <v>0</v>
      </c>
      <c r="L83" s="451">
        <v>0</v>
      </c>
      <c r="M83" s="451">
        <v>-220299</v>
      </c>
      <c r="N83" s="451">
        <v>50425</v>
      </c>
      <c r="O83" s="451">
        <v>0</v>
      </c>
      <c r="P83" s="451">
        <v>0</v>
      </c>
      <c r="Q83" s="451">
        <v>50425</v>
      </c>
      <c r="R83" s="451">
        <v>237496</v>
      </c>
      <c r="S83" s="451">
        <v>0</v>
      </c>
      <c r="T83" s="451">
        <v>0</v>
      </c>
      <c r="U83" s="451">
        <v>237496</v>
      </c>
      <c r="V83" s="451">
        <v>5545584</v>
      </c>
      <c r="W83" s="451">
        <v>0</v>
      </c>
      <c r="X83" s="451">
        <v>0</v>
      </c>
      <c r="Y83" s="451">
        <v>5545584</v>
      </c>
      <c r="Z83" s="451">
        <v>158760</v>
      </c>
      <c r="AA83" s="451">
        <v>0</v>
      </c>
      <c r="AB83" s="451">
        <v>0</v>
      </c>
      <c r="AC83" s="451">
        <v>158760</v>
      </c>
      <c r="AD83" s="451">
        <v>1765824</v>
      </c>
      <c r="AE83" s="451">
        <v>0</v>
      </c>
      <c r="AF83" s="451">
        <v>0</v>
      </c>
      <c r="AG83" s="451">
        <v>1765824</v>
      </c>
      <c r="AH83" s="451">
        <v>31271</v>
      </c>
      <c r="AI83" s="451">
        <v>0</v>
      </c>
      <c r="AJ83" s="451">
        <v>0</v>
      </c>
      <c r="AK83" s="451">
        <v>31271</v>
      </c>
      <c r="AL83" s="451">
        <v>5065240</v>
      </c>
      <c r="AM83" s="451">
        <v>0</v>
      </c>
      <c r="AN83" s="451">
        <v>0</v>
      </c>
      <c r="AO83" s="451">
        <v>5065240</v>
      </c>
      <c r="AP83" s="451">
        <v>-288790</v>
      </c>
      <c r="AQ83" s="451">
        <v>0</v>
      </c>
      <c r="AR83" s="451">
        <v>0</v>
      </c>
      <c r="AS83" s="451">
        <v>-288790</v>
      </c>
      <c r="AT83" s="451">
        <v>28430</v>
      </c>
      <c r="AU83" s="451">
        <v>0</v>
      </c>
      <c r="AV83" s="451">
        <v>0</v>
      </c>
      <c r="AW83" s="451">
        <v>28430</v>
      </c>
      <c r="AX83" s="451">
        <v>0</v>
      </c>
      <c r="AY83" s="451">
        <v>0</v>
      </c>
      <c r="AZ83" s="451">
        <v>0</v>
      </c>
      <c r="BA83" s="451">
        <v>0</v>
      </c>
      <c r="BB83" s="451">
        <v>9015</v>
      </c>
      <c r="BC83" s="451">
        <v>0</v>
      </c>
      <c r="BD83" s="451">
        <v>0</v>
      </c>
      <c r="BE83" s="451">
        <v>9015</v>
      </c>
      <c r="BF83" s="451">
        <v>0</v>
      </c>
      <c r="BG83" s="451">
        <v>0</v>
      </c>
      <c r="BH83" s="451">
        <v>0</v>
      </c>
      <c r="BI83" s="451">
        <v>0</v>
      </c>
      <c r="BJ83" s="451">
        <v>12071</v>
      </c>
      <c r="BK83" s="451">
        <v>0</v>
      </c>
      <c r="BL83" s="451">
        <v>0</v>
      </c>
      <c r="BM83" s="451">
        <v>12071</v>
      </c>
      <c r="BN83" s="451">
        <v>111927</v>
      </c>
      <c r="BO83" s="451">
        <v>0</v>
      </c>
      <c r="BP83" s="451">
        <v>0</v>
      </c>
      <c r="BQ83" s="451">
        <v>111927</v>
      </c>
      <c r="BR83" s="451">
        <v>2931861</v>
      </c>
      <c r="BS83" s="451">
        <v>0</v>
      </c>
      <c r="BT83" s="451">
        <v>0</v>
      </c>
      <c r="BU83" s="451">
        <v>2931861</v>
      </c>
      <c r="BV83" s="451">
        <v>53381</v>
      </c>
      <c r="BW83" s="451">
        <v>0</v>
      </c>
      <c r="BX83" s="451">
        <v>0</v>
      </c>
      <c r="BY83" s="451">
        <v>53381</v>
      </c>
      <c r="BZ83" s="451">
        <v>253737</v>
      </c>
      <c r="CA83" s="451">
        <v>0</v>
      </c>
      <c r="CB83" s="451">
        <v>0</v>
      </c>
      <c r="CC83" s="451">
        <v>253737</v>
      </c>
      <c r="CD83" s="451">
        <v>-2935</v>
      </c>
      <c r="CE83" s="451">
        <v>0</v>
      </c>
      <c r="CF83" s="451">
        <v>0</v>
      </c>
      <c r="CG83" s="451">
        <v>-2935</v>
      </c>
      <c r="CH83" s="451">
        <v>86490</v>
      </c>
      <c r="CI83" s="451">
        <v>0</v>
      </c>
      <c r="CJ83" s="451">
        <v>0</v>
      </c>
      <c r="CK83" s="451">
        <v>86490</v>
      </c>
      <c r="CL83" s="451">
        <v>-11215</v>
      </c>
      <c r="CM83" s="451">
        <v>0</v>
      </c>
      <c r="CN83" s="451">
        <v>0</v>
      </c>
      <c r="CO83" s="451">
        <v>-11215</v>
      </c>
      <c r="CP83" s="451">
        <v>0</v>
      </c>
      <c r="CQ83" s="451">
        <v>0</v>
      </c>
      <c r="CR83" s="451">
        <v>0</v>
      </c>
      <c r="CS83" s="451">
        <v>0</v>
      </c>
      <c r="CT83" s="451">
        <v>0</v>
      </c>
      <c r="CU83" s="451">
        <v>0</v>
      </c>
      <c r="CV83" s="451">
        <v>0</v>
      </c>
      <c r="CW83" s="451">
        <v>0</v>
      </c>
      <c r="CX83" s="451">
        <v>730</v>
      </c>
      <c r="CY83" s="451">
        <v>0</v>
      </c>
      <c r="CZ83" s="451">
        <v>0</v>
      </c>
      <c r="DA83" s="451">
        <v>730</v>
      </c>
      <c r="DB83" s="451">
        <v>0</v>
      </c>
      <c r="DC83" s="451">
        <v>0</v>
      </c>
      <c r="DD83" s="451">
        <v>0</v>
      </c>
      <c r="DE83" s="451">
        <v>0</v>
      </c>
      <c r="DF83" s="451">
        <v>0</v>
      </c>
      <c r="DG83" s="451">
        <v>0</v>
      </c>
      <c r="DH83" s="451">
        <v>0</v>
      </c>
      <c r="DI83" s="451">
        <v>0</v>
      </c>
      <c r="DJ83" s="451">
        <v>0</v>
      </c>
      <c r="DK83" s="451">
        <v>0</v>
      </c>
      <c r="DL83" s="451">
        <v>0</v>
      </c>
      <c r="DM83" s="451">
        <v>0</v>
      </c>
      <c r="DN83" s="451">
        <v>0</v>
      </c>
      <c r="DO83" s="451">
        <v>0</v>
      </c>
      <c r="DP83" s="451">
        <v>0</v>
      </c>
      <c r="DQ83" s="451">
        <v>0</v>
      </c>
      <c r="DR83" s="451">
        <v>0</v>
      </c>
      <c r="DS83" s="451">
        <v>0</v>
      </c>
      <c r="DT83" s="451">
        <v>0</v>
      </c>
      <c r="DU83" s="451">
        <v>0</v>
      </c>
      <c r="DV83" s="451">
        <v>0</v>
      </c>
      <c r="DW83" s="451">
        <v>0</v>
      </c>
      <c r="DX83" s="451">
        <v>0</v>
      </c>
      <c r="DY83" s="451">
        <v>0</v>
      </c>
      <c r="DZ83" s="451">
        <v>0</v>
      </c>
      <c r="EA83" s="451">
        <v>0</v>
      </c>
      <c r="EB83" s="451">
        <v>0</v>
      </c>
      <c r="EC83" s="451">
        <v>0</v>
      </c>
      <c r="ED83" s="451">
        <v>0</v>
      </c>
      <c r="EE83" s="451">
        <v>0</v>
      </c>
      <c r="EF83" s="451">
        <v>0</v>
      </c>
      <c r="EG83" s="451">
        <v>0</v>
      </c>
      <c r="EH83" s="451">
        <v>0</v>
      </c>
      <c r="EI83" s="451">
        <v>0</v>
      </c>
      <c r="EJ83" s="451">
        <v>0</v>
      </c>
      <c r="EK83" s="451">
        <v>0</v>
      </c>
      <c r="EL83" s="451">
        <v>0</v>
      </c>
      <c r="EM83" s="451">
        <v>0</v>
      </c>
    </row>
    <row r="84" spans="1:143" ht="12.75" x14ac:dyDescent="0.2">
      <c r="A84" s="446">
        <v>78</v>
      </c>
      <c r="B84" s="447" t="s">
        <v>39</v>
      </c>
      <c r="C84" s="448" t="s">
        <v>1093</v>
      </c>
      <c r="D84" s="449" t="s">
        <v>1094</v>
      </c>
      <c r="E84" s="450" t="s">
        <v>38</v>
      </c>
      <c r="F84" s="451">
        <v>124859.61</v>
      </c>
      <c r="G84" s="451">
        <v>0</v>
      </c>
      <c r="H84" s="451">
        <v>0</v>
      </c>
      <c r="I84" s="451">
        <v>124859.61</v>
      </c>
      <c r="J84" s="451">
        <v>-877764.95</v>
      </c>
      <c r="K84" s="451">
        <v>0</v>
      </c>
      <c r="L84" s="451">
        <v>0</v>
      </c>
      <c r="M84" s="451">
        <v>-877764.95</v>
      </c>
      <c r="N84" s="451">
        <v>18285.45</v>
      </c>
      <c r="O84" s="451">
        <v>0</v>
      </c>
      <c r="P84" s="451">
        <v>0</v>
      </c>
      <c r="Q84" s="451">
        <v>18285.45</v>
      </c>
      <c r="R84" s="451">
        <v>-84806.44</v>
      </c>
      <c r="S84" s="451">
        <v>0</v>
      </c>
      <c r="T84" s="451">
        <v>0</v>
      </c>
      <c r="U84" s="451">
        <v>-84806.44</v>
      </c>
      <c r="V84" s="451">
        <v>2129946.14</v>
      </c>
      <c r="W84" s="451">
        <v>0</v>
      </c>
      <c r="X84" s="451">
        <v>0</v>
      </c>
      <c r="Y84" s="451">
        <v>2129946.14</v>
      </c>
      <c r="Z84" s="451">
        <v>179510.47</v>
      </c>
      <c r="AA84" s="451">
        <v>0</v>
      </c>
      <c r="AB84" s="451">
        <v>0</v>
      </c>
      <c r="AC84" s="451">
        <v>179510.47</v>
      </c>
      <c r="AD84" s="451">
        <v>688844.38</v>
      </c>
      <c r="AE84" s="451">
        <v>0</v>
      </c>
      <c r="AF84" s="451">
        <v>0</v>
      </c>
      <c r="AG84" s="451">
        <v>688844.38</v>
      </c>
      <c r="AH84" s="451">
        <v>-27558.17</v>
      </c>
      <c r="AI84" s="451">
        <v>0</v>
      </c>
      <c r="AJ84" s="451">
        <v>0</v>
      </c>
      <c r="AK84" s="451">
        <v>-27558.17</v>
      </c>
      <c r="AL84" s="451">
        <v>2074145.6</v>
      </c>
      <c r="AM84" s="451">
        <v>0</v>
      </c>
      <c r="AN84" s="451">
        <v>0</v>
      </c>
      <c r="AO84" s="451">
        <v>2074145.6</v>
      </c>
      <c r="AP84" s="451">
        <v>-41203.699999999997</v>
      </c>
      <c r="AQ84" s="451">
        <v>0</v>
      </c>
      <c r="AR84" s="451">
        <v>0</v>
      </c>
      <c r="AS84" s="451">
        <v>-41203.699999999997</v>
      </c>
      <c r="AT84" s="451">
        <v>59251.8</v>
      </c>
      <c r="AU84" s="451">
        <v>0</v>
      </c>
      <c r="AV84" s="451">
        <v>0</v>
      </c>
      <c r="AW84" s="451">
        <v>59251.8</v>
      </c>
      <c r="AX84" s="451">
        <v>0</v>
      </c>
      <c r="AY84" s="451">
        <v>0</v>
      </c>
      <c r="AZ84" s="451">
        <v>0</v>
      </c>
      <c r="BA84" s="451">
        <v>0</v>
      </c>
      <c r="BB84" s="451">
        <v>25705.61</v>
      </c>
      <c r="BC84" s="451">
        <v>0</v>
      </c>
      <c r="BD84" s="451">
        <v>0</v>
      </c>
      <c r="BE84" s="451">
        <v>25705.61</v>
      </c>
      <c r="BF84" s="451">
        <v>0</v>
      </c>
      <c r="BG84" s="451">
        <v>0</v>
      </c>
      <c r="BH84" s="451">
        <v>0</v>
      </c>
      <c r="BI84" s="451">
        <v>0</v>
      </c>
      <c r="BJ84" s="451">
        <v>4025.49</v>
      </c>
      <c r="BK84" s="451">
        <v>0</v>
      </c>
      <c r="BL84" s="451">
        <v>0</v>
      </c>
      <c r="BM84" s="451">
        <v>4025.49</v>
      </c>
      <c r="BN84" s="451">
        <v>-20289.900000000001</v>
      </c>
      <c r="BO84" s="451">
        <v>0</v>
      </c>
      <c r="BP84" s="451">
        <v>0</v>
      </c>
      <c r="BQ84" s="451">
        <v>-20289.900000000001</v>
      </c>
      <c r="BR84" s="451">
        <v>1535571.48</v>
      </c>
      <c r="BS84" s="451">
        <v>0</v>
      </c>
      <c r="BT84" s="451">
        <v>0</v>
      </c>
      <c r="BU84" s="451">
        <v>1535571.48</v>
      </c>
      <c r="BV84" s="451">
        <v>-293508.64</v>
      </c>
      <c r="BW84" s="451">
        <v>0</v>
      </c>
      <c r="BX84" s="451">
        <v>0</v>
      </c>
      <c r="BY84" s="451">
        <v>-293508.64</v>
      </c>
      <c r="BZ84" s="451">
        <v>149878.43</v>
      </c>
      <c r="CA84" s="451">
        <v>0</v>
      </c>
      <c r="CB84" s="451">
        <v>0</v>
      </c>
      <c r="CC84" s="451">
        <v>149878.43</v>
      </c>
      <c r="CD84" s="451">
        <v>3163.73</v>
      </c>
      <c r="CE84" s="451">
        <v>0</v>
      </c>
      <c r="CF84" s="451">
        <v>0</v>
      </c>
      <c r="CG84" s="451">
        <v>3163.73</v>
      </c>
      <c r="CH84" s="451">
        <v>45385.98</v>
      </c>
      <c r="CI84" s="451">
        <v>0</v>
      </c>
      <c r="CJ84" s="451">
        <v>0</v>
      </c>
      <c r="CK84" s="451">
        <v>45385.98</v>
      </c>
      <c r="CL84" s="451">
        <v>-4000.36</v>
      </c>
      <c r="CM84" s="451">
        <v>0</v>
      </c>
      <c r="CN84" s="451">
        <v>0</v>
      </c>
      <c r="CO84" s="451">
        <v>-4000.36</v>
      </c>
      <c r="CP84" s="451">
        <v>0</v>
      </c>
      <c r="CQ84" s="451">
        <v>0</v>
      </c>
      <c r="CR84" s="451">
        <v>0</v>
      </c>
      <c r="CS84" s="451">
        <v>0</v>
      </c>
      <c r="CT84" s="451">
        <v>0</v>
      </c>
      <c r="CU84" s="451">
        <v>0</v>
      </c>
      <c r="CV84" s="451">
        <v>0</v>
      </c>
      <c r="CW84" s="451">
        <v>0</v>
      </c>
      <c r="CX84" s="451">
        <v>0</v>
      </c>
      <c r="CY84" s="451">
        <v>0</v>
      </c>
      <c r="CZ84" s="451">
        <v>0</v>
      </c>
      <c r="DA84" s="451">
        <v>0</v>
      </c>
      <c r="DB84" s="451">
        <v>0</v>
      </c>
      <c r="DC84" s="451">
        <v>0</v>
      </c>
      <c r="DD84" s="451">
        <v>0</v>
      </c>
      <c r="DE84" s="451">
        <v>0</v>
      </c>
      <c r="DF84" s="451">
        <v>0</v>
      </c>
      <c r="DG84" s="451">
        <v>0</v>
      </c>
      <c r="DH84" s="451">
        <v>0</v>
      </c>
      <c r="DI84" s="451">
        <v>0</v>
      </c>
      <c r="DJ84" s="451">
        <v>0</v>
      </c>
      <c r="DK84" s="451">
        <v>0</v>
      </c>
      <c r="DL84" s="451">
        <v>0</v>
      </c>
      <c r="DM84" s="451">
        <v>0</v>
      </c>
      <c r="DN84" s="451">
        <v>1529582.34</v>
      </c>
      <c r="DO84" s="451">
        <v>0</v>
      </c>
      <c r="DP84" s="451">
        <v>0</v>
      </c>
      <c r="DQ84" s="451">
        <v>1529582.34</v>
      </c>
      <c r="DR84" s="451">
        <v>211897.54</v>
      </c>
      <c r="DS84" s="451">
        <v>0</v>
      </c>
      <c r="DT84" s="451">
        <v>0</v>
      </c>
      <c r="DU84" s="451">
        <v>211897.54</v>
      </c>
      <c r="DV84" s="451">
        <v>0</v>
      </c>
      <c r="DW84" s="451">
        <v>1741479.88</v>
      </c>
      <c r="DX84" s="451">
        <v>0</v>
      </c>
      <c r="DY84" s="451">
        <v>0</v>
      </c>
      <c r="DZ84" s="451">
        <v>0</v>
      </c>
      <c r="EA84" s="451">
        <v>0</v>
      </c>
      <c r="EB84" s="451">
        <v>0</v>
      </c>
      <c r="EC84" s="451">
        <v>0</v>
      </c>
      <c r="ED84" s="451">
        <v>0</v>
      </c>
      <c r="EE84" s="451">
        <v>0</v>
      </c>
      <c r="EF84" s="451">
        <v>6358.5</v>
      </c>
      <c r="EG84" s="451">
        <v>0</v>
      </c>
      <c r="EH84" s="451">
        <v>0</v>
      </c>
      <c r="EI84" s="451">
        <v>6358.5</v>
      </c>
      <c r="EJ84" s="451">
        <v>0</v>
      </c>
      <c r="EK84" s="451">
        <v>0</v>
      </c>
      <c r="EL84" s="451">
        <v>0</v>
      </c>
      <c r="EM84" s="451">
        <v>0</v>
      </c>
    </row>
    <row r="85" spans="1:143" ht="12.75" x14ac:dyDescent="0.2">
      <c r="A85" s="446">
        <v>79</v>
      </c>
      <c r="B85" s="447" t="s">
        <v>41</v>
      </c>
      <c r="C85" s="448" t="s">
        <v>1100</v>
      </c>
      <c r="D85" s="449" t="s">
        <v>1103</v>
      </c>
      <c r="E85" s="450" t="s">
        <v>40</v>
      </c>
      <c r="F85" s="451">
        <v>210270</v>
      </c>
      <c r="G85" s="451">
        <v>0</v>
      </c>
      <c r="H85" s="451">
        <v>0</v>
      </c>
      <c r="I85" s="451">
        <v>210270</v>
      </c>
      <c r="J85" s="451">
        <v>-249078</v>
      </c>
      <c r="K85" s="451">
        <v>0</v>
      </c>
      <c r="L85" s="451">
        <v>0</v>
      </c>
      <c r="M85" s="451">
        <v>-249078</v>
      </c>
      <c r="N85" s="451">
        <v>194068</v>
      </c>
      <c r="O85" s="451">
        <v>0</v>
      </c>
      <c r="P85" s="451">
        <v>0</v>
      </c>
      <c r="Q85" s="451">
        <v>194068</v>
      </c>
      <c r="R85" s="451">
        <v>264144</v>
      </c>
      <c r="S85" s="451">
        <v>0</v>
      </c>
      <c r="T85" s="451">
        <v>0</v>
      </c>
      <c r="U85" s="451">
        <v>264144</v>
      </c>
      <c r="V85" s="451">
        <v>6283675</v>
      </c>
      <c r="W85" s="451">
        <v>0</v>
      </c>
      <c r="X85" s="451">
        <v>0</v>
      </c>
      <c r="Y85" s="451">
        <v>6283675</v>
      </c>
      <c r="Z85" s="451">
        <v>366600</v>
      </c>
      <c r="AA85" s="451">
        <v>0</v>
      </c>
      <c r="AB85" s="451">
        <v>0</v>
      </c>
      <c r="AC85" s="451">
        <v>366600</v>
      </c>
      <c r="AD85" s="451">
        <v>1830729</v>
      </c>
      <c r="AE85" s="451">
        <v>0</v>
      </c>
      <c r="AF85" s="451">
        <v>0</v>
      </c>
      <c r="AG85" s="451">
        <v>1830729</v>
      </c>
      <c r="AH85" s="451">
        <v>3342</v>
      </c>
      <c r="AI85" s="451">
        <v>0</v>
      </c>
      <c r="AJ85" s="451">
        <v>0</v>
      </c>
      <c r="AK85" s="451">
        <v>3342</v>
      </c>
      <c r="AL85" s="451">
        <v>4421346</v>
      </c>
      <c r="AM85" s="451">
        <v>0</v>
      </c>
      <c r="AN85" s="451">
        <v>0</v>
      </c>
      <c r="AO85" s="451">
        <v>4421346</v>
      </c>
      <c r="AP85" s="451">
        <v>161209</v>
      </c>
      <c r="AQ85" s="451">
        <v>0</v>
      </c>
      <c r="AR85" s="451">
        <v>0</v>
      </c>
      <c r="AS85" s="451">
        <v>161209</v>
      </c>
      <c r="AT85" s="451">
        <v>27789</v>
      </c>
      <c r="AU85" s="451">
        <v>0</v>
      </c>
      <c r="AV85" s="451">
        <v>0</v>
      </c>
      <c r="AW85" s="451">
        <v>27789</v>
      </c>
      <c r="AX85" s="451">
        <v>0</v>
      </c>
      <c r="AY85" s="451">
        <v>0</v>
      </c>
      <c r="AZ85" s="451">
        <v>0</v>
      </c>
      <c r="BA85" s="451">
        <v>0</v>
      </c>
      <c r="BB85" s="451">
        <v>0</v>
      </c>
      <c r="BC85" s="451">
        <v>0</v>
      </c>
      <c r="BD85" s="451">
        <v>0</v>
      </c>
      <c r="BE85" s="451">
        <v>0</v>
      </c>
      <c r="BF85" s="451">
        <v>0</v>
      </c>
      <c r="BG85" s="451">
        <v>0</v>
      </c>
      <c r="BH85" s="451">
        <v>0</v>
      </c>
      <c r="BI85" s="451">
        <v>0</v>
      </c>
      <c r="BJ85" s="451">
        <v>68359</v>
      </c>
      <c r="BK85" s="451">
        <v>0</v>
      </c>
      <c r="BL85" s="451">
        <v>0</v>
      </c>
      <c r="BM85" s="451">
        <v>68359</v>
      </c>
      <c r="BN85" s="451">
        <v>-39262</v>
      </c>
      <c r="BO85" s="451">
        <v>0</v>
      </c>
      <c r="BP85" s="451">
        <v>0</v>
      </c>
      <c r="BQ85" s="451">
        <v>-39262</v>
      </c>
      <c r="BR85" s="451">
        <v>5350064</v>
      </c>
      <c r="BS85" s="451">
        <v>0</v>
      </c>
      <c r="BT85" s="451">
        <v>0</v>
      </c>
      <c r="BU85" s="451">
        <v>5350064</v>
      </c>
      <c r="BV85" s="451">
        <v>240212</v>
      </c>
      <c r="BW85" s="451">
        <v>0</v>
      </c>
      <c r="BX85" s="451">
        <v>0</v>
      </c>
      <c r="BY85" s="451">
        <v>240212</v>
      </c>
      <c r="BZ85" s="451">
        <v>490714</v>
      </c>
      <c r="CA85" s="451">
        <v>0</v>
      </c>
      <c r="CB85" s="451">
        <v>0</v>
      </c>
      <c r="CC85" s="451">
        <v>490714</v>
      </c>
      <c r="CD85" s="451">
        <v>13149</v>
      </c>
      <c r="CE85" s="451">
        <v>0</v>
      </c>
      <c r="CF85" s="451">
        <v>0</v>
      </c>
      <c r="CG85" s="451">
        <v>13149</v>
      </c>
      <c r="CH85" s="451">
        <v>70087</v>
      </c>
      <c r="CI85" s="451">
        <v>0</v>
      </c>
      <c r="CJ85" s="451">
        <v>0</v>
      </c>
      <c r="CK85" s="451">
        <v>70087</v>
      </c>
      <c r="CL85" s="451">
        <v>-3020</v>
      </c>
      <c r="CM85" s="451">
        <v>0</v>
      </c>
      <c r="CN85" s="451">
        <v>0</v>
      </c>
      <c r="CO85" s="451">
        <v>-3020</v>
      </c>
      <c r="CP85" s="451">
        <v>6947</v>
      </c>
      <c r="CQ85" s="451">
        <v>0</v>
      </c>
      <c r="CR85" s="451">
        <v>0</v>
      </c>
      <c r="CS85" s="451">
        <v>6947</v>
      </c>
      <c r="CT85" s="451">
        <v>0</v>
      </c>
      <c r="CU85" s="451">
        <v>0</v>
      </c>
      <c r="CV85" s="451">
        <v>0</v>
      </c>
      <c r="CW85" s="451">
        <v>0</v>
      </c>
      <c r="CX85" s="451">
        <v>0</v>
      </c>
      <c r="CY85" s="451">
        <v>0</v>
      </c>
      <c r="CZ85" s="451">
        <v>0</v>
      </c>
      <c r="DA85" s="451">
        <v>0</v>
      </c>
      <c r="DB85" s="451">
        <v>0</v>
      </c>
      <c r="DC85" s="451">
        <v>0</v>
      </c>
      <c r="DD85" s="451">
        <v>0</v>
      </c>
      <c r="DE85" s="451">
        <v>0</v>
      </c>
      <c r="DF85" s="451">
        <v>0</v>
      </c>
      <c r="DG85" s="451">
        <v>0</v>
      </c>
      <c r="DH85" s="451">
        <v>0</v>
      </c>
      <c r="DI85" s="451">
        <v>0</v>
      </c>
      <c r="DJ85" s="451">
        <v>0</v>
      </c>
      <c r="DK85" s="451">
        <v>0</v>
      </c>
      <c r="DL85" s="451">
        <v>0</v>
      </c>
      <c r="DM85" s="451">
        <v>0</v>
      </c>
      <c r="DN85" s="451">
        <v>0</v>
      </c>
      <c r="DO85" s="451">
        <v>0</v>
      </c>
      <c r="DP85" s="451">
        <v>0</v>
      </c>
      <c r="DQ85" s="451">
        <v>0</v>
      </c>
      <c r="DR85" s="451">
        <v>0</v>
      </c>
      <c r="DS85" s="451">
        <v>0</v>
      </c>
      <c r="DT85" s="451">
        <v>0</v>
      </c>
      <c r="DU85" s="451">
        <v>0</v>
      </c>
      <c r="DV85" s="451">
        <v>0</v>
      </c>
      <c r="DW85" s="451">
        <v>0</v>
      </c>
      <c r="DX85" s="451">
        <v>0</v>
      </c>
      <c r="DY85" s="451">
        <v>0</v>
      </c>
      <c r="DZ85" s="451">
        <v>0</v>
      </c>
      <c r="EA85" s="451">
        <v>0</v>
      </c>
      <c r="EB85" s="451">
        <v>0</v>
      </c>
      <c r="EC85" s="451">
        <v>0</v>
      </c>
      <c r="ED85" s="451">
        <v>0</v>
      </c>
      <c r="EE85" s="451">
        <v>0</v>
      </c>
      <c r="EF85" s="451">
        <v>0</v>
      </c>
      <c r="EG85" s="451">
        <v>0</v>
      </c>
      <c r="EH85" s="451">
        <v>0</v>
      </c>
      <c r="EI85" s="451">
        <v>0</v>
      </c>
      <c r="EJ85" s="451">
        <v>0</v>
      </c>
      <c r="EK85" s="451">
        <v>0</v>
      </c>
      <c r="EL85" s="451">
        <v>0</v>
      </c>
      <c r="EM85" s="451">
        <v>0</v>
      </c>
    </row>
    <row r="86" spans="1:143" ht="12.75" x14ac:dyDescent="0.2">
      <c r="A86" s="446">
        <v>80</v>
      </c>
      <c r="B86" s="447" t="s">
        <v>43</v>
      </c>
      <c r="C86" s="448" t="s">
        <v>794</v>
      </c>
      <c r="D86" s="449" t="s">
        <v>1105</v>
      </c>
      <c r="E86" s="450" t="s">
        <v>42</v>
      </c>
      <c r="F86" s="451">
        <v>390085</v>
      </c>
      <c r="G86" s="451">
        <v>0</v>
      </c>
      <c r="H86" s="451">
        <v>0</v>
      </c>
      <c r="I86" s="451">
        <v>390085</v>
      </c>
      <c r="J86" s="451">
        <v>-684760</v>
      </c>
      <c r="K86" s="451">
        <v>0</v>
      </c>
      <c r="L86" s="451">
        <v>0</v>
      </c>
      <c r="M86" s="451">
        <v>-684760</v>
      </c>
      <c r="N86" s="451">
        <v>105039</v>
      </c>
      <c r="O86" s="451">
        <v>0</v>
      </c>
      <c r="P86" s="451">
        <v>0</v>
      </c>
      <c r="Q86" s="451">
        <v>105039</v>
      </c>
      <c r="R86" s="451">
        <v>401551</v>
      </c>
      <c r="S86" s="451">
        <v>0</v>
      </c>
      <c r="T86" s="451">
        <v>0</v>
      </c>
      <c r="U86" s="451">
        <v>401551</v>
      </c>
      <c r="V86" s="451">
        <v>8942135</v>
      </c>
      <c r="W86" s="451">
        <v>0</v>
      </c>
      <c r="X86" s="451">
        <v>0</v>
      </c>
      <c r="Y86" s="451">
        <v>8942135</v>
      </c>
      <c r="Z86" s="451">
        <v>324700</v>
      </c>
      <c r="AA86" s="451">
        <v>0</v>
      </c>
      <c r="AB86" s="451">
        <v>0</v>
      </c>
      <c r="AC86" s="451">
        <v>324700</v>
      </c>
      <c r="AD86" s="451">
        <v>2231391</v>
      </c>
      <c r="AE86" s="451">
        <v>0</v>
      </c>
      <c r="AF86" s="451">
        <v>0</v>
      </c>
      <c r="AG86" s="451">
        <v>2231391</v>
      </c>
      <c r="AH86" s="451">
        <v>-61737</v>
      </c>
      <c r="AI86" s="451">
        <v>0</v>
      </c>
      <c r="AJ86" s="451">
        <v>0</v>
      </c>
      <c r="AK86" s="451">
        <v>-61737</v>
      </c>
      <c r="AL86" s="451">
        <v>9212639</v>
      </c>
      <c r="AM86" s="451">
        <v>0</v>
      </c>
      <c r="AN86" s="451">
        <v>0</v>
      </c>
      <c r="AO86" s="451">
        <v>9212639</v>
      </c>
      <c r="AP86" s="451">
        <v>-121071</v>
      </c>
      <c r="AQ86" s="451">
        <v>0</v>
      </c>
      <c r="AR86" s="451">
        <v>0</v>
      </c>
      <c r="AS86" s="451">
        <v>-121071</v>
      </c>
      <c r="AT86" s="451">
        <v>213175</v>
      </c>
      <c r="AU86" s="451">
        <v>0</v>
      </c>
      <c r="AV86" s="451">
        <v>0</v>
      </c>
      <c r="AW86" s="451">
        <v>213175</v>
      </c>
      <c r="AX86" s="451">
        <v>-2854</v>
      </c>
      <c r="AY86" s="451">
        <v>0</v>
      </c>
      <c r="AZ86" s="451">
        <v>0</v>
      </c>
      <c r="BA86" s="451">
        <v>-2854</v>
      </c>
      <c r="BB86" s="451">
        <v>89810</v>
      </c>
      <c r="BC86" s="451">
        <v>0</v>
      </c>
      <c r="BD86" s="451">
        <v>0</v>
      </c>
      <c r="BE86" s="451">
        <v>89810</v>
      </c>
      <c r="BF86" s="451">
        <v>9089</v>
      </c>
      <c r="BG86" s="451">
        <v>0</v>
      </c>
      <c r="BH86" s="451">
        <v>0</v>
      </c>
      <c r="BI86" s="451">
        <v>9089</v>
      </c>
      <c r="BJ86" s="451">
        <v>121090</v>
      </c>
      <c r="BK86" s="451">
        <v>0</v>
      </c>
      <c r="BL86" s="451">
        <v>0</v>
      </c>
      <c r="BM86" s="451">
        <v>121090</v>
      </c>
      <c r="BN86" s="451">
        <v>-10061</v>
      </c>
      <c r="BO86" s="451">
        <v>0</v>
      </c>
      <c r="BP86" s="451">
        <v>0</v>
      </c>
      <c r="BQ86" s="451">
        <v>-10061</v>
      </c>
      <c r="BR86" s="451">
        <v>4815148</v>
      </c>
      <c r="BS86" s="451">
        <v>0</v>
      </c>
      <c r="BT86" s="451">
        <v>0</v>
      </c>
      <c r="BU86" s="451">
        <v>4815148</v>
      </c>
      <c r="BV86" s="451">
        <v>278673</v>
      </c>
      <c r="BW86" s="451">
        <v>0</v>
      </c>
      <c r="BX86" s="451">
        <v>0</v>
      </c>
      <c r="BY86" s="451">
        <v>278673</v>
      </c>
      <c r="BZ86" s="451">
        <v>448784</v>
      </c>
      <c r="CA86" s="451">
        <v>0</v>
      </c>
      <c r="CB86" s="451">
        <v>0</v>
      </c>
      <c r="CC86" s="451">
        <v>448784</v>
      </c>
      <c r="CD86" s="451">
        <v>1536</v>
      </c>
      <c r="CE86" s="451">
        <v>0</v>
      </c>
      <c r="CF86" s="451">
        <v>0</v>
      </c>
      <c r="CG86" s="451">
        <v>1536</v>
      </c>
      <c r="CH86" s="451">
        <v>51638</v>
      </c>
      <c r="CI86" s="451">
        <v>0</v>
      </c>
      <c r="CJ86" s="451">
        <v>0</v>
      </c>
      <c r="CK86" s="451">
        <v>51638</v>
      </c>
      <c r="CL86" s="451">
        <v>40475</v>
      </c>
      <c r="CM86" s="451">
        <v>0</v>
      </c>
      <c r="CN86" s="451">
        <v>0</v>
      </c>
      <c r="CO86" s="451">
        <v>40475</v>
      </c>
      <c r="CP86" s="451">
        <v>0</v>
      </c>
      <c r="CQ86" s="451">
        <v>0</v>
      </c>
      <c r="CR86" s="451">
        <v>0</v>
      </c>
      <c r="CS86" s="451">
        <v>0</v>
      </c>
      <c r="CT86" s="451">
        <v>0</v>
      </c>
      <c r="CU86" s="451">
        <v>0</v>
      </c>
      <c r="CV86" s="451">
        <v>0</v>
      </c>
      <c r="CW86" s="451">
        <v>0</v>
      </c>
      <c r="CX86" s="451">
        <v>19613</v>
      </c>
      <c r="CY86" s="451">
        <v>0</v>
      </c>
      <c r="CZ86" s="451">
        <v>0</v>
      </c>
      <c r="DA86" s="451">
        <v>19613</v>
      </c>
      <c r="DB86" s="451">
        <v>1339</v>
      </c>
      <c r="DC86" s="451">
        <v>0</v>
      </c>
      <c r="DD86" s="451">
        <v>0</v>
      </c>
      <c r="DE86" s="451">
        <v>1339</v>
      </c>
      <c r="DF86" s="451">
        <v>4056</v>
      </c>
      <c r="DG86" s="451">
        <v>0</v>
      </c>
      <c r="DH86" s="451">
        <v>0</v>
      </c>
      <c r="DI86" s="451">
        <v>4056</v>
      </c>
      <c r="DJ86" s="451">
        <v>0</v>
      </c>
      <c r="DK86" s="451">
        <v>0</v>
      </c>
      <c r="DL86" s="451">
        <v>0</v>
      </c>
      <c r="DM86" s="451">
        <v>0</v>
      </c>
      <c r="DN86" s="451">
        <v>0</v>
      </c>
      <c r="DO86" s="451">
        <v>0</v>
      </c>
      <c r="DP86" s="451">
        <v>0</v>
      </c>
      <c r="DQ86" s="451">
        <v>0</v>
      </c>
      <c r="DR86" s="451">
        <v>0</v>
      </c>
      <c r="DS86" s="451">
        <v>0</v>
      </c>
      <c r="DT86" s="451">
        <v>0</v>
      </c>
      <c r="DU86" s="451">
        <v>0</v>
      </c>
      <c r="DV86" s="451">
        <v>0</v>
      </c>
      <c r="DW86" s="451">
        <v>0</v>
      </c>
      <c r="DX86" s="451">
        <v>23576</v>
      </c>
      <c r="DY86" s="451">
        <v>0</v>
      </c>
      <c r="DZ86" s="451">
        <v>0</v>
      </c>
      <c r="EA86" s="451">
        <v>23576</v>
      </c>
      <c r="EB86" s="451">
        <v>0</v>
      </c>
      <c r="EC86" s="451">
        <v>0</v>
      </c>
      <c r="ED86" s="451">
        <v>0</v>
      </c>
      <c r="EE86" s="451">
        <v>0</v>
      </c>
      <c r="EF86" s="451">
        <v>0</v>
      </c>
      <c r="EG86" s="451">
        <v>0</v>
      </c>
      <c r="EH86" s="451">
        <v>0</v>
      </c>
      <c r="EI86" s="451">
        <v>0</v>
      </c>
      <c r="EJ86" s="451">
        <v>16932</v>
      </c>
      <c r="EK86" s="451">
        <v>0</v>
      </c>
      <c r="EL86" s="451">
        <v>0</v>
      </c>
      <c r="EM86" s="451">
        <v>16932</v>
      </c>
    </row>
    <row r="87" spans="1:143" ht="12.75" x14ac:dyDescent="0.2">
      <c r="A87" s="446">
        <v>81</v>
      </c>
      <c r="B87" s="447" t="s">
        <v>45</v>
      </c>
      <c r="C87" s="448" t="s">
        <v>1098</v>
      </c>
      <c r="D87" s="449" t="s">
        <v>1099</v>
      </c>
      <c r="E87" s="450" t="s">
        <v>44</v>
      </c>
      <c r="F87" s="451">
        <v>187066.81</v>
      </c>
      <c r="G87" s="451">
        <v>0</v>
      </c>
      <c r="H87" s="451">
        <v>0</v>
      </c>
      <c r="I87" s="451">
        <v>187066.81</v>
      </c>
      <c r="J87" s="451">
        <v>-223992.97</v>
      </c>
      <c r="K87" s="451">
        <v>0</v>
      </c>
      <c r="L87" s="451">
        <v>0</v>
      </c>
      <c r="M87" s="451">
        <v>-223992.97</v>
      </c>
      <c r="N87" s="451">
        <v>75714</v>
      </c>
      <c r="O87" s="451">
        <v>0</v>
      </c>
      <c r="P87" s="451">
        <v>0</v>
      </c>
      <c r="Q87" s="451">
        <v>75714</v>
      </c>
      <c r="R87" s="451">
        <v>336271</v>
      </c>
      <c r="S87" s="451">
        <v>0</v>
      </c>
      <c r="T87" s="451">
        <v>0</v>
      </c>
      <c r="U87" s="451">
        <v>336271</v>
      </c>
      <c r="V87" s="451">
        <v>4142589.62</v>
      </c>
      <c r="W87" s="451">
        <v>0</v>
      </c>
      <c r="X87" s="451">
        <v>0</v>
      </c>
      <c r="Y87" s="451">
        <v>4142589.62</v>
      </c>
      <c r="Z87" s="451">
        <v>246130.49</v>
      </c>
      <c r="AA87" s="451">
        <v>0</v>
      </c>
      <c r="AB87" s="451">
        <v>0</v>
      </c>
      <c r="AC87" s="451">
        <v>246130.49</v>
      </c>
      <c r="AD87" s="451">
        <v>2630358</v>
      </c>
      <c r="AE87" s="451">
        <v>0</v>
      </c>
      <c r="AF87" s="451">
        <v>0</v>
      </c>
      <c r="AG87" s="451">
        <v>2630358</v>
      </c>
      <c r="AH87" s="451">
        <v>14484.97</v>
      </c>
      <c r="AI87" s="451">
        <v>0</v>
      </c>
      <c r="AJ87" s="451">
        <v>0</v>
      </c>
      <c r="AK87" s="451">
        <v>14484.97</v>
      </c>
      <c r="AL87" s="451">
        <v>6643364</v>
      </c>
      <c r="AM87" s="451">
        <v>0</v>
      </c>
      <c r="AN87" s="451">
        <v>0</v>
      </c>
      <c r="AO87" s="451">
        <v>6643364</v>
      </c>
      <c r="AP87" s="451">
        <v>159213.43</v>
      </c>
      <c r="AQ87" s="451">
        <v>0</v>
      </c>
      <c r="AR87" s="451">
        <v>0</v>
      </c>
      <c r="AS87" s="451">
        <v>159213.43</v>
      </c>
      <c r="AT87" s="451">
        <v>68332</v>
      </c>
      <c r="AU87" s="451">
        <v>0</v>
      </c>
      <c r="AV87" s="451">
        <v>0</v>
      </c>
      <c r="AW87" s="451">
        <v>68332</v>
      </c>
      <c r="AX87" s="451">
        <v>-10075</v>
      </c>
      <c r="AY87" s="451">
        <v>0</v>
      </c>
      <c r="AZ87" s="451">
        <v>0</v>
      </c>
      <c r="BA87" s="451">
        <v>-10075</v>
      </c>
      <c r="BB87" s="451">
        <v>0</v>
      </c>
      <c r="BC87" s="451">
        <v>0</v>
      </c>
      <c r="BD87" s="451">
        <v>0</v>
      </c>
      <c r="BE87" s="451">
        <v>0</v>
      </c>
      <c r="BF87" s="451">
        <v>0</v>
      </c>
      <c r="BG87" s="451">
        <v>0</v>
      </c>
      <c r="BH87" s="451">
        <v>0</v>
      </c>
      <c r="BI87" s="451">
        <v>0</v>
      </c>
      <c r="BJ87" s="451">
        <v>18414</v>
      </c>
      <c r="BK87" s="451">
        <v>0</v>
      </c>
      <c r="BL87" s="451">
        <v>0</v>
      </c>
      <c r="BM87" s="451">
        <v>18414</v>
      </c>
      <c r="BN87" s="451">
        <v>64806.19</v>
      </c>
      <c r="BO87" s="451">
        <v>0</v>
      </c>
      <c r="BP87" s="451">
        <v>0</v>
      </c>
      <c r="BQ87" s="451">
        <v>64806.19</v>
      </c>
      <c r="BR87" s="451">
        <v>5290094</v>
      </c>
      <c r="BS87" s="451">
        <v>0</v>
      </c>
      <c r="BT87" s="451">
        <v>0</v>
      </c>
      <c r="BU87" s="451">
        <v>5290094</v>
      </c>
      <c r="BV87" s="451">
        <v>234059</v>
      </c>
      <c r="BW87" s="451">
        <v>0</v>
      </c>
      <c r="BX87" s="451">
        <v>0</v>
      </c>
      <c r="BY87" s="451">
        <v>234059</v>
      </c>
      <c r="BZ87" s="451">
        <v>57840.57</v>
      </c>
      <c r="CA87" s="451">
        <v>0</v>
      </c>
      <c r="CB87" s="451">
        <v>0</v>
      </c>
      <c r="CC87" s="451">
        <v>57840.57</v>
      </c>
      <c r="CD87" s="451">
        <v>-9579.73</v>
      </c>
      <c r="CE87" s="451">
        <v>0</v>
      </c>
      <c r="CF87" s="451">
        <v>0</v>
      </c>
      <c r="CG87" s="451">
        <v>-9579.73</v>
      </c>
      <c r="CH87" s="451">
        <v>182404</v>
      </c>
      <c r="CI87" s="451">
        <v>0</v>
      </c>
      <c r="CJ87" s="451">
        <v>0</v>
      </c>
      <c r="CK87" s="451">
        <v>182404</v>
      </c>
      <c r="CL87" s="451">
        <v>2305</v>
      </c>
      <c r="CM87" s="451">
        <v>0</v>
      </c>
      <c r="CN87" s="451">
        <v>0</v>
      </c>
      <c r="CO87" s="451">
        <v>2305</v>
      </c>
      <c r="CP87" s="451">
        <v>0</v>
      </c>
      <c r="CQ87" s="451">
        <v>0</v>
      </c>
      <c r="CR87" s="451">
        <v>0</v>
      </c>
      <c r="CS87" s="451">
        <v>0</v>
      </c>
      <c r="CT87" s="451">
        <v>0</v>
      </c>
      <c r="CU87" s="451">
        <v>0</v>
      </c>
      <c r="CV87" s="451">
        <v>0</v>
      </c>
      <c r="CW87" s="451">
        <v>0</v>
      </c>
      <c r="CX87" s="451">
        <v>0</v>
      </c>
      <c r="CY87" s="451">
        <v>0</v>
      </c>
      <c r="CZ87" s="451">
        <v>0</v>
      </c>
      <c r="DA87" s="451">
        <v>0</v>
      </c>
      <c r="DB87" s="451">
        <v>0</v>
      </c>
      <c r="DC87" s="451">
        <v>0</v>
      </c>
      <c r="DD87" s="451">
        <v>0</v>
      </c>
      <c r="DE87" s="451">
        <v>0</v>
      </c>
      <c r="DF87" s="451">
        <v>0</v>
      </c>
      <c r="DG87" s="451">
        <v>0</v>
      </c>
      <c r="DH87" s="451">
        <v>0</v>
      </c>
      <c r="DI87" s="451">
        <v>0</v>
      </c>
      <c r="DJ87" s="451">
        <v>0</v>
      </c>
      <c r="DK87" s="451">
        <v>0</v>
      </c>
      <c r="DL87" s="451">
        <v>0</v>
      </c>
      <c r="DM87" s="451">
        <v>0</v>
      </c>
      <c r="DN87" s="451">
        <v>0</v>
      </c>
      <c r="DO87" s="451">
        <v>0</v>
      </c>
      <c r="DP87" s="451">
        <v>0</v>
      </c>
      <c r="DQ87" s="451">
        <v>0</v>
      </c>
      <c r="DR87" s="451">
        <v>0</v>
      </c>
      <c r="DS87" s="451">
        <v>0</v>
      </c>
      <c r="DT87" s="451">
        <v>0</v>
      </c>
      <c r="DU87" s="451">
        <v>0</v>
      </c>
      <c r="DV87" s="451">
        <v>0</v>
      </c>
      <c r="DW87" s="451">
        <v>0</v>
      </c>
      <c r="DX87" s="451">
        <v>60732.04</v>
      </c>
      <c r="DY87" s="451">
        <v>0</v>
      </c>
      <c r="DZ87" s="451">
        <v>0</v>
      </c>
      <c r="EA87" s="451">
        <v>60732.04</v>
      </c>
      <c r="EB87" s="451">
        <v>0</v>
      </c>
      <c r="EC87" s="451">
        <v>0</v>
      </c>
      <c r="ED87" s="451">
        <v>0</v>
      </c>
      <c r="EE87" s="451">
        <v>0</v>
      </c>
      <c r="EF87" s="451">
        <v>0</v>
      </c>
      <c r="EG87" s="451">
        <v>0</v>
      </c>
      <c r="EH87" s="451">
        <v>0</v>
      </c>
      <c r="EI87" s="451">
        <v>0</v>
      </c>
      <c r="EJ87" s="451">
        <v>597</v>
      </c>
      <c r="EK87" s="451">
        <v>0</v>
      </c>
      <c r="EL87" s="451">
        <v>0</v>
      </c>
      <c r="EM87" s="451">
        <v>597</v>
      </c>
    </row>
    <row r="88" spans="1:143" ht="12.75" x14ac:dyDescent="0.2">
      <c r="A88" s="446">
        <v>82</v>
      </c>
      <c r="B88" s="447" t="s">
        <v>47</v>
      </c>
      <c r="C88" s="448" t="s">
        <v>1093</v>
      </c>
      <c r="D88" s="449" t="s">
        <v>1097</v>
      </c>
      <c r="E88" s="450" t="s">
        <v>46</v>
      </c>
      <c r="F88" s="451">
        <v>77162.33</v>
      </c>
      <c r="G88" s="451">
        <v>0</v>
      </c>
      <c r="H88" s="451">
        <v>0</v>
      </c>
      <c r="I88" s="451">
        <v>77162.33</v>
      </c>
      <c r="J88" s="451">
        <v>-90587.04</v>
      </c>
      <c r="K88" s="451">
        <v>0</v>
      </c>
      <c r="L88" s="451">
        <v>0</v>
      </c>
      <c r="M88" s="451">
        <v>-90587.04</v>
      </c>
      <c r="N88" s="451">
        <v>46949.64</v>
      </c>
      <c r="O88" s="451">
        <v>0</v>
      </c>
      <c r="P88" s="451">
        <v>0</v>
      </c>
      <c r="Q88" s="451">
        <v>46949.64</v>
      </c>
      <c r="R88" s="451">
        <v>142047.63</v>
      </c>
      <c r="S88" s="451">
        <v>0</v>
      </c>
      <c r="T88" s="451">
        <v>0</v>
      </c>
      <c r="U88" s="451">
        <v>142047.63</v>
      </c>
      <c r="V88" s="451">
        <v>1455165.55</v>
      </c>
      <c r="W88" s="451">
        <v>0</v>
      </c>
      <c r="X88" s="451">
        <v>0</v>
      </c>
      <c r="Y88" s="451">
        <v>1455165.55</v>
      </c>
      <c r="Z88" s="451">
        <v>9136.14</v>
      </c>
      <c r="AA88" s="451">
        <v>0</v>
      </c>
      <c r="AB88" s="451">
        <v>0</v>
      </c>
      <c r="AC88" s="451">
        <v>9136.14</v>
      </c>
      <c r="AD88" s="451">
        <v>328076.27</v>
      </c>
      <c r="AE88" s="451">
        <v>0</v>
      </c>
      <c r="AF88" s="451">
        <v>0</v>
      </c>
      <c r="AG88" s="451">
        <v>328076.27</v>
      </c>
      <c r="AH88" s="451">
        <v>-10178.65</v>
      </c>
      <c r="AI88" s="451">
        <v>0</v>
      </c>
      <c r="AJ88" s="451">
        <v>0</v>
      </c>
      <c r="AK88" s="451">
        <v>-10178.65</v>
      </c>
      <c r="AL88" s="451">
        <v>1420819.13</v>
      </c>
      <c r="AM88" s="451">
        <v>0</v>
      </c>
      <c r="AN88" s="451">
        <v>0</v>
      </c>
      <c r="AO88" s="451">
        <v>1420819.13</v>
      </c>
      <c r="AP88" s="451">
        <v>87167.28</v>
      </c>
      <c r="AQ88" s="451">
        <v>0</v>
      </c>
      <c r="AR88" s="451">
        <v>0</v>
      </c>
      <c r="AS88" s="451">
        <v>87167.28</v>
      </c>
      <c r="AT88" s="451">
        <v>47608.68</v>
      </c>
      <c r="AU88" s="451">
        <v>0</v>
      </c>
      <c r="AV88" s="451">
        <v>0</v>
      </c>
      <c r="AW88" s="451">
        <v>47608.68</v>
      </c>
      <c r="AX88" s="451">
        <v>5962.08</v>
      </c>
      <c r="AY88" s="451">
        <v>0</v>
      </c>
      <c r="AZ88" s="451">
        <v>0</v>
      </c>
      <c r="BA88" s="451">
        <v>5962.08</v>
      </c>
      <c r="BB88" s="451">
        <v>34746.86</v>
      </c>
      <c r="BC88" s="451">
        <v>0</v>
      </c>
      <c r="BD88" s="451">
        <v>0</v>
      </c>
      <c r="BE88" s="451">
        <v>34746.86</v>
      </c>
      <c r="BF88" s="451">
        <v>-37.880000000000003</v>
      </c>
      <c r="BG88" s="451">
        <v>0</v>
      </c>
      <c r="BH88" s="451">
        <v>0</v>
      </c>
      <c r="BI88" s="451">
        <v>-37.880000000000003</v>
      </c>
      <c r="BJ88" s="451">
        <v>5571.04</v>
      </c>
      <c r="BK88" s="451">
        <v>0</v>
      </c>
      <c r="BL88" s="451">
        <v>0</v>
      </c>
      <c r="BM88" s="451">
        <v>5571.04</v>
      </c>
      <c r="BN88" s="451">
        <v>638.26</v>
      </c>
      <c r="BO88" s="451">
        <v>0</v>
      </c>
      <c r="BP88" s="451">
        <v>0</v>
      </c>
      <c r="BQ88" s="451">
        <v>638.26</v>
      </c>
      <c r="BR88" s="451">
        <v>604548.77</v>
      </c>
      <c r="BS88" s="451">
        <v>0</v>
      </c>
      <c r="BT88" s="451">
        <v>0</v>
      </c>
      <c r="BU88" s="451">
        <v>604548.77</v>
      </c>
      <c r="BV88" s="451">
        <v>41772.11</v>
      </c>
      <c r="BW88" s="451">
        <v>0</v>
      </c>
      <c r="BX88" s="451">
        <v>0</v>
      </c>
      <c r="BY88" s="451">
        <v>41772.11</v>
      </c>
      <c r="BZ88" s="451">
        <v>43970.3</v>
      </c>
      <c r="CA88" s="451">
        <v>0</v>
      </c>
      <c r="CB88" s="451">
        <v>0</v>
      </c>
      <c r="CC88" s="451">
        <v>43970.3</v>
      </c>
      <c r="CD88" s="451">
        <v>-237.1</v>
      </c>
      <c r="CE88" s="451">
        <v>0</v>
      </c>
      <c r="CF88" s="451">
        <v>0</v>
      </c>
      <c r="CG88" s="451">
        <v>-237.1</v>
      </c>
      <c r="CH88" s="451">
        <v>13922.11</v>
      </c>
      <c r="CI88" s="451">
        <v>0</v>
      </c>
      <c r="CJ88" s="451">
        <v>0</v>
      </c>
      <c r="CK88" s="451">
        <v>13922.11</v>
      </c>
      <c r="CL88" s="451">
        <v>-1953.9</v>
      </c>
      <c r="CM88" s="451">
        <v>0</v>
      </c>
      <c r="CN88" s="451">
        <v>0</v>
      </c>
      <c r="CO88" s="451">
        <v>-1953.9</v>
      </c>
      <c r="CP88" s="451">
        <v>4741.22</v>
      </c>
      <c r="CQ88" s="451">
        <v>0</v>
      </c>
      <c r="CR88" s="451">
        <v>0</v>
      </c>
      <c r="CS88" s="451">
        <v>4741.22</v>
      </c>
      <c r="CT88" s="451">
        <v>1490.52</v>
      </c>
      <c r="CU88" s="451">
        <v>0</v>
      </c>
      <c r="CV88" s="451">
        <v>0</v>
      </c>
      <c r="CW88" s="451">
        <v>1490.52</v>
      </c>
      <c r="CX88" s="451">
        <v>11872.79</v>
      </c>
      <c r="CY88" s="451">
        <v>0</v>
      </c>
      <c r="CZ88" s="451">
        <v>0</v>
      </c>
      <c r="DA88" s="451">
        <v>11872.79</v>
      </c>
      <c r="DB88" s="451">
        <v>-37.869999999999997</v>
      </c>
      <c r="DC88" s="451">
        <v>0</v>
      </c>
      <c r="DD88" s="451">
        <v>0</v>
      </c>
      <c r="DE88" s="451">
        <v>-37.869999999999997</v>
      </c>
      <c r="DF88" s="451">
        <v>0</v>
      </c>
      <c r="DG88" s="451">
        <v>0</v>
      </c>
      <c r="DH88" s="451">
        <v>0</v>
      </c>
      <c r="DI88" s="451">
        <v>0</v>
      </c>
      <c r="DJ88" s="451">
        <v>0</v>
      </c>
      <c r="DK88" s="451">
        <v>0</v>
      </c>
      <c r="DL88" s="451">
        <v>0</v>
      </c>
      <c r="DM88" s="451">
        <v>0</v>
      </c>
      <c r="DN88" s="451">
        <v>0</v>
      </c>
      <c r="DO88" s="451">
        <v>0</v>
      </c>
      <c r="DP88" s="451">
        <v>0</v>
      </c>
      <c r="DQ88" s="451">
        <v>0</v>
      </c>
      <c r="DR88" s="451">
        <v>0</v>
      </c>
      <c r="DS88" s="451">
        <v>0</v>
      </c>
      <c r="DT88" s="451">
        <v>0</v>
      </c>
      <c r="DU88" s="451">
        <v>0</v>
      </c>
      <c r="DV88" s="451">
        <v>0</v>
      </c>
      <c r="DW88" s="451">
        <v>0</v>
      </c>
      <c r="DX88" s="451">
        <v>0</v>
      </c>
      <c r="DY88" s="451">
        <v>0</v>
      </c>
      <c r="DZ88" s="451">
        <v>0</v>
      </c>
      <c r="EA88" s="451">
        <v>0</v>
      </c>
      <c r="EB88" s="451">
        <v>0</v>
      </c>
      <c r="EC88" s="451">
        <v>0</v>
      </c>
      <c r="ED88" s="451">
        <v>0</v>
      </c>
      <c r="EE88" s="451">
        <v>0</v>
      </c>
      <c r="EF88" s="451">
        <v>27118.3</v>
      </c>
      <c r="EG88" s="451">
        <v>0</v>
      </c>
      <c r="EH88" s="451">
        <v>0</v>
      </c>
      <c r="EI88" s="451">
        <v>27118.3</v>
      </c>
      <c r="EJ88" s="451">
        <v>0</v>
      </c>
      <c r="EK88" s="451">
        <v>0</v>
      </c>
      <c r="EL88" s="451">
        <v>0</v>
      </c>
      <c r="EM88" s="451">
        <v>0</v>
      </c>
    </row>
    <row r="89" spans="1:143" ht="12.75" x14ac:dyDescent="0.2">
      <c r="A89" s="446">
        <v>83</v>
      </c>
      <c r="B89" s="447" t="s">
        <v>49</v>
      </c>
      <c r="C89" s="448" t="s">
        <v>1093</v>
      </c>
      <c r="D89" s="449" t="s">
        <v>1102</v>
      </c>
      <c r="E89" s="450" t="s">
        <v>48</v>
      </c>
      <c r="F89" s="451">
        <v>484978.9</v>
      </c>
      <c r="G89" s="451">
        <v>0</v>
      </c>
      <c r="H89" s="451">
        <v>0</v>
      </c>
      <c r="I89" s="451">
        <v>484978.9</v>
      </c>
      <c r="J89" s="451">
        <v>-129142</v>
      </c>
      <c r="K89" s="451">
        <v>0</v>
      </c>
      <c r="L89" s="451">
        <v>0</v>
      </c>
      <c r="M89" s="451">
        <v>-129142</v>
      </c>
      <c r="N89" s="451">
        <v>28139</v>
      </c>
      <c r="O89" s="451">
        <v>0</v>
      </c>
      <c r="P89" s="451">
        <v>0</v>
      </c>
      <c r="Q89" s="451">
        <v>28139</v>
      </c>
      <c r="R89" s="451">
        <v>155853</v>
      </c>
      <c r="S89" s="451">
        <v>0</v>
      </c>
      <c r="T89" s="451">
        <v>0</v>
      </c>
      <c r="U89" s="451">
        <v>155853</v>
      </c>
      <c r="V89" s="451">
        <v>3871827.59</v>
      </c>
      <c r="W89" s="451">
        <v>0</v>
      </c>
      <c r="X89" s="451">
        <v>0</v>
      </c>
      <c r="Y89" s="451">
        <v>3871827.59</v>
      </c>
      <c r="Z89" s="451">
        <v>173030.45</v>
      </c>
      <c r="AA89" s="451">
        <v>0</v>
      </c>
      <c r="AB89" s="451">
        <v>0</v>
      </c>
      <c r="AC89" s="451">
        <v>173030.45</v>
      </c>
      <c r="AD89" s="451">
        <v>557694.49</v>
      </c>
      <c r="AE89" s="451">
        <v>0</v>
      </c>
      <c r="AF89" s="451">
        <v>0</v>
      </c>
      <c r="AG89" s="451">
        <v>557694.49</v>
      </c>
      <c r="AH89" s="451">
        <v>-15299.13</v>
      </c>
      <c r="AI89" s="451">
        <v>0</v>
      </c>
      <c r="AJ89" s="451">
        <v>0</v>
      </c>
      <c r="AK89" s="451">
        <v>-15299.13</v>
      </c>
      <c r="AL89" s="451">
        <v>2060806.39</v>
      </c>
      <c r="AM89" s="451">
        <v>0</v>
      </c>
      <c r="AN89" s="451">
        <v>0</v>
      </c>
      <c r="AO89" s="451">
        <v>2060806.39</v>
      </c>
      <c r="AP89" s="451">
        <v>2266.3000000000002</v>
      </c>
      <c r="AQ89" s="451">
        <v>0</v>
      </c>
      <c r="AR89" s="451">
        <v>0</v>
      </c>
      <c r="AS89" s="451">
        <v>2266.3000000000002</v>
      </c>
      <c r="AT89" s="451">
        <v>123899</v>
      </c>
      <c r="AU89" s="451">
        <v>0</v>
      </c>
      <c r="AV89" s="451">
        <v>0</v>
      </c>
      <c r="AW89" s="451">
        <v>123899</v>
      </c>
      <c r="AX89" s="451">
        <v>0</v>
      </c>
      <c r="AY89" s="451">
        <v>0</v>
      </c>
      <c r="AZ89" s="451">
        <v>0</v>
      </c>
      <c r="BA89" s="451">
        <v>0</v>
      </c>
      <c r="BB89" s="451">
        <v>48893.57</v>
      </c>
      <c r="BC89" s="451">
        <v>0</v>
      </c>
      <c r="BD89" s="451">
        <v>0</v>
      </c>
      <c r="BE89" s="451">
        <v>48893.57</v>
      </c>
      <c r="BF89" s="451">
        <v>-5341.19</v>
      </c>
      <c r="BG89" s="451">
        <v>0</v>
      </c>
      <c r="BH89" s="451">
        <v>0</v>
      </c>
      <c r="BI89" s="451">
        <v>-5341.19</v>
      </c>
      <c r="BJ89" s="451">
        <v>0</v>
      </c>
      <c r="BK89" s="451">
        <v>0</v>
      </c>
      <c r="BL89" s="451">
        <v>0</v>
      </c>
      <c r="BM89" s="451">
        <v>0</v>
      </c>
      <c r="BN89" s="451">
        <v>-42323.07</v>
      </c>
      <c r="BO89" s="451">
        <v>0</v>
      </c>
      <c r="BP89" s="451">
        <v>0</v>
      </c>
      <c r="BQ89" s="451">
        <v>-42323.07</v>
      </c>
      <c r="BR89" s="451">
        <v>935716.81</v>
      </c>
      <c r="BS89" s="451">
        <v>0</v>
      </c>
      <c r="BT89" s="451">
        <v>0</v>
      </c>
      <c r="BU89" s="451">
        <v>935716.81</v>
      </c>
      <c r="BV89" s="451">
        <v>36386</v>
      </c>
      <c r="BW89" s="451">
        <v>0</v>
      </c>
      <c r="BX89" s="451">
        <v>0</v>
      </c>
      <c r="BY89" s="451">
        <v>36386</v>
      </c>
      <c r="BZ89" s="451">
        <v>132884.59</v>
      </c>
      <c r="CA89" s="451">
        <v>0</v>
      </c>
      <c r="CB89" s="451">
        <v>0</v>
      </c>
      <c r="CC89" s="451">
        <v>132884.59</v>
      </c>
      <c r="CD89" s="451">
        <v>417.54</v>
      </c>
      <c r="CE89" s="451">
        <v>0</v>
      </c>
      <c r="CF89" s="451">
        <v>0</v>
      </c>
      <c r="CG89" s="451">
        <v>417.54</v>
      </c>
      <c r="CH89" s="451">
        <v>8451.68</v>
      </c>
      <c r="CI89" s="451">
        <v>0</v>
      </c>
      <c r="CJ89" s="451">
        <v>0</v>
      </c>
      <c r="CK89" s="451">
        <v>8451.68</v>
      </c>
      <c r="CL89" s="451">
        <v>1130.19</v>
      </c>
      <c r="CM89" s="451">
        <v>0</v>
      </c>
      <c r="CN89" s="451">
        <v>0</v>
      </c>
      <c r="CO89" s="451">
        <v>1130.19</v>
      </c>
      <c r="CP89" s="451">
        <v>18458.28</v>
      </c>
      <c r="CQ89" s="451">
        <v>0</v>
      </c>
      <c r="CR89" s="451">
        <v>0</v>
      </c>
      <c r="CS89" s="451">
        <v>18458.28</v>
      </c>
      <c r="CT89" s="451">
        <v>0</v>
      </c>
      <c r="CU89" s="451">
        <v>0</v>
      </c>
      <c r="CV89" s="451">
        <v>0</v>
      </c>
      <c r="CW89" s="451">
        <v>0</v>
      </c>
      <c r="CX89" s="451">
        <v>18181.04</v>
      </c>
      <c r="CY89" s="451">
        <v>0</v>
      </c>
      <c r="CZ89" s="451">
        <v>0</v>
      </c>
      <c r="DA89" s="451">
        <v>18181.04</v>
      </c>
      <c r="DB89" s="451">
        <v>7526</v>
      </c>
      <c r="DC89" s="451">
        <v>0</v>
      </c>
      <c r="DD89" s="451">
        <v>0</v>
      </c>
      <c r="DE89" s="451">
        <v>7526</v>
      </c>
      <c r="DF89" s="451">
        <v>2729.73</v>
      </c>
      <c r="DG89" s="451">
        <v>0</v>
      </c>
      <c r="DH89" s="451">
        <v>0</v>
      </c>
      <c r="DI89" s="451">
        <v>2729.73</v>
      </c>
      <c r="DJ89" s="451">
        <v>0</v>
      </c>
      <c r="DK89" s="451">
        <v>0</v>
      </c>
      <c r="DL89" s="451">
        <v>0</v>
      </c>
      <c r="DM89" s="451">
        <v>0</v>
      </c>
      <c r="DN89" s="451">
        <v>0</v>
      </c>
      <c r="DO89" s="451">
        <v>0</v>
      </c>
      <c r="DP89" s="451">
        <v>0</v>
      </c>
      <c r="DQ89" s="451">
        <v>0</v>
      </c>
      <c r="DR89" s="451">
        <v>0</v>
      </c>
      <c r="DS89" s="451">
        <v>0</v>
      </c>
      <c r="DT89" s="451">
        <v>0</v>
      </c>
      <c r="DU89" s="451">
        <v>0</v>
      </c>
      <c r="DV89" s="451">
        <v>0</v>
      </c>
      <c r="DW89" s="451">
        <v>0</v>
      </c>
      <c r="DX89" s="451">
        <v>0</v>
      </c>
      <c r="DY89" s="451">
        <v>0</v>
      </c>
      <c r="DZ89" s="451">
        <v>0</v>
      </c>
      <c r="EA89" s="451">
        <v>0</v>
      </c>
      <c r="EB89" s="451">
        <v>0</v>
      </c>
      <c r="EC89" s="451">
        <v>0</v>
      </c>
      <c r="ED89" s="451">
        <v>0</v>
      </c>
      <c r="EE89" s="451">
        <v>0</v>
      </c>
      <c r="EF89" s="451">
        <v>0</v>
      </c>
      <c r="EG89" s="451">
        <v>0</v>
      </c>
      <c r="EH89" s="451">
        <v>0</v>
      </c>
      <c r="EI89" s="451">
        <v>0</v>
      </c>
      <c r="EJ89" s="451">
        <v>-11166.88</v>
      </c>
      <c r="EK89" s="451">
        <v>0</v>
      </c>
      <c r="EL89" s="451">
        <v>0</v>
      </c>
      <c r="EM89" s="451">
        <v>-11166.88</v>
      </c>
    </row>
    <row r="90" spans="1:143" ht="12.75" x14ac:dyDescent="0.2">
      <c r="A90" s="446">
        <v>84</v>
      </c>
      <c r="B90" s="447" t="s">
        <v>51</v>
      </c>
      <c r="C90" s="448" t="s">
        <v>1093</v>
      </c>
      <c r="D90" s="449" t="s">
        <v>1102</v>
      </c>
      <c r="E90" s="450" t="s">
        <v>50</v>
      </c>
      <c r="F90" s="451">
        <v>56420</v>
      </c>
      <c r="G90" s="451">
        <v>0</v>
      </c>
      <c r="H90" s="451">
        <v>0</v>
      </c>
      <c r="I90" s="451">
        <v>56420</v>
      </c>
      <c r="J90" s="451">
        <v>-89396</v>
      </c>
      <c r="K90" s="451">
        <v>0</v>
      </c>
      <c r="L90" s="451">
        <v>0</v>
      </c>
      <c r="M90" s="451">
        <v>-89396</v>
      </c>
      <c r="N90" s="451">
        <v>17065</v>
      </c>
      <c r="O90" s="451">
        <v>0</v>
      </c>
      <c r="P90" s="451">
        <v>0</v>
      </c>
      <c r="Q90" s="451">
        <v>17065</v>
      </c>
      <c r="R90" s="451">
        <v>-2092</v>
      </c>
      <c r="S90" s="451">
        <v>0</v>
      </c>
      <c r="T90" s="451">
        <v>0</v>
      </c>
      <c r="U90" s="451">
        <v>-2092</v>
      </c>
      <c r="V90" s="451">
        <v>1852230</v>
      </c>
      <c r="W90" s="451">
        <v>0</v>
      </c>
      <c r="X90" s="451">
        <v>0</v>
      </c>
      <c r="Y90" s="451">
        <v>1852230</v>
      </c>
      <c r="Z90" s="451">
        <v>62301</v>
      </c>
      <c r="AA90" s="451">
        <v>0</v>
      </c>
      <c r="AB90" s="451">
        <v>0</v>
      </c>
      <c r="AC90" s="451">
        <v>62301</v>
      </c>
      <c r="AD90" s="451">
        <v>371261</v>
      </c>
      <c r="AE90" s="451">
        <v>0</v>
      </c>
      <c r="AF90" s="451">
        <v>0</v>
      </c>
      <c r="AG90" s="451">
        <v>371261</v>
      </c>
      <c r="AH90" s="451">
        <v>-8504</v>
      </c>
      <c r="AI90" s="451">
        <v>0</v>
      </c>
      <c r="AJ90" s="451">
        <v>0</v>
      </c>
      <c r="AK90" s="451">
        <v>-8504</v>
      </c>
      <c r="AL90" s="451">
        <v>748833</v>
      </c>
      <c r="AM90" s="451">
        <v>0</v>
      </c>
      <c r="AN90" s="451">
        <v>0</v>
      </c>
      <c r="AO90" s="451">
        <v>748833</v>
      </c>
      <c r="AP90" s="451">
        <v>15888</v>
      </c>
      <c r="AQ90" s="451">
        <v>0</v>
      </c>
      <c r="AR90" s="451">
        <v>0</v>
      </c>
      <c r="AS90" s="451">
        <v>15888</v>
      </c>
      <c r="AT90" s="451">
        <v>33077</v>
      </c>
      <c r="AU90" s="451">
        <v>0</v>
      </c>
      <c r="AV90" s="451">
        <v>0</v>
      </c>
      <c r="AW90" s="451">
        <v>33077</v>
      </c>
      <c r="AX90" s="451">
        <v>-5145</v>
      </c>
      <c r="AY90" s="451">
        <v>0</v>
      </c>
      <c r="AZ90" s="451">
        <v>0</v>
      </c>
      <c r="BA90" s="451">
        <v>-5145</v>
      </c>
      <c r="BB90" s="451">
        <v>14088.75</v>
      </c>
      <c r="BC90" s="451">
        <v>0</v>
      </c>
      <c r="BD90" s="451">
        <v>0</v>
      </c>
      <c r="BE90" s="451">
        <v>14088.75</v>
      </c>
      <c r="BF90" s="451">
        <v>-136.19999999999999</v>
      </c>
      <c r="BG90" s="451">
        <v>0</v>
      </c>
      <c r="BH90" s="451">
        <v>0</v>
      </c>
      <c r="BI90" s="451">
        <v>-136.19999999999999</v>
      </c>
      <c r="BJ90" s="451">
        <v>1829</v>
      </c>
      <c r="BK90" s="451">
        <v>0</v>
      </c>
      <c r="BL90" s="451">
        <v>0</v>
      </c>
      <c r="BM90" s="451">
        <v>1829</v>
      </c>
      <c r="BN90" s="451">
        <v>15108</v>
      </c>
      <c r="BO90" s="451">
        <v>0</v>
      </c>
      <c r="BP90" s="451">
        <v>0</v>
      </c>
      <c r="BQ90" s="451">
        <v>15108</v>
      </c>
      <c r="BR90" s="451">
        <v>662531</v>
      </c>
      <c r="BS90" s="451">
        <v>0</v>
      </c>
      <c r="BT90" s="451">
        <v>0</v>
      </c>
      <c r="BU90" s="451">
        <v>662531</v>
      </c>
      <c r="BV90" s="451">
        <v>65984</v>
      </c>
      <c r="BW90" s="451">
        <v>0</v>
      </c>
      <c r="BX90" s="451">
        <v>0</v>
      </c>
      <c r="BY90" s="451">
        <v>65984</v>
      </c>
      <c r="BZ90" s="451">
        <v>28694</v>
      </c>
      <c r="CA90" s="451">
        <v>0</v>
      </c>
      <c r="CB90" s="451">
        <v>0</v>
      </c>
      <c r="CC90" s="451">
        <v>28694</v>
      </c>
      <c r="CD90" s="451">
        <v>0</v>
      </c>
      <c r="CE90" s="451">
        <v>0</v>
      </c>
      <c r="CF90" s="451">
        <v>0</v>
      </c>
      <c r="CG90" s="451">
        <v>0</v>
      </c>
      <c r="CH90" s="451">
        <v>44925</v>
      </c>
      <c r="CI90" s="451">
        <v>0</v>
      </c>
      <c r="CJ90" s="451">
        <v>0</v>
      </c>
      <c r="CK90" s="451">
        <v>44925</v>
      </c>
      <c r="CL90" s="451">
        <v>0</v>
      </c>
      <c r="CM90" s="451">
        <v>0</v>
      </c>
      <c r="CN90" s="451">
        <v>0</v>
      </c>
      <c r="CO90" s="451">
        <v>0</v>
      </c>
      <c r="CP90" s="451">
        <v>0</v>
      </c>
      <c r="CQ90" s="451">
        <v>0</v>
      </c>
      <c r="CR90" s="451">
        <v>0</v>
      </c>
      <c r="CS90" s="451">
        <v>0</v>
      </c>
      <c r="CT90" s="451">
        <v>0</v>
      </c>
      <c r="CU90" s="451">
        <v>0</v>
      </c>
      <c r="CV90" s="451">
        <v>0</v>
      </c>
      <c r="CW90" s="451">
        <v>0</v>
      </c>
      <c r="CX90" s="451">
        <v>7364</v>
      </c>
      <c r="CY90" s="451">
        <v>0</v>
      </c>
      <c r="CZ90" s="451">
        <v>0</v>
      </c>
      <c r="DA90" s="451">
        <v>7364</v>
      </c>
      <c r="DB90" s="451">
        <v>-136</v>
      </c>
      <c r="DC90" s="451">
        <v>0</v>
      </c>
      <c r="DD90" s="451">
        <v>0</v>
      </c>
      <c r="DE90" s="451">
        <v>-136</v>
      </c>
      <c r="DF90" s="451">
        <v>260</v>
      </c>
      <c r="DG90" s="451">
        <v>0</v>
      </c>
      <c r="DH90" s="451">
        <v>0</v>
      </c>
      <c r="DI90" s="451">
        <v>260</v>
      </c>
      <c r="DJ90" s="451">
        <v>0</v>
      </c>
      <c r="DK90" s="451">
        <v>0</v>
      </c>
      <c r="DL90" s="451">
        <v>0</v>
      </c>
      <c r="DM90" s="451">
        <v>0</v>
      </c>
      <c r="DN90" s="451">
        <v>0</v>
      </c>
      <c r="DO90" s="451">
        <v>0</v>
      </c>
      <c r="DP90" s="451">
        <v>0</v>
      </c>
      <c r="DQ90" s="451">
        <v>0</v>
      </c>
      <c r="DR90" s="451">
        <v>0</v>
      </c>
      <c r="DS90" s="451">
        <v>0</v>
      </c>
      <c r="DT90" s="451">
        <v>0</v>
      </c>
      <c r="DU90" s="451">
        <v>0</v>
      </c>
      <c r="DV90" s="451">
        <v>0</v>
      </c>
      <c r="DW90" s="451">
        <v>0</v>
      </c>
      <c r="DX90" s="451">
        <v>0</v>
      </c>
      <c r="DY90" s="451">
        <v>0</v>
      </c>
      <c r="DZ90" s="451">
        <v>0</v>
      </c>
      <c r="EA90" s="451">
        <v>0</v>
      </c>
      <c r="EB90" s="451">
        <v>0</v>
      </c>
      <c r="EC90" s="451">
        <v>0</v>
      </c>
      <c r="ED90" s="451">
        <v>0</v>
      </c>
      <c r="EE90" s="451">
        <v>0</v>
      </c>
      <c r="EF90" s="451">
        <v>0</v>
      </c>
      <c r="EG90" s="451">
        <v>0</v>
      </c>
      <c r="EH90" s="451">
        <v>0</v>
      </c>
      <c r="EI90" s="451">
        <v>0</v>
      </c>
      <c r="EJ90" s="451">
        <v>0</v>
      </c>
      <c r="EK90" s="451">
        <v>0</v>
      </c>
      <c r="EL90" s="451">
        <v>0</v>
      </c>
      <c r="EM90" s="451">
        <v>0</v>
      </c>
    </row>
    <row r="91" spans="1:143" ht="12.75" x14ac:dyDescent="0.2">
      <c r="A91" s="446">
        <v>85</v>
      </c>
      <c r="B91" s="447" t="s">
        <v>53</v>
      </c>
      <c r="C91" s="448" t="s">
        <v>1093</v>
      </c>
      <c r="D91" s="449" t="s">
        <v>1094</v>
      </c>
      <c r="E91" s="450" t="s">
        <v>52</v>
      </c>
      <c r="F91" s="451">
        <v>95642</v>
      </c>
      <c r="G91" s="451">
        <v>0</v>
      </c>
      <c r="H91" s="451">
        <v>0</v>
      </c>
      <c r="I91" s="451">
        <v>95642</v>
      </c>
      <c r="J91" s="451">
        <v>-111271</v>
      </c>
      <c r="K91" s="451">
        <v>0</v>
      </c>
      <c r="L91" s="451">
        <v>0</v>
      </c>
      <c r="M91" s="451">
        <v>-111271</v>
      </c>
      <c r="N91" s="451">
        <v>20935</v>
      </c>
      <c r="O91" s="451">
        <v>0</v>
      </c>
      <c r="P91" s="451">
        <v>0</v>
      </c>
      <c r="Q91" s="451">
        <v>20935</v>
      </c>
      <c r="R91" s="451">
        <v>12029</v>
      </c>
      <c r="S91" s="451">
        <v>0</v>
      </c>
      <c r="T91" s="451">
        <v>0</v>
      </c>
      <c r="U91" s="451">
        <v>12029</v>
      </c>
      <c r="V91" s="451">
        <v>2341856</v>
      </c>
      <c r="W91" s="451">
        <v>0</v>
      </c>
      <c r="X91" s="451">
        <v>0</v>
      </c>
      <c r="Y91" s="451">
        <v>2341856</v>
      </c>
      <c r="Z91" s="451">
        <v>87888</v>
      </c>
      <c r="AA91" s="451">
        <v>0</v>
      </c>
      <c r="AB91" s="451">
        <v>0</v>
      </c>
      <c r="AC91" s="451">
        <v>87888</v>
      </c>
      <c r="AD91" s="451">
        <v>534453</v>
      </c>
      <c r="AE91" s="451">
        <v>0</v>
      </c>
      <c r="AF91" s="451">
        <v>0</v>
      </c>
      <c r="AG91" s="451">
        <v>534453</v>
      </c>
      <c r="AH91" s="451">
        <v>-2659</v>
      </c>
      <c r="AI91" s="451">
        <v>0</v>
      </c>
      <c r="AJ91" s="451">
        <v>0</v>
      </c>
      <c r="AK91" s="451">
        <v>-2659</v>
      </c>
      <c r="AL91" s="451">
        <v>2150554</v>
      </c>
      <c r="AM91" s="451">
        <v>0</v>
      </c>
      <c r="AN91" s="451">
        <v>0</v>
      </c>
      <c r="AO91" s="451">
        <v>2150554</v>
      </c>
      <c r="AP91" s="451">
        <v>-15675</v>
      </c>
      <c r="AQ91" s="451">
        <v>0</v>
      </c>
      <c r="AR91" s="451">
        <v>0</v>
      </c>
      <c r="AS91" s="451">
        <v>-15675</v>
      </c>
      <c r="AT91" s="451">
        <v>61409</v>
      </c>
      <c r="AU91" s="451">
        <v>0</v>
      </c>
      <c r="AV91" s="451">
        <v>0</v>
      </c>
      <c r="AW91" s="451">
        <v>61409</v>
      </c>
      <c r="AX91" s="451">
        <v>0</v>
      </c>
      <c r="AY91" s="451">
        <v>0</v>
      </c>
      <c r="AZ91" s="451">
        <v>0</v>
      </c>
      <c r="BA91" s="451">
        <v>0</v>
      </c>
      <c r="BB91" s="451">
        <v>29099</v>
      </c>
      <c r="BC91" s="451">
        <v>0</v>
      </c>
      <c r="BD91" s="451">
        <v>0</v>
      </c>
      <c r="BE91" s="451">
        <v>29099</v>
      </c>
      <c r="BF91" s="451">
        <v>-476</v>
      </c>
      <c r="BG91" s="451">
        <v>0</v>
      </c>
      <c r="BH91" s="451">
        <v>0</v>
      </c>
      <c r="BI91" s="451">
        <v>-476</v>
      </c>
      <c r="BJ91" s="451">
        <v>25792</v>
      </c>
      <c r="BK91" s="451">
        <v>0</v>
      </c>
      <c r="BL91" s="451">
        <v>0</v>
      </c>
      <c r="BM91" s="451">
        <v>25792</v>
      </c>
      <c r="BN91" s="451">
        <v>19667</v>
      </c>
      <c r="BO91" s="451">
        <v>0</v>
      </c>
      <c r="BP91" s="451">
        <v>0</v>
      </c>
      <c r="BQ91" s="451">
        <v>19667</v>
      </c>
      <c r="BR91" s="451">
        <v>1203417</v>
      </c>
      <c r="BS91" s="451">
        <v>0</v>
      </c>
      <c r="BT91" s="451">
        <v>0</v>
      </c>
      <c r="BU91" s="451">
        <v>1203417</v>
      </c>
      <c r="BV91" s="451">
        <v>-330025</v>
      </c>
      <c r="BW91" s="451">
        <v>0</v>
      </c>
      <c r="BX91" s="451">
        <v>0</v>
      </c>
      <c r="BY91" s="451">
        <v>-330025</v>
      </c>
      <c r="BZ91" s="451">
        <v>118885</v>
      </c>
      <c r="CA91" s="451">
        <v>0</v>
      </c>
      <c r="CB91" s="451">
        <v>0</v>
      </c>
      <c r="CC91" s="451">
        <v>118885</v>
      </c>
      <c r="CD91" s="451">
        <v>-4346</v>
      </c>
      <c r="CE91" s="451">
        <v>0</v>
      </c>
      <c r="CF91" s="451">
        <v>0</v>
      </c>
      <c r="CG91" s="451">
        <v>-4346</v>
      </c>
      <c r="CH91" s="451">
        <v>2152</v>
      </c>
      <c r="CI91" s="451">
        <v>0</v>
      </c>
      <c r="CJ91" s="451">
        <v>0</v>
      </c>
      <c r="CK91" s="451">
        <v>2152</v>
      </c>
      <c r="CL91" s="451">
        <v>0</v>
      </c>
      <c r="CM91" s="451">
        <v>0</v>
      </c>
      <c r="CN91" s="451">
        <v>0</v>
      </c>
      <c r="CO91" s="451">
        <v>0</v>
      </c>
      <c r="CP91" s="451">
        <v>7620</v>
      </c>
      <c r="CQ91" s="451">
        <v>0</v>
      </c>
      <c r="CR91" s="451">
        <v>0</v>
      </c>
      <c r="CS91" s="451">
        <v>7620</v>
      </c>
      <c r="CT91" s="451">
        <v>0</v>
      </c>
      <c r="CU91" s="451">
        <v>0</v>
      </c>
      <c r="CV91" s="451">
        <v>0</v>
      </c>
      <c r="CW91" s="451">
        <v>0</v>
      </c>
      <c r="CX91" s="451">
        <v>29098</v>
      </c>
      <c r="CY91" s="451">
        <v>0</v>
      </c>
      <c r="CZ91" s="451">
        <v>0</v>
      </c>
      <c r="DA91" s="451">
        <v>29098</v>
      </c>
      <c r="DB91" s="451">
        <v>-476</v>
      </c>
      <c r="DC91" s="451">
        <v>0</v>
      </c>
      <c r="DD91" s="451">
        <v>0</v>
      </c>
      <c r="DE91" s="451">
        <v>-476</v>
      </c>
      <c r="DF91" s="451">
        <v>0</v>
      </c>
      <c r="DG91" s="451">
        <v>0</v>
      </c>
      <c r="DH91" s="451">
        <v>0</v>
      </c>
      <c r="DI91" s="451">
        <v>0</v>
      </c>
      <c r="DJ91" s="451">
        <v>0</v>
      </c>
      <c r="DK91" s="451">
        <v>0</v>
      </c>
      <c r="DL91" s="451">
        <v>0</v>
      </c>
      <c r="DM91" s="451">
        <v>0</v>
      </c>
      <c r="DN91" s="451">
        <v>0</v>
      </c>
      <c r="DO91" s="451">
        <v>0</v>
      </c>
      <c r="DP91" s="451">
        <v>0</v>
      </c>
      <c r="DQ91" s="451">
        <v>0</v>
      </c>
      <c r="DR91" s="451">
        <v>0</v>
      </c>
      <c r="DS91" s="451">
        <v>0</v>
      </c>
      <c r="DT91" s="451">
        <v>0</v>
      </c>
      <c r="DU91" s="451">
        <v>0</v>
      </c>
      <c r="DV91" s="451">
        <v>0</v>
      </c>
      <c r="DW91" s="451">
        <v>0</v>
      </c>
      <c r="DX91" s="451">
        <v>0</v>
      </c>
      <c r="DY91" s="451">
        <v>0</v>
      </c>
      <c r="DZ91" s="451">
        <v>0</v>
      </c>
      <c r="EA91" s="451">
        <v>0</v>
      </c>
      <c r="EB91" s="451">
        <v>10452</v>
      </c>
      <c r="EC91" s="451">
        <v>0</v>
      </c>
      <c r="ED91" s="451">
        <v>0</v>
      </c>
      <c r="EE91" s="451">
        <v>10452</v>
      </c>
      <c r="EF91" s="451">
        <v>0</v>
      </c>
      <c r="EG91" s="451">
        <v>0</v>
      </c>
      <c r="EH91" s="451">
        <v>0</v>
      </c>
      <c r="EI91" s="451">
        <v>0</v>
      </c>
      <c r="EJ91" s="451">
        <v>0</v>
      </c>
      <c r="EK91" s="451">
        <v>0</v>
      </c>
      <c r="EL91" s="451">
        <v>0</v>
      </c>
      <c r="EM91" s="451">
        <v>0</v>
      </c>
    </row>
    <row r="92" spans="1:143" ht="12.75" x14ac:dyDescent="0.2">
      <c r="A92" s="446">
        <v>86</v>
      </c>
      <c r="B92" s="447" t="s">
        <v>55</v>
      </c>
      <c r="C92" s="448" t="s">
        <v>1093</v>
      </c>
      <c r="D92" s="449" t="s">
        <v>1097</v>
      </c>
      <c r="E92" s="450" t="s">
        <v>54</v>
      </c>
      <c r="F92" s="451">
        <v>174615</v>
      </c>
      <c r="G92" s="451">
        <v>0</v>
      </c>
      <c r="H92" s="451">
        <v>0</v>
      </c>
      <c r="I92" s="451">
        <v>174615</v>
      </c>
      <c r="J92" s="451">
        <v>-219475</v>
      </c>
      <c r="K92" s="451">
        <v>0</v>
      </c>
      <c r="L92" s="451">
        <v>0</v>
      </c>
      <c r="M92" s="451">
        <v>-219475</v>
      </c>
      <c r="N92" s="451">
        <v>92578</v>
      </c>
      <c r="O92" s="451">
        <v>0</v>
      </c>
      <c r="P92" s="451">
        <v>0</v>
      </c>
      <c r="Q92" s="451">
        <v>92578</v>
      </c>
      <c r="R92" s="451">
        <v>368197</v>
      </c>
      <c r="S92" s="451">
        <v>0</v>
      </c>
      <c r="T92" s="451">
        <v>0</v>
      </c>
      <c r="U92" s="451">
        <v>368197</v>
      </c>
      <c r="V92" s="451">
        <v>2420446</v>
      </c>
      <c r="W92" s="451">
        <v>0</v>
      </c>
      <c r="X92" s="451">
        <v>0</v>
      </c>
      <c r="Y92" s="451">
        <v>2420446</v>
      </c>
      <c r="Z92" s="451">
        <v>228951</v>
      </c>
      <c r="AA92" s="451">
        <v>0</v>
      </c>
      <c r="AB92" s="451">
        <v>0</v>
      </c>
      <c r="AC92" s="451">
        <v>228951</v>
      </c>
      <c r="AD92" s="451">
        <v>872941</v>
      </c>
      <c r="AE92" s="451">
        <v>0</v>
      </c>
      <c r="AF92" s="451">
        <v>0</v>
      </c>
      <c r="AG92" s="451">
        <v>872941</v>
      </c>
      <c r="AH92" s="451">
        <v>-26339</v>
      </c>
      <c r="AI92" s="451">
        <v>0</v>
      </c>
      <c r="AJ92" s="451">
        <v>0</v>
      </c>
      <c r="AK92" s="451">
        <v>-26339</v>
      </c>
      <c r="AL92" s="451">
        <v>3713731</v>
      </c>
      <c r="AM92" s="451">
        <v>0</v>
      </c>
      <c r="AN92" s="451">
        <v>0</v>
      </c>
      <c r="AO92" s="451">
        <v>3713731</v>
      </c>
      <c r="AP92" s="451">
        <v>-17330</v>
      </c>
      <c r="AQ92" s="451">
        <v>0</v>
      </c>
      <c r="AR92" s="451">
        <v>0</v>
      </c>
      <c r="AS92" s="451">
        <v>-17330</v>
      </c>
      <c r="AT92" s="451">
        <v>93917</v>
      </c>
      <c r="AU92" s="451">
        <v>0</v>
      </c>
      <c r="AV92" s="451">
        <v>0</v>
      </c>
      <c r="AW92" s="451">
        <v>93917</v>
      </c>
      <c r="AX92" s="451">
        <v>0</v>
      </c>
      <c r="AY92" s="451">
        <v>0</v>
      </c>
      <c r="AZ92" s="451">
        <v>0</v>
      </c>
      <c r="BA92" s="451">
        <v>0</v>
      </c>
      <c r="BB92" s="451">
        <v>51332</v>
      </c>
      <c r="BC92" s="451">
        <v>0</v>
      </c>
      <c r="BD92" s="451">
        <v>0</v>
      </c>
      <c r="BE92" s="451">
        <v>51332</v>
      </c>
      <c r="BF92" s="451">
        <v>2262</v>
      </c>
      <c r="BG92" s="451">
        <v>0</v>
      </c>
      <c r="BH92" s="451">
        <v>0</v>
      </c>
      <c r="BI92" s="451">
        <v>2262</v>
      </c>
      <c r="BJ92" s="451">
        <v>37583</v>
      </c>
      <c r="BK92" s="451">
        <v>0</v>
      </c>
      <c r="BL92" s="451">
        <v>0</v>
      </c>
      <c r="BM92" s="451">
        <v>37583</v>
      </c>
      <c r="BN92" s="451">
        <v>-1557</v>
      </c>
      <c r="BO92" s="451">
        <v>0</v>
      </c>
      <c r="BP92" s="451">
        <v>0</v>
      </c>
      <c r="BQ92" s="451">
        <v>-1557</v>
      </c>
      <c r="BR92" s="451">
        <v>2388401</v>
      </c>
      <c r="BS92" s="451">
        <v>0</v>
      </c>
      <c r="BT92" s="451">
        <v>0</v>
      </c>
      <c r="BU92" s="451">
        <v>2388401</v>
      </c>
      <c r="BV92" s="451">
        <v>-7353</v>
      </c>
      <c r="BW92" s="451">
        <v>0</v>
      </c>
      <c r="BX92" s="451">
        <v>0</v>
      </c>
      <c r="BY92" s="451">
        <v>-7353</v>
      </c>
      <c r="BZ92" s="451">
        <v>157158</v>
      </c>
      <c r="CA92" s="451">
        <v>0</v>
      </c>
      <c r="CB92" s="451">
        <v>0</v>
      </c>
      <c r="CC92" s="451">
        <v>157158</v>
      </c>
      <c r="CD92" s="451">
        <v>721</v>
      </c>
      <c r="CE92" s="451">
        <v>0</v>
      </c>
      <c r="CF92" s="451">
        <v>0</v>
      </c>
      <c r="CG92" s="451">
        <v>721</v>
      </c>
      <c r="CH92" s="451">
        <v>33450</v>
      </c>
      <c r="CI92" s="451">
        <v>0</v>
      </c>
      <c r="CJ92" s="451">
        <v>0</v>
      </c>
      <c r="CK92" s="451">
        <v>33450</v>
      </c>
      <c r="CL92" s="451">
        <v>1154</v>
      </c>
      <c r="CM92" s="451">
        <v>0</v>
      </c>
      <c r="CN92" s="451">
        <v>0</v>
      </c>
      <c r="CO92" s="451">
        <v>1154</v>
      </c>
      <c r="CP92" s="451">
        <v>251</v>
      </c>
      <c r="CQ92" s="451">
        <v>0</v>
      </c>
      <c r="CR92" s="451">
        <v>0</v>
      </c>
      <c r="CS92" s="451">
        <v>251</v>
      </c>
      <c r="CT92" s="451">
        <v>0</v>
      </c>
      <c r="CU92" s="451">
        <v>0</v>
      </c>
      <c r="CV92" s="451">
        <v>0</v>
      </c>
      <c r="CW92" s="451">
        <v>0</v>
      </c>
      <c r="CX92" s="451">
        <v>19864</v>
      </c>
      <c r="CY92" s="451">
        <v>0</v>
      </c>
      <c r="CZ92" s="451">
        <v>0</v>
      </c>
      <c r="DA92" s="451">
        <v>19864</v>
      </c>
      <c r="DB92" s="451">
        <v>-3249</v>
      </c>
      <c r="DC92" s="451">
        <v>0</v>
      </c>
      <c r="DD92" s="451">
        <v>0</v>
      </c>
      <c r="DE92" s="451">
        <v>-3249</v>
      </c>
      <c r="DF92" s="451">
        <v>1381</v>
      </c>
      <c r="DG92" s="451">
        <v>0</v>
      </c>
      <c r="DH92" s="451">
        <v>0</v>
      </c>
      <c r="DI92" s="451">
        <v>1381</v>
      </c>
      <c r="DJ92" s="451">
        <v>4633</v>
      </c>
      <c r="DK92" s="451">
        <v>0</v>
      </c>
      <c r="DL92" s="451">
        <v>0</v>
      </c>
      <c r="DM92" s="451">
        <v>4633</v>
      </c>
      <c r="DN92" s="451">
        <v>0</v>
      </c>
      <c r="DO92" s="451">
        <v>0</v>
      </c>
      <c r="DP92" s="451">
        <v>0</v>
      </c>
      <c r="DQ92" s="451">
        <v>0</v>
      </c>
      <c r="DR92" s="451">
        <v>0</v>
      </c>
      <c r="DS92" s="451">
        <v>0</v>
      </c>
      <c r="DT92" s="451">
        <v>0</v>
      </c>
      <c r="DU92" s="451">
        <v>0</v>
      </c>
      <c r="DV92" s="451">
        <v>0</v>
      </c>
      <c r="DW92" s="451">
        <v>0</v>
      </c>
      <c r="DX92" s="451">
        <v>0</v>
      </c>
      <c r="DY92" s="451">
        <v>0</v>
      </c>
      <c r="DZ92" s="451">
        <v>0</v>
      </c>
      <c r="EA92" s="451">
        <v>0</v>
      </c>
      <c r="EB92" s="451">
        <v>0</v>
      </c>
      <c r="EC92" s="451">
        <v>0</v>
      </c>
      <c r="ED92" s="451">
        <v>0</v>
      </c>
      <c r="EE92" s="451">
        <v>0</v>
      </c>
      <c r="EF92" s="451">
        <v>0</v>
      </c>
      <c r="EG92" s="451">
        <v>0</v>
      </c>
      <c r="EH92" s="451">
        <v>0</v>
      </c>
      <c r="EI92" s="451">
        <v>0</v>
      </c>
      <c r="EJ92" s="451">
        <v>7576</v>
      </c>
      <c r="EK92" s="451">
        <v>0</v>
      </c>
      <c r="EL92" s="451">
        <v>0</v>
      </c>
      <c r="EM92" s="451">
        <v>7576</v>
      </c>
    </row>
    <row r="93" spans="1:143" ht="12.75" x14ac:dyDescent="0.2">
      <c r="A93" s="446">
        <v>87</v>
      </c>
      <c r="B93" s="447" t="s">
        <v>57</v>
      </c>
      <c r="C93" s="448" t="s">
        <v>1093</v>
      </c>
      <c r="D93" s="449" t="s">
        <v>1096</v>
      </c>
      <c r="E93" s="450" t="s">
        <v>56</v>
      </c>
      <c r="F93" s="451">
        <v>150407</v>
      </c>
      <c r="G93" s="451">
        <v>0</v>
      </c>
      <c r="H93" s="451">
        <v>0</v>
      </c>
      <c r="I93" s="451">
        <v>150407</v>
      </c>
      <c r="J93" s="451">
        <v>-23069</v>
      </c>
      <c r="K93" s="451">
        <v>0</v>
      </c>
      <c r="L93" s="451">
        <v>0</v>
      </c>
      <c r="M93" s="451">
        <v>-23069</v>
      </c>
      <c r="N93" s="451">
        <v>26824</v>
      </c>
      <c r="O93" s="451">
        <v>0</v>
      </c>
      <c r="P93" s="451">
        <v>0</v>
      </c>
      <c r="Q93" s="451">
        <v>26824</v>
      </c>
      <c r="R93" s="451">
        <v>36531</v>
      </c>
      <c r="S93" s="451">
        <v>0</v>
      </c>
      <c r="T93" s="451">
        <v>0</v>
      </c>
      <c r="U93" s="451">
        <v>36531</v>
      </c>
      <c r="V93" s="451">
        <v>4272505</v>
      </c>
      <c r="W93" s="451">
        <v>0</v>
      </c>
      <c r="X93" s="451">
        <v>0</v>
      </c>
      <c r="Y93" s="451">
        <v>4272505</v>
      </c>
      <c r="Z93" s="451">
        <v>56957</v>
      </c>
      <c r="AA93" s="451">
        <v>0</v>
      </c>
      <c r="AB93" s="451">
        <v>0</v>
      </c>
      <c r="AC93" s="451">
        <v>56957</v>
      </c>
      <c r="AD93" s="451">
        <v>585426</v>
      </c>
      <c r="AE93" s="451">
        <v>0</v>
      </c>
      <c r="AF93" s="451">
        <v>0</v>
      </c>
      <c r="AG93" s="451">
        <v>585426</v>
      </c>
      <c r="AH93" s="451">
        <v>-7904</v>
      </c>
      <c r="AI93" s="451">
        <v>0</v>
      </c>
      <c r="AJ93" s="451">
        <v>0</v>
      </c>
      <c r="AK93" s="451">
        <v>-7904</v>
      </c>
      <c r="AL93" s="451">
        <v>1978045</v>
      </c>
      <c r="AM93" s="451">
        <v>0</v>
      </c>
      <c r="AN93" s="451">
        <v>0</v>
      </c>
      <c r="AO93" s="451">
        <v>1978045</v>
      </c>
      <c r="AP93" s="451">
        <v>51908</v>
      </c>
      <c r="AQ93" s="451">
        <v>0</v>
      </c>
      <c r="AR93" s="451">
        <v>0</v>
      </c>
      <c r="AS93" s="451">
        <v>51908</v>
      </c>
      <c r="AT93" s="451">
        <v>76137</v>
      </c>
      <c r="AU93" s="451">
        <v>0</v>
      </c>
      <c r="AV93" s="451">
        <v>0</v>
      </c>
      <c r="AW93" s="451">
        <v>76137</v>
      </c>
      <c r="AX93" s="451">
        <v>428</v>
      </c>
      <c r="AY93" s="451">
        <v>0</v>
      </c>
      <c r="AZ93" s="451">
        <v>0</v>
      </c>
      <c r="BA93" s="451">
        <v>428</v>
      </c>
      <c r="BB93" s="451">
        <v>107454</v>
      </c>
      <c r="BC93" s="451">
        <v>0</v>
      </c>
      <c r="BD93" s="451">
        <v>0</v>
      </c>
      <c r="BE93" s="451">
        <v>107454</v>
      </c>
      <c r="BF93" s="451">
        <v>706</v>
      </c>
      <c r="BG93" s="451">
        <v>0</v>
      </c>
      <c r="BH93" s="451">
        <v>0</v>
      </c>
      <c r="BI93" s="451">
        <v>706</v>
      </c>
      <c r="BJ93" s="451">
        <v>0</v>
      </c>
      <c r="BK93" s="451">
        <v>0</v>
      </c>
      <c r="BL93" s="451">
        <v>0</v>
      </c>
      <c r="BM93" s="451">
        <v>0</v>
      </c>
      <c r="BN93" s="451">
        <v>0</v>
      </c>
      <c r="BO93" s="451">
        <v>0</v>
      </c>
      <c r="BP93" s="451">
        <v>0</v>
      </c>
      <c r="BQ93" s="451">
        <v>0</v>
      </c>
      <c r="BR93" s="451">
        <v>765400</v>
      </c>
      <c r="BS93" s="451">
        <v>0</v>
      </c>
      <c r="BT93" s="451">
        <v>0</v>
      </c>
      <c r="BU93" s="451">
        <v>765400</v>
      </c>
      <c r="BV93" s="451">
        <v>-34194</v>
      </c>
      <c r="BW93" s="451">
        <v>0</v>
      </c>
      <c r="BX93" s="451">
        <v>0</v>
      </c>
      <c r="BY93" s="451">
        <v>-34194</v>
      </c>
      <c r="BZ93" s="451">
        <v>61319</v>
      </c>
      <c r="CA93" s="451">
        <v>0</v>
      </c>
      <c r="CB93" s="451">
        <v>0</v>
      </c>
      <c r="CC93" s="451">
        <v>61319</v>
      </c>
      <c r="CD93" s="451">
        <v>728</v>
      </c>
      <c r="CE93" s="451">
        <v>0</v>
      </c>
      <c r="CF93" s="451">
        <v>0</v>
      </c>
      <c r="CG93" s="451">
        <v>728</v>
      </c>
      <c r="CH93" s="451">
        <v>4228</v>
      </c>
      <c r="CI93" s="451">
        <v>0</v>
      </c>
      <c r="CJ93" s="451">
        <v>0</v>
      </c>
      <c r="CK93" s="451">
        <v>4228</v>
      </c>
      <c r="CL93" s="451">
        <v>0</v>
      </c>
      <c r="CM93" s="451">
        <v>0</v>
      </c>
      <c r="CN93" s="451">
        <v>0</v>
      </c>
      <c r="CO93" s="451">
        <v>0</v>
      </c>
      <c r="CP93" s="451">
        <v>9077</v>
      </c>
      <c r="CQ93" s="451">
        <v>0</v>
      </c>
      <c r="CR93" s="451">
        <v>0</v>
      </c>
      <c r="CS93" s="451">
        <v>9077</v>
      </c>
      <c r="CT93" s="451">
        <v>144</v>
      </c>
      <c r="CU93" s="451">
        <v>0</v>
      </c>
      <c r="CV93" s="451">
        <v>0</v>
      </c>
      <c r="CW93" s="451">
        <v>144</v>
      </c>
      <c r="CX93" s="451">
        <v>21080</v>
      </c>
      <c r="CY93" s="451">
        <v>0</v>
      </c>
      <c r="CZ93" s="451">
        <v>0</v>
      </c>
      <c r="DA93" s="451">
        <v>21080</v>
      </c>
      <c r="DB93" s="451">
        <v>624</v>
      </c>
      <c r="DC93" s="451">
        <v>0</v>
      </c>
      <c r="DD93" s="451">
        <v>0</v>
      </c>
      <c r="DE93" s="451">
        <v>624</v>
      </c>
      <c r="DF93" s="451">
        <v>0</v>
      </c>
      <c r="DG93" s="451">
        <v>0</v>
      </c>
      <c r="DH93" s="451">
        <v>0</v>
      </c>
      <c r="DI93" s="451">
        <v>0</v>
      </c>
      <c r="DJ93" s="451">
        <v>0</v>
      </c>
      <c r="DK93" s="451">
        <v>0</v>
      </c>
      <c r="DL93" s="451">
        <v>0</v>
      </c>
      <c r="DM93" s="451">
        <v>0</v>
      </c>
      <c r="DN93" s="451">
        <v>0</v>
      </c>
      <c r="DO93" s="451">
        <v>0</v>
      </c>
      <c r="DP93" s="451">
        <v>0</v>
      </c>
      <c r="DQ93" s="451">
        <v>0</v>
      </c>
      <c r="DR93" s="451">
        <v>0</v>
      </c>
      <c r="DS93" s="451">
        <v>0</v>
      </c>
      <c r="DT93" s="451">
        <v>0</v>
      </c>
      <c r="DU93" s="451">
        <v>0</v>
      </c>
      <c r="DV93" s="451">
        <v>0</v>
      </c>
      <c r="DW93" s="451">
        <v>0</v>
      </c>
      <c r="DX93" s="451">
        <v>1765</v>
      </c>
      <c r="DY93" s="451">
        <v>0</v>
      </c>
      <c r="DZ93" s="451">
        <v>0</v>
      </c>
      <c r="EA93" s="451">
        <v>1765</v>
      </c>
      <c r="EB93" s="451">
        <v>0</v>
      </c>
      <c r="EC93" s="451">
        <v>0</v>
      </c>
      <c r="ED93" s="451">
        <v>0</v>
      </c>
      <c r="EE93" s="451">
        <v>0</v>
      </c>
      <c r="EF93" s="451">
        <v>0</v>
      </c>
      <c r="EG93" s="451">
        <v>0</v>
      </c>
      <c r="EH93" s="451">
        <v>0</v>
      </c>
      <c r="EI93" s="451">
        <v>0</v>
      </c>
      <c r="EJ93" s="451">
        <v>0</v>
      </c>
      <c r="EK93" s="451">
        <v>0</v>
      </c>
      <c r="EL93" s="451">
        <v>0</v>
      </c>
      <c r="EM93" s="451">
        <v>0</v>
      </c>
    </row>
    <row r="94" spans="1:143" ht="12.75" x14ac:dyDescent="0.2">
      <c r="A94" s="446">
        <v>88</v>
      </c>
      <c r="B94" s="447" t="s">
        <v>59</v>
      </c>
      <c r="C94" s="448" t="s">
        <v>1093</v>
      </c>
      <c r="D94" s="449" t="s">
        <v>1096</v>
      </c>
      <c r="E94" s="450" t="s">
        <v>58</v>
      </c>
      <c r="F94" s="451">
        <v>35226.480000000003</v>
      </c>
      <c r="G94" s="451">
        <v>0</v>
      </c>
      <c r="H94" s="451">
        <v>0</v>
      </c>
      <c r="I94" s="451">
        <v>35226.480000000003</v>
      </c>
      <c r="J94" s="451">
        <v>-13260.04</v>
      </c>
      <c r="K94" s="451">
        <v>0</v>
      </c>
      <c r="L94" s="451">
        <v>0</v>
      </c>
      <c r="M94" s="451">
        <v>-13260.04</v>
      </c>
      <c r="N94" s="451">
        <v>39141.129999999997</v>
      </c>
      <c r="O94" s="451">
        <v>0</v>
      </c>
      <c r="P94" s="451">
        <v>0</v>
      </c>
      <c r="Q94" s="451">
        <v>39141.129999999997</v>
      </c>
      <c r="R94" s="451">
        <v>226495.16</v>
      </c>
      <c r="S94" s="451">
        <v>0</v>
      </c>
      <c r="T94" s="451">
        <v>0</v>
      </c>
      <c r="U94" s="451">
        <v>226495.16</v>
      </c>
      <c r="V94" s="451">
        <v>1743146.89</v>
      </c>
      <c r="W94" s="451">
        <v>0</v>
      </c>
      <c r="X94" s="451">
        <v>0</v>
      </c>
      <c r="Y94" s="451">
        <v>1743146.89</v>
      </c>
      <c r="Z94" s="451">
        <v>-19422.78</v>
      </c>
      <c r="AA94" s="451">
        <v>0</v>
      </c>
      <c r="AB94" s="451">
        <v>0</v>
      </c>
      <c r="AC94" s="451">
        <v>-19422.78</v>
      </c>
      <c r="AD94" s="451">
        <v>406366.99</v>
      </c>
      <c r="AE94" s="451">
        <v>0</v>
      </c>
      <c r="AF94" s="451">
        <v>0</v>
      </c>
      <c r="AG94" s="451">
        <v>406366.99</v>
      </c>
      <c r="AH94" s="451">
        <v>10193.02</v>
      </c>
      <c r="AI94" s="451">
        <v>0</v>
      </c>
      <c r="AJ94" s="451">
        <v>0</v>
      </c>
      <c r="AK94" s="451">
        <v>10193.02</v>
      </c>
      <c r="AL94" s="451">
        <v>1479276.14</v>
      </c>
      <c r="AM94" s="451">
        <v>0</v>
      </c>
      <c r="AN94" s="451">
        <v>0</v>
      </c>
      <c r="AO94" s="451">
        <v>1479276.14</v>
      </c>
      <c r="AP94" s="451">
        <v>24832.98</v>
      </c>
      <c r="AQ94" s="451">
        <v>0</v>
      </c>
      <c r="AR94" s="451">
        <v>0</v>
      </c>
      <c r="AS94" s="451">
        <v>24832.98</v>
      </c>
      <c r="AT94" s="451">
        <v>20902.98</v>
      </c>
      <c r="AU94" s="451">
        <v>0</v>
      </c>
      <c r="AV94" s="451">
        <v>0</v>
      </c>
      <c r="AW94" s="451">
        <v>20902.98</v>
      </c>
      <c r="AX94" s="451">
        <v>6137.2</v>
      </c>
      <c r="AY94" s="451">
        <v>0</v>
      </c>
      <c r="AZ94" s="451">
        <v>0</v>
      </c>
      <c r="BA94" s="451">
        <v>6137.2</v>
      </c>
      <c r="BB94" s="451">
        <v>33624.33</v>
      </c>
      <c r="BC94" s="451">
        <v>0</v>
      </c>
      <c r="BD94" s="451">
        <v>0</v>
      </c>
      <c r="BE94" s="451">
        <v>33624.33</v>
      </c>
      <c r="BF94" s="451">
        <v>3241</v>
      </c>
      <c r="BG94" s="451">
        <v>0</v>
      </c>
      <c r="BH94" s="451">
        <v>0</v>
      </c>
      <c r="BI94" s="451">
        <v>3241</v>
      </c>
      <c r="BJ94" s="451">
        <v>77279.289999999994</v>
      </c>
      <c r="BK94" s="451">
        <v>0</v>
      </c>
      <c r="BL94" s="451">
        <v>0</v>
      </c>
      <c r="BM94" s="451">
        <v>77279.289999999994</v>
      </c>
      <c r="BN94" s="451">
        <v>4192.88</v>
      </c>
      <c r="BO94" s="451">
        <v>0</v>
      </c>
      <c r="BP94" s="451">
        <v>0</v>
      </c>
      <c r="BQ94" s="451">
        <v>4192.88</v>
      </c>
      <c r="BR94" s="451">
        <v>677539.39</v>
      </c>
      <c r="BS94" s="451">
        <v>0</v>
      </c>
      <c r="BT94" s="451">
        <v>0</v>
      </c>
      <c r="BU94" s="451">
        <v>677539.39</v>
      </c>
      <c r="BV94" s="451">
        <v>53680.75</v>
      </c>
      <c r="BW94" s="451">
        <v>0</v>
      </c>
      <c r="BX94" s="451">
        <v>0</v>
      </c>
      <c r="BY94" s="451">
        <v>53680.75</v>
      </c>
      <c r="BZ94" s="451">
        <v>81856.89</v>
      </c>
      <c r="CA94" s="451">
        <v>0</v>
      </c>
      <c r="CB94" s="451">
        <v>0</v>
      </c>
      <c r="CC94" s="451">
        <v>81856.89</v>
      </c>
      <c r="CD94" s="451">
        <v>1579.6</v>
      </c>
      <c r="CE94" s="451">
        <v>0</v>
      </c>
      <c r="CF94" s="451">
        <v>0</v>
      </c>
      <c r="CG94" s="451">
        <v>1579.6</v>
      </c>
      <c r="CH94" s="451">
        <v>111315.62</v>
      </c>
      <c r="CI94" s="451">
        <v>0</v>
      </c>
      <c r="CJ94" s="451">
        <v>0</v>
      </c>
      <c r="CK94" s="451">
        <v>111315.62</v>
      </c>
      <c r="CL94" s="451">
        <v>0.03</v>
      </c>
      <c r="CM94" s="451">
        <v>0</v>
      </c>
      <c r="CN94" s="451">
        <v>0</v>
      </c>
      <c r="CO94" s="451">
        <v>0.03</v>
      </c>
      <c r="CP94" s="451">
        <v>5225.74</v>
      </c>
      <c r="CQ94" s="451">
        <v>0</v>
      </c>
      <c r="CR94" s="451">
        <v>0</v>
      </c>
      <c r="CS94" s="451">
        <v>5225.74</v>
      </c>
      <c r="CT94" s="451">
        <v>1534.3</v>
      </c>
      <c r="CU94" s="451">
        <v>0</v>
      </c>
      <c r="CV94" s="451">
        <v>0</v>
      </c>
      <c r="CW94" s="451">
        <v>1534.3</v>
      </c>
      <c r="CX94" s="451">
        <v>20832.36</v>
      </c>
      <c r="CY94" s="451">
        <v>0</v>
      </c>
      <c r="CZ94" s="451">
        <v>0</v>
      </c>
      <c r="DA94" s="451">
        <v>20832.36</v>
      </c>
      <c r="DB94" s="451">
        <v>1741.27</v>
      </c>
      <c r="DC94" s="451">
        <v>0</v>
      </c>
      <c r="DD94" s="451">
        <v>0</v>
      </c>
      <c r="DE94" s="451">
        <v>1741.27</v>
      </c>
      <c r="DF94" s="451">
        <v>59674.879999999997</v>
      </c>
      <c r="DG94" s="451">
        <v>0</v>
      </c>
      <c r="DH94" s="451">
        <v>0</v>
      </c>
      <c r="DI94" s="451">
        <v>59674.879999999997</v>
      </c>
      <c r="DJ94" s="451">
        <v>1127.53</v>
      </c>
      <c r="DK94" s="451">
        <v>0</v>
      </c>
      <c r="DL94" s="451">
        <v>0</v>
      </c>
      <c r="DM94" s="451">
        <v>1127.53</v>
      </c>
      <c r="DN94" s="451">
        <v>0</v>
      </c>
      <c r="DO94" s="451">
        <v>0</v>
      </c>
      <c r="DP94" s="451">
        <v>0</v>
      </c>
      <c r="DQ94" s="451">
        <v>0</v>
      </c>
      <c r="DR94" s="451">
        <v>0</v>
      </c>
      <c r="DS94" s="451">
        <v>0</v>
      </c>
      <c r="DT94" s="451">
        <v>0</v>
      </c>
      <c r="DU94" s="451">
        <v>0</v>
      </c>
      <c r="DV94" s="451">
        <v>0</v>
      </c>
      <c r="DW94" s="451">
        <v>0</v>
      </c>
      <c r="DX94" s="451">
        <v>458</v>
      </c>
      <c r="DY94" s="451">
        <v>0</v>
      </c>
      <c r="DZ94" s="451">
        <v>0</v>
      </c>
      <c r="EA94" s="451">
        <v>458</v>
      </c>
      <c r="EB94" s="451">
        <v>0</v>
      </c>
      <c r="EC94" s="451">
        <v>0</v>
      </c>
      <c r="ED94" s="451">
        <v>0</v>
      </c>
      <c r="EE94" s="451">
        <v>0</v>
      </c>
      <c r="EF94" s="451">
        <v>0</v>
      </c>
      <c r="EG94" s="451">
        <v>0</v>
      </c>
      <c r="EH94" s="451">
        <v>0</v>
      </c>
      <c r="EI94" s="451">
        <v>0</v>
      </c>
      <c r="EJ94" s="451">
        <v>0</v>
      </c>
      <c r="EK94" s="451">
        <v>0</v>
      </c>
      <c r="EL94" s="451">
        <v>0</v>
      </c>
      <c r="EM94" s="451">
        <v>0</v>
      </c>
    </row>
    <row r="95" spans="1:143" ht="12.75" x14ac:dyDescent="0.2">
      <c r="A95" s="446">
        <v>89</v>
      </c>
      <c r="B95" s="447" t="s">
        <v>61</v>
      </c>
      <c r="C95" s="448" t="s">
        <v>794</v>
      </c>
      <c r="D95" s="449" t="s">
        <v>1101</v>
      </c>
      <c r="E95" s="450" t="s">
        <v>716</v>
      </c>
      <c r="F95" s="451">
        <v>1932861.92</v>
      </c>
      <c r="G95" s="451">
        <v>0</v>
      </c>
      <c r="H95" s="451">
        <v>0</v>
      </c>
      <c r="I95" s="451">
        <v>1932861.92</v>
      </c>
      <c r="J95" s="451">
        <v>-187845.45</v>
      </c>
      <c r="K95" s="451">
        <v>0</v>
      </c>
      <c r="L95" s="451">
        <v>0</v>
      </c>
      <c r="M95" s="451">
        <v>-187845.45</v>
      </c>
      <c r="N95" s="451">
        <v>90871.44</v>
      </c>
      <c r="O95" s="451">
        <v>0</v>
      </c>
      <c r="P95" s="451">
        <v>9970.94</v>
      </c>
      <c r="Q95" s="451">
        <v>100842.38</v>
      </c>
      <c r="R95" s="451">
        <v>82176.259999999995</v>
      </c>
      <c r="S95" s="451">
        <v>0</v>
      </c>
      <c r="T95" s="451">
        <v>0</v>
      </c>
      <c r="U95" s="451">
        <v>82176.259999999995</v>
      </c>
      <c r="V95" s="451">
        <v>7122958.7800000003</v>
      </c>
      <c r="W95" s="451">
        <v>0</v>
      </c>
      <c r="X95" s="451">
        <v>0</v>
      </c>
      <c r="Y95" s="451">
        <v>7122958.7800000003</v>
      </c>
      <c r="Z95" s="451">
        <v>271516.59999999998</v>
      </c>
      <c r="AA95" s="451">
        <v>0</v>
      </c>
      <c r="AB95" s="451">
        <v>0</v>
      </c>
      <c r="AC95" s="451">
        <v>271516.59999999998</v>
      </c>
      <c r="AD95" s="451">
        <v>1701779.81</v>
      </c>
      <c r="AE95" s="451">
        <v>0</v>
      </c>
      <c r="AF95" s="451">
        <v>1800</v>
      </c>
      <c r="AG95" s="451">
        <v>1703579.81</v>
      </c>
      <c r="AH95" s="451">
        <v>23408.94</v>
      </c>
      <c r="AI95" s="451">
        <v>0</v>
      </c>
      <c r="AJ95" s="451">
        <v>0</v>
      </c>
      <c r="AK95" s="451">
        <v>23408.94</v>
      </c>
      <c r="AL95" s="451">
        <v>2812891.07</v>
      </c>
      <c r="AM95" s="451">
        <v>0</v>
      </c>
      <c r="AN95" s="451">
        <v>0</v>
      </c>
      <c r="AO95" s="451">
        <v>2812891.07</v>
      </c>
      <c r="AP95" s="451">
        <v>-118300.71</v>
      </c>
      <c r="AQ95" s="451">
        <v>0</v>
      </c>
      <c r="AR95" s="451">
        <v>0</v>
      </c>
      <c r="AS95" s="451">
        <v>-118300.71</v>
      </c>
      <c r="AT95" s="451">
        <v>43136.76</v>
      </c>
      <c r="AU95" s="451">
        <v>0</v>
      </c>
      <c r="AV95" s="451">
        <v>0</v>
      </c>
      <c r="AW95" s="451">
        <v>43136.76</v>
      </c>
      <c r="AX95" s="451">
        <v>0</v>
      </c>
      <c r="AY95" s="451">
        <v>0</v>
      </c>
      <c r="AZ95" s="451">
        <v>0</v>
      </c>
      <c r="BA95" s="451">
        <v>0</v>
      </c>
      <c r="BB95" s="451">
        <v>118396.92</v>
      </c>
      <c r="BC95" s="451">
        <v>0</v>
      </c>
      <c r="BD95" s="451">
        <v>0</v>
      </c>
      <c r="BE95" s="451">
        <v>118396.92</v>
      </c>
      <c r="BF95" s="451">
        <v>6840.36</v>
      </c>
      <c r="BG95" s="451">
        <v>0</v>
      </c>
      <c r="BH95" s="451">
        <v>0</v>
      </c>
      <c r="BI95" s="451">
        <v>6840.36</v>
      </c>
      <c r="BJ95" s="451">
        <v>0</v>
      </c>
      <c r="BK95" s="451">
        <v>0</v>
      </c>
      <c r="BL95" s="451">
        <v>0</v>
      </c>
      <c r="BM95" s="451">
        <v>0</v>
      </c>
      <c r="BN95" s="451">
        <v>837.61</v>
      </c>
      <c r="BO95" s="451">
        <v>0</v>
      </c>
      <c r="BP95" s="451">
        <v>0</v>
      </c>
      <c r="BQ95" s="451">
        <v>837.61</v>
      </c>
      <c r="BR95" s="451">
        <v>2737193.85</v>
      </c>
      <c r="BS95" s="451">
        <v>0</v>
      </c>
      <c r="BT95" s="451">
        <v>0</v>
      </c>
      <c r="BU95" s="451">
        <v>2737193.85</v>
      </c>
      <c r="BV95" s="451">
        <v>102567.8</v>
      </c>
      <c r="BW95" s="451">
        <v>0</v>
      </c>
      <c r="BX95" s="451">
        <v>0</v>
      </c>
      <c r="BY95" s="451">
        <v>102567.8</v>
      </c>
      <c r="BZ95" s="451">
        <v>118917.95</v>
      </c>
      <c r="CA95" s="451">
        <v>0</v>
      </c>
      <c r="CB95" s="451">
        <v>0</v>
      </c>
      <c r="CC95" s="451">
        <v>118917.95</v>
      </c>
      <c r="CD95" s="451">
        <v>1461.21</v>
      </c>
      <c r="CE95" s="451">
        <v>0</v>
      </c>
      <c r="CF95" s="451">
        <v>0</v>
      </c>
      <c r="CG95" s="451">
        <v>1461.21</v>
      </c>
      <c r="CH95" s="451">
        <v>358189.1</v>
      </c>
      <c r="CI95" s="451">
        <v>0</v>
      </c>
      <c r="CJ95" s="451">
        <v>0</v>
      </c>
      <c r="CK95" s="451">
        <v>358189.1</v>
      </c>
      <c r="CL95" s="451">
        <v>26047.51</v>
      </c>
      <c r="CM95" s="451">
        <v>0</v>
      </c>
      <c r="CN95" s="451">
        <v>0</v>
      </c>
      <c r="CO95" s="451">
        <v>26047.51</v>
      </c>
      <c r="CP95" s="451">
        <v>5427.51</v>
      </c>
      <c r="CQ95" s="451">
        <v>0</v>
      </c>
      <c r="CR95" s="451">
        <v>0</v>
      </c>
      <c r="CS95" s="451">
        <v>5427.51</v>
      </c>
      <c r="CT95" s="451">
        <v>0</v>
      </c>
      <c r="CU95" s="451">
        <v>0</v>
      </c>
      <c r="CV95" s="451">
        <v>0</v>
      </c>
      <c r="CW95" s="451">
        <v>0</v>
      </c>
      <c r="CX95" s="451">
        <v>47182.33</v>
      </c>
      <c r="CY95" s="451">
        <v>0</v>
      </c>
      <c r="CZ95" s="451">
        <v>0</v>
      </c>
      <c r="DA95" s="451">
        <v>47182.33</v>
      </c>
      <c r="DB95" s="451">
        <v>657.01</v>
      </c>
      <c r="DC95" s="451">
        <v>0</v>
      </c>
      <c r="DD95" s="451">
        <v>0</v>
      </c>
      <c r="DE95" s="451">
        <v>657.01</v>
      </c>
      <c r="DF95" s="451">
        <v>150390.71</v>
      </c>
      <c r="DG95" s="451">
        <v>0</v>
      </c>
      <c r="DH95" s="451">
        <v>0</v>
      </c>
      <c r="DI95" s="451">
        <v>150390.71</v>
      </c>
      <c r="DJ95" s="451">
        <v>-2257.86</v>
      </c>
      <c r="DK95" s="451">
        <v>0</v>
      </c>
      <c r="DL95" s="451">
        <v>0</v>
      </c>
      <c r="DM95" s="451">
        <v>-2257.86</v>
      </c>
      <c r="DN95" s="451">
        <v>141182</v>
      </c>
      <c r="DO95" s="451">
        <v>0</v>
      </c>
      <c r="DP95" s="451">
        <v>104171</v>
      </c>
      <c r="DQ95" s="451">
        <v>245353</v>
      </c>
      <c r="DR95" s="451">
        <v>8502</v>
      </c>
      <c r="DS95" s="451">
        <v>0</v>
      </c>
      <c r="DT95" s="451">
        <v>0</v>
      </c>
      <c r="DU95" s="451">
        <v>8502</v>
      </c>
      <c r="DV95" s="451">
        <v>104170.94</v>
      </c>
      <c r="DW95" s="451">
        <v>149684</v>
      </c>
      <c r="DX95" s="451">
        <v>0</v>
      </c>
      <c r="DY95" s="451">
        <v>0</v>
      </c>
      <c r="DZ95" s="451">
        <v>0</v>
      </c>
      <c r="EA95" s="451">
        <v>0</v>
      </c>
      <c r="EB95" s="451">
        <v>55838.94</v>
      </c>
      <c r="EC95" s="451">
        <v>0</v>
      </c>
      <c r="ED95" s="451">
        <v>0</v>
      </c>
      <c r="EE95" s="451">
        <v>55838.94</v>
      </c>
      <c r="EF95" s="451">
        <v>0</v>
      </c>
      <c r="EG95" s="451">
        <v>0</v>
      </c>
      <c r="EH95" s="451">
        <v>0</v>
      </c>
      <c r="EI95" s="451">
        <v>0</v>
      </c>
      <c r="EJ95" s="451">
        <v>0</v>
      </c>
      <c r="EK95" s="451">
        <v>0</v>
      </c>
      <c r="EL95" s="451">
        <v>0</v>
      </c>
      <c r="EM95" s="451">
        <v>0</v>
      </c>
    </row>
    <row r="96" spans="1:143" ht="12.75" x14ac:dyDescent="0.2">
      <c r="A96" s="446">
        <v>90</v>
      </c>
      <c r="B96" s="447" t="s">
        <v>63</v>
      </c>
      <c r="C96" s="448" t="s">
        <v>1093</v>
      </c>
      <c r="D96" s="449" t="s">
        <v>1103</v>
      </c>
      <c r="E96" s="450" t="s">
        <v>62</v>
      </c>
      <c r="F96" s="451">
        <v>107791.88</v>
      </c>
      <c r="G96" s="451">
        <v>0</v>
      </c>
      <c r="H96" s="451">
        <v>0</v>
      </c>
      <c r="I96" s="451">
        <v>107791.88</v>
      </c>
      <c r="J96" s="451">
        <v>-83837.66</v>
      </c>
      <c r="K96" s="451">
        <v>0</v>
      </c>
      <c r="L96" s="451">
        <v>0</v>
      </c>
      <c r="M96" s="451">
        <v>-83837.66</v>
      </c>
      <c r="N96" s="451">
        <v>23649</v>
      </c>
      <c r="O96" s="451">
        <v>0</v>
      </c>
      <c r="P96" s="451">
        <v>0</v>
      </c>
      <c r="Q96" s="451">
        <v>23649</v>
      </c>
      <c r="R96" s="451">
        <v>246724.31</v>
      </c>
      <c r="S96" s="451">
        <v>0</v>
      </c>
      <c r="T96" s="451">
        <v>0</v>
      </c>
      <c r="U96" s="451">
        <v>246724.31</v>
      </c>
      <c r="V96" s="451">
        <v>2377642.9300000002</v>
      </c>
      <c r="W96" s="451">
        <v>0</v>
      </c>
      <c r="X96" s="451">
        <v>0</v>
      </c>
      <c r="Y96" s="451">
        <v>2377642.9300000002</v>
      </c>
      <c r="Z96" s="451">
        <v>162571.29</v>
      </c>
      <c r="AA96" s="451">
        <v>0</v>
      </c>
      <c r="AB96" s="451">
        <v>0</v>
      </c>
      <c r="AC96" s="451">
        <v>162571.29</v>
      </c>
      <c r="AD96" s="451">
        <v>1048606.97</v>
      </c>
      <c r="AE96" s="451">
        <v>0</v>
      </c>
      <c r="AF96" s="451">
        <v>0</v>
      </c>
      <c r="AG96" s="451">
        <v>1048606.97</v>
      </c>
      <c r="AH96" s="451">
        <v>-29381.63</v>
      </c>
      <c r="AI96" s="451">
        <v>0</v>
      </c>
      <c r="AJ96" s="451">
        <v>0</v>
      </c>
      <c r="AK96" s="451">
        <v>-29381.63</v>
      </c>
      <c r="AL96" s="451">
        <v>1839949.11</v>
      </c>
      <c r="AM96" s="451">
        <v>0</v>
      </c>
      <c r="AN96" s="451">
        <v>0</v>
      </c>
      <c r="AO96" s="451">
        <v>1839949.11</v>
      </c>
      <c r="AP96" s="451">
        <v>12582.66</v>
      </c>
      <c r="AQ96" s="451">
        <v>0</v>
      </c>
      <c r="AR96" s="451">
        <v>0</v>
      </c>
      <c r="AS96" s="451">
        <v>12582.66</v>
      </c>
      <c r="AT96" s="451">
        <v>52594.93</v>
      </c>
      <c r="AU96" s="451">
        <v>0</v>
      </c>
      <c r="AV96" s="451">
        <v>0</v>
      </c>
      <c r="AW96" s="451">
        <v>52594.93</v>
      </c>
      <c r="AX96" s="451">
        <v>-841.26</v>
      </c>
      <c r="AY96" s="451">
        <v>0</v>
      </c>
      <c r="AZ96" s="451">
        <v>0</v>
      </c>
      <c r="BA96" s="451">
        <v>-841.26</v>
      </c>
      <c r="BB96" s="451">
        <v>8378.74</v>
      </c>
      <c r="BC96" s="451">
        <v>0</v>
      </c>
      <c r="BD96" s="451">
        <v>0</v>
      </c>
      <c r="BE96" s="451">
        <v>8378.74</v>
      </c>
      <c r="BF96" s="451">
        <v>0</v>
      </c>
      <c r="BG96" s="451">
        <v>0</v>
      </c>
      <c r="BH96" s="451">
        <v>0</v>
      </c>
      <c r="BI96" s="451">
        <v>0</v>
      </c>
      <c r="BJ96" s="451">
        <v>213117.68</v>
      </c>
      <c r="BK96" s="451">
        <v>0</v>
      </c>
      <c r="BL96" s="451">
        <v>0</v>
      </c>
      <c r="BM96" s="451">
        <v>213117.68</v>
      </c>
      <c r="BN96" s="451">
        <v>70360.23</v>
      </c>
      <c r="BO96" s="451">
        <v>0</v>
      </c>
      <c r="BP96" s="451">
        <v>0</v>
      </c>
      <c r="BQ96" s="451">
        <v>70360.23</v>
      </c>
      <c r="BR96" s="451">
        <v>2428055.77</v>
      </c>
      <c r="BS96" s="451">
        <v>0</v>
      </c>
      <c r="BT96" s="451">
        <v>0</v>
      </c>
      <c r="BU96" s="451">
        <v>2428055.77</v>
      </c>
      <c r="BV96" s="451">
        <v>246092.6</v>
      </c>
      <c r="BW96" s="451">
        <v>0</v>
      </c>
      <c r="BX96" s="451">
        <v>0</v>
      </c>
      <c r="BY96" s="451">
        <v>246092.6</v>
      </c>
      <c r="BZ96" s="451">
        <v>122544.07</v>
      </c>
      <c r="CA96" s="451">
        <v>0</v>
      </c>
      <c r="CB96" s="451">
        <v>0</v>
      </c>
      <c r="CC96" s="451">
        <v>122544.07</v>
      </c>
      <c r="CD96" s="451">
        <v>19300.77</v>
      </c>
      <c r="CE96" s="451">
        <v>0</v>
      </c>
      <c r="CF96" s="451">
        <v>0</v>
      </c>
      <c r="CG96" s="451">
        <v>19300.77</v>
      </c>
      <c r="CH96" s="451">
        <v>114731.04</v>
      </c>
      <c r="CI96" s="451">
        <v>0</v>
      </c>
      <c r="CJ96" s="451">
        <v>0</v>
      </c>
      <c r="CK96" s="451">
        <v>114731.04</v>
      </c>
      <c r="CL96" s="451">
        <v>0</v>
      </c>
      <c r="CM96" s="451">
        <v>0</v>
      </c>
      <c r="CN96" s="451">
        <v>0</v>
      </c>
      <c r="CO96" s="451">
        <v>0</v>
      </c>
      <c r="CP96" s="451">
        <v>9675.1200000000008</v>
      </c>
      <c r="CQ96" s="451">
        <v>0</v>
      </c>
      <c r="CR96" s="451">
        <v>0</v>
      </c>
      <c r="CS96" s="451">
        <v>9675.1200000000008</v>
      </c>
      <c r="CT96" s="451">
        <v>0</v>
      </c>
      <c r="CU96" s="451">
        <v>0</v>
      </c>
      <c r="CV96" s="451">
        <v>0</v>
      </c>
      <c r="CW96" s="451">
        <v>0</v>
      </c>
      <c r="CX96" s="451">
        <v>10186.73</v>
      </c>
      <c r="CY96" s="451">
        <v>0</v>
      </c>
      <c r="CZ96" s="451">
        <v>0</v>
      </c>
      <c r="DA96" s="451">
        <v>10186.73</v>
      </c>
      <c r="DB96" s="451">
        <v>0</v>
      </c>
      <c r="DC96" s="451">
        <v>0</v>
      </c>
      <c r="DD96" s="451">
        <v>0</v>
      </c>
      <c r="DE96" s="451">
        <v>0</v>
      </c>
      <c r="DF96" s="451">
        <v>2061.63</v>
      </c>
      <c r="DG96" s="451">
        <v>0</v>
      </c>
      <c r="DH96" s="451">
        <v>0</v>
      </c>
      <c r="DI96" s="451">
        <v>2061.63</v>
      </c>
      <c r="DJ96" s="451">
        <v>0</v>
      </c>
      <c r="DK96" s="451">
        <v>0</v>
      </c>
      <c r="DL96" s="451">
        <v>0</v>
      </c>
      <c r="DM96" s="451">
        <v>0</v>
      </c>
      <c r="DN96" s="451">
        <v>0</v>
      </c>
      <c r="DO96" s="451">
        <v>0</v>
      </c>
      <c r="DP96" s="451">
        <v>0</v>
      </c>
      <c r="DQ96" s="451">
        <v>0</v>
      </c>
      <c r="DR96" s="451">
        <v>0</v>
      </c>
      <c r="DS96" s="451">
        <v>0</v>
      </c>
      <c r="DT96" s="451">
        <v>0</v>
      </c>
      <c r="DU96" s="451">
        <v>0</v>
      </c>
      <c r="DV96" s="451">
        <v>0</v>
      </c>
      <c r="DW96" s="451">
        <v>0</v>
      </c>
      <c r="DX96" s="451">
        <v>0</v>
      </c>
      <c r="DY96" s="451">
        <v>0</v>
      </c>
      <c r="DZ96" s="451">
        <v>0</v>
      </c>
      <c r="EA96" s="451">
        <v>0</v>
      </c>
      <c r="EB96" s="451">
        <v>0</v>
      </c>
      <c r="EC96" s="451">
        <v>0</v>
      </c>
      <c r="ED96" s="451">
        <v>0</v>
      </c>
      <c r="EE96" s="451">
        <v>0</v>
      </c>
      <c r="EF96" s="451">
        <v>4888.16</v>
      </c>
      <c r="EG96" s="451">
        <v>0</v>
      </c>
      <c r="EH96" s="451">
        <v>0</v>
      </c>
      <c r="EI96" s="451">
        <v>4888.16</v>
      </c>
      <c r="EJ96" s="451">
        <v>7856.55</v>
      </c>
      <c r="EK96" s="451">
        <v>0</v>
      </c>
      <c r="EL96" s="451">
        <v>0</v>
      </c>
      <c r="EM96" s="451">
        <v>7856.55</v>
      </c>
    </row>
    <row r="97" spans="1:143" ht="12.75" x14ac:dyDescent="0.2">
      <c r="A97" s="446">
        <v>91</v>
      </c>
      <c r="B97" s="447" t="s">
        <v>65</v>
      </c>
      <c r="C97" s="448" t="s">
        <v>1093</v>
      </c>
      <c r="D97" s="449" t="s">
        <v>1094</v>
      </c>
      <c r="E97" s="450" t="s">
        <v>64</v>
      </c>
      <c r="F97" s="451">
        <v>158586.54</v>
      </c>
      <c r="G97" s="451">
        <v>0</v>
      </c>
      <c r="H97" s="451">
        <v>0</v>
      </c>
      <c r="I97" s="451">
        <v>158586.54</v>
      </c>
      <c r="J97" s="451">
        <v>-600.82000000000005</v>
      </c>
      <c r="K97" s="451">
        <v>0</v>
      </c>
      <c r="L97" s="451">
        <v>0</v>
      </c>
      <c r="M97" s="451">
        <v>-600.82000000000005</v>
      </c>
      <c r="N97" s="451">
        <v>40694.230000000003</v>
      </c>
      <c r="O97" s="451">
        <v>0</v>
      </c>
      <c r="P97" s="451">
        <v>0</v>
      </c>
      <c r="Q97" s="451">
        <v>40694.230000000003</v>
      </c>
      <c r="R97" s="451">
        <v>40651.360000000001</v>
      </c>
      <c r="S97" s="451">
        <v>0</v>
      </c>
      <c r="T97" s="451">
        <v>0</v>
      </c>
      <c r="U97" s="451">
        <v>40651.360000000001</v>
      </c>
      <c r="V97" s="451">
        <v>1878624.3</v>
      </c>
      <c r="W97" s="451">
        <v>0</v>
      </c>
      <c r="X97" s="451">
        <v>0</v>
      </c>
      <c r="Y97" s="451">
        <v>1878624.3</v>
      </c>
      <c r="Z97" s="451">
        <v>43291.5</v>
      </c>
      <c r="AA97" s="451">
        <v>0</v>
      </c>
      <c r="AB97" s="451">
        <v>0</v>
      </c>
      <c r="AC97" s="451">
        <v>43291.5</v>
      </c>
      <c r="AD97" s="451">
        <v>638741.46</v>
      </c>
      <c r="AE97" s="451">
        <v>0</v>
      </c>
      <c r="AF97" s="451">
        <v>0</v>
      </c>
      <c r="AG97" s="451">
        <v>638741.46</v>
      </c>
      <c r="AH97" s="451">
        <v>5733.76</v>
      </c>
      <c r="AI97" s="451">
        <v>0</v>
      </c>
      <c r="AJ97" s="451">
        <v>0</v>
      </c>
      <c r="AK97" s="451">
        <v>5733.76</v>
      </c>
      <c r="AL97" s="451">
        <v>2262928.33</v>
      </c>
      <c r="AM97" s="451">
        <v>0</v>
      </c>
      <c r="AN97" s="451">
        <v>0</v>
      </c>
      <c r="AO97" s="451">
        <v>2262928.33</v>
      </c>
      <c r="AP97" s="451">
        <v>7557.68</v>
      </c>
      <c r="AQ97" s="451">
        <v>0</v>
      </c>
      <c r="AR97" s="451">
        <v>0</v>
      </c>
      <c r="AS97" s="451">
        <v>7557.68</v>
      </c>
      <c r="AT97" s="451">
        <v>74295.539999999994</v>
      </c>
      <c r="AU97" s="451">
        <v>0</v>
      </c>
      <c r="AV97" s="451">
        <v>0</v>
      </c>
      <c r="AW97" s="451">
        <v>74295.539999999994</v>
      </c>
      <c r="AX97" s="451">
        <v>0</v>
      </c>
      <c r="AY97" s="451">
        <v>0</v>
      </c>
      <c r="AZ97" s="451">
        <v>0</v>
      </c>
      <c r="BA97" s="451">
        <v>0</v>
      </c>
      <c r="BB97" s="451">
        <v>0</v>
      </c>
      <c r="BC97" s="451">
        <v>0</v>
      </c>
      <c r="BD97" s="451">
        <v>0</v>
      </c>
      <c r="BE97" s="451">
        <v>0</v>
      </c>
      <c r="BF97" s="451">
        <v>0</v>
      </c>
      <c r="BG97" s="451">
        <v>0</v>
      </c>
      <c r="BH97" s="451">
        <v>0</v>
      </c>
      <c r="BI97" s="451">
        <v>0</v>
      </c>
      <c r="BJ97" s="451">
        <v>0</v>
      </c>
      <c r="BK97" s="451">
        <v>0</v>
      </c>
      <c r="BL97" s="451">
        <v>0</v>
      </c>
      <c r="BM97" s="451">
        <v>0</v>
      </c>
      <c r="BN97" s="451">
        <v>-12258.61</v>
      </c>
      <c r="BO97" s="451">
        <v>0</v>
      </c>
      <c r="BP97" s="451">
        <v>0</v>
      </c>
      <c r="BQ97" s="451">
        <v>-12258.61</v>
      </c>
      <c r="BR97" s="451">
        <v>569441.76</v>
      </c>
      <c r="BS97" s="451">
        <v>0</v>
      </c>
      <c r="BT97" s="451">
        <v>0</v>
      </c>
      <c r="BU97" s="451">
        <v>569441.76</v>
      </c>
      <c r="BV97" s="451">
        <v>51901.51</v>
      </c>
      <c r="BW97" s="451">
        <v>0</v>
      </c>
      <c r="BX97" s="451">
        <v>0</v>
      </c>
      <c r="BY97" s="451">
        <v>51901.51</v>
      </c>
      <c r="BZ97" s="451">
        <v>40550.54</v>
      </c>
      <c r="CA97" s="451">
        <v>0</v>
      </c>
      <c r="CB97" s="451">
        <v>0</v>
      </c>
      <c r="CC97" s="451">
        <v>40550.54</v>
      </c>
      <c r="CD97" s="451">
        <v>443.25</v>
      </c>
      <c r="CE97" s="451">
        <v>0</v>
      </c>
      <c r="CF97" s="451">
        <v>0</v>
      </c>
      <c r="CG97" s="451">
        <v>443.25</v>
      </c>
      <c r="CH97" s="451">
        <v>0</v>
      </c>
      <c r="CI97" s="451">
        <v>0</v>
      </c>
      <c r="CJ97" s="451">
        <v>0</v>
      </c>
      <c r="CK97" s="451">
        <v>0</v>
      </c>
      <c r="CL97" s="451">
        <v>0</v>
      </c>
      <c r="CM97" s="451">
        <v>0</v>
      </c>
      <c r="CN97" s="451">
        <v>0</v>
      </c>
      <c r="CO97" s="451">
        <v>0</v>
      </c>
      <c r="CP97" s="451">
        <v>0</v>
      </c>
      <c r="CQ97" s="451">
        <v>0</v>
      </c>
      <c r="CR97" s="451">
        <v>0</v>
      </c>
      <c r="CS97" s="451">
        <v>0</v>
      </c>
      <c r="CT97" s="451">
        <v>0</v>
      </c>
      <c r="CU97" s="451">
        <v>0</v>
      </c>
      <c r="CV97" s="451">
        <v>0</v>
      </c>
      <c r="CW97" s="451">
        <v>0</v>
      </c>
      <c r="CX97" s="451">
        <v>0</v>
      </c>
      <c r="CY97" s="451">
        <v>0</v>
      </c>
      <c r="CZ97" s="451">
        <v>0</v>
      </c>
      <c r="DA97" s="451">
        <v>0</v>
      </c>
      <c r="DB97" s="451">
        <v>0</v>
      </c>
      <c r="DC97" s="451">
        <v>0</v>
      </c>
      <c r="DD97" s="451">
        <v>0</v>
      </c>
      <c r="DE97" s="451">
        <v>0</v>
      </c>
      <c r="DF97" s="451">
        <v>0</v>
      </c>
      <c r="DG97" s="451">
        <v>0</v>
      </c>
      <c r="DH97" s="451">
        <v>0</v>
      </c>
      <c r="DI97" s="451">
        <v>0</v>
      </c>
      <c r="DJ97" s="451">
        <v>0</v>
      </c>
      <c r="DK97" s="451">
        <v>0</v>
      </c>
      <c r="DL97" s="451">
        <v>0</v>
      </c>
      <c r="DM97" s="451">
        <v>0</v>
      </c>
      <c r="DN97" s="451">
        <v>0</v>
      </c>
      <c r="DO97" s="451">
        <v>0</v>
      </c>
      <c r="DP97" s="451">
        <v>0</v>
      </c>
      <c r="DQ97" s="451">
        <v>0</v>
      </c>
      <c r="DR97" s="451">
        <v>0</v>
      </c>
      <c r="DS97" s="451">
        <v>0</v>
      </c>
      <c r="DT97" s="451">
        <v>0</v>
      </c>
      <c r="DU97" s="451">
        <v>0</v>
      </c>
      <c r="DV97" s="451">
        <v>0</v>
      </c>
      <c r="DW97" s="451">
        <v>0</v>
      </c>
      <c r="DX97" s="451">
        <v>0</v>
      </c>
      <c r="DY97" s="451">
        <v>0</v>
      </c>
      <c r="DZ97" s="451">
        <v>0</v>
      </c>
      <c r="EA97" s="451">
        <v>0</v>
      </c>
      <c r="EB97" s="451">
        <v>0</v>
      </c>
      <c r="EC97" s="451">
        <v>0</v>
      </c>
      <c r="ED97" s="451">
        <v>0</v>
      </c>
      <c r="EE97" s="451">
        <v>0</v>
      </c>
      <c r="EF97" s="451">
        <v>0</v>
      </c>
      <c r="EG97" s="451">
        <v>0</v>
      </c>
      <c r="EH97" s="451">
        <v>0</v>
      </c>
      <c r="EI97" s="451">
        <v>0</v>
      </c>
      <c r="EJ97" s="451">
        <v>0</v>
      </c>
      <c r="EK97" s="451">
        <v>0</v>
      </c>
      <c r="EL97" s="451">
        <v>0</v>
      </c>
      <c r="EM97" s="451">
        <v>0</v>
      </c>
    </row>
    <row r="98" spans="1:143" ht="12.75" x14ac:dyDescent="0.2">
      <c r="A98" s="446">
        <v>92</v>
      </c>
      <c r="B98" s="447" t="s">
        <v>67</v>
      </c>
      <c r="C98" s="448" t="s">
        <v>1093</v>
      </c>
      <c r="D98" s="449" t="s">
        <v>1094</v>
      </c>
      <c r="E98" s="450" t="s">
        <v>66</v>
      </c>
      <c r="F98" s="451">
        <v>116342</v>
      </c>
      <c r="G98" s="451">
        <v>0</v>
      </c>
      <c r="H98" s="451">
        <v>0</v>
      </c>
      <c r="I98" s="451">
        <v>116342</v>
      </c>
      <c r="J98" s="451">
        <v>-226072</v>
      </c>
      <c r="K98" s="451">
        <v>0</v>
      </c>
      <c r="L98" s="451">
        <v>0</v>
      </c>
      <c r="M98" s="451">
        <v>-226072</v>
      </c>
      <c r="N98" s="451">
        <v>31492</v>
      </c>
      <c r="O98" s="451">
        <v>0</v>
      </c>
      <c r="P98" s="451">
        <v>0</v>
      </c>
      <c r="Q98" s="451">
        <v>31492</v>
      </c>
      <c r="R98" s="451">
        <v>159576</v>
      </c>
      <c r="S98" s="451">
        <v>0</v>
      </c>
      <c r="T98" s="451">
        <v>0</v>
      </c>
      <c r="U98" s="451">
        <v>159576</v>
      </c>
      <c r="V98" s="451">
        <v>1496998</v>
      </c>
      <c r="W98" s="451">
        <v>0</v>
      </c>
      <c r="X98" s="451">
        <v>0</v>
      </c>
      <c r="Y98" s="451">
        <v>1496998</v>
      </c>
      <c r="Z98" s="451">
        <v>38250</v>
      </c>
      <c r="AA98" s="451">
        <v>0</v>
      </c>
      <c r="AB98" s="451">
        <v>0</v>
      </c>
      <c r="AC98" s="451">
        <v>38250</v>
      </c>
      <c r="AD98" s="451">
        <v>1076831</v>
      </c>
      <c r="AE98" s="451">
        <v>0</v>
      </c>
      <c r="AF98" s="451">
        <v>0</v>
      </c>
      <c r="AG98" s="451">
        <v>1076831</v>
      </c>
      <c r="AH98" s="451">
        <v>-27254</v>
      </c>
      <c r="AI98" s="451">
        <v>0</v>
      </c>
      <c r="AJ98" s="451">
        <v>0</v>
      </c>
      <c r="AK98" s="451">
        <v>-27254</v>
      </c>
      <c r="AL98" s="451">
        <v>1933607</v>
      </c>
      <c r="AM98" s="451">
        <v>0</v>
      </c>
      <c r="AN98" s="451">
        <v>0</v>
      </c>
      <c r="AO98" s="451">
        <v>1933607</v>
      </c>
      <c r="AP98" s="451">
        <v>52719</v>
      </c>
      <c r="AQ98" s="451">
        <v>0</v>
      </c>
      <c r="AR98" s="451">
        <v>0</v>
      </c>
      <c r="AS98" s="451">
        <v>52719</v>
      </c>
      <c r="AT98" s="451">
        <v>0</v>
      </c>
      <c r="AU98" s="451">
        <v>0</v>
      </c>
      <c r="AV98" s="451">
        <v>0</v>
      </c>
      <c r="AW98" s="451">
        <v>0</v>
      </c>
      <c r="AX98" s="451">
        <v>0</v>
      </c>
      <c r="AY98" s="451">
        <v>0</v>
      </c>
      <c r="AZ98" s="451">
        <v>0</v>
      </c>
      <c r="BA98" s="451">
        <v>0</v>
      </c>
      <c r="BB98" s="451">
        <v>0</v>
      </c>
      <c r="BC98" s="451">
        <v>0</v>
      </c>
      <c r="BD98" s="451">
        <v>0</v>
      </c>
      <c r="BE98" s="451">
        <v>0</v>
      </c>
      <c r="BF98" s="451">
        <v>0</v>
      </c>
      <c r="BG98" s="451">
        <v>0</v>
      </c>
      <c r="BH98" s="451">
        <v>0</v>
      </c>
      <c r="BI98" s="451">
        <v>0</v>
      </c>
      <c r="BJ98" s="451">
        <v>10070</v>
      </c>
      <c r="BK98" s="451">
        <v>0</v>
      </c>
      <c r="BL98" s="451">
        <v>0</v>
      </c>
      <c r="BM98" s="451">
        <v>10070</v>
      </c>
      <c r="BN98" s="451">
        <v>34689</v>
      </c>
      <c r="BO98" s="451">
        <v>0</v>
      </c>
      <c r="BP98" s="451">
        <v>0</v>
      </c>
      <c r="BQ98" s="451">
        <v>34689</v>
      </c>
      <c r="BR98" s="451">
        <v>2040391</v>
      </c>
      <c r="BS98" s="451">
        <v>0</v>
      </c>
      <c r="BT98" s="451">
        <v>0</v>
      </c>
      <c r="BU98" s="451">
        <v>2040391</v>
      </c>
      <c r="BV98" s="451">
        <v>6339</v>
      </c>
      <c r="BW98" s="451">
        <v>0</v>
      </c>
      <c r="BX98" s="451">
        <v>0</v>
      </c>
      <c r="BY98" s="451">
        <v>6339</v>
      </c>
      <c r="BZ98" s="451">
        <v>43624</v>
      </c>
      <c r="CA98" s="451">
        <v>0</v>
      </c>
      <c r="CB98" s="451">
        <v>0</v>
      </c>
      <c r="CC98" s="451">
        <v>43624</v>
      </c>
      <c r="CD98" s="451">
        <v>-8693</v>
      </c>
      <c r="CE98" s="451">
        <v>0</v>
      </c>
      <c r="CF98" s="451">
        <v>0</v>
      </c>
      <c r="CG98" s="451">
        <v>-8693</v>
      </c>
      <c r="CH98" s="451">
        <v>128112</v>
      </c>
      <c r="CI98" s="451">
        <v>0</v>
      </c>
      <c r="CJ98" s="451">
        <v>0</v>
      </c>
      <c r="CK98" s="451">
        <v>128112</v>
      </c>
      <c r="CL98" s="451">
        <v>0</v>
      </c>
      <c r="CM98" s="451">
        <v>0</v>
      </c>
      <c r="CN98" s="451">
        <v>0</v>
      </c>
      <c r="CO98" s="451">
        <v>0</v>
      </c>
      <c r="CP98" s="451">
        <v>0</v>
      </c>
      <c r="CQ98" s="451">
        <v>0</v>
      </c>
      <c r="CR98" s="451">
        <v>0</v>
      </c>
      <c r="CS98" s="451">
        <v>0</v>
      </c>
      <c r="CT98" s="451">
        <v>0</v>
      </c>
      <c r="CU98" s="451">
        <v>0</v>
      </c>
      <c r="CV98" s="451">
        <v>0</v>
      </c>
      <c r="CW98" s="451">
        <v>0</v>
      </c>
      <c r="CX98" s="451">
        <v>0</v>
      </c>
      <c r="CY98" s="451">
        <v>0</v>
      </c>
      <c r="CZ98" s="451">
        <v>0</v>
      </c>
      <c r="DA98" s="451">
        <v>0</v>
      </c>
      <c r="DB98" s="451">
        <v>0</v>
      </c>
      <c r="DC98" s="451">
        <v>0</v>
      </c>
      <c r="DD98" s="451">
        <v>0</v>
      </c>
      <c r="DE98" s="451">
        <v>0</v>
      </c>
      <c r="DF98" s="451">
        <v>0</v>
      </c>
      <c r="DG98" s="451">
        <v>0</v>
      </c>
      <c r="DH98" s="451">
        <v>0</v>
      </c>
      <c r="DI98" s="451">
        <v>0</v>
      </c>
      <c r="DJ98" s="451">
        <v>0</v>
      </c>
      <c r="DK98" s="451">
        <v>0</v>
      </c>
      <c r="DL98" s="451">
        <v>0</v>
      </c>
      <c r="DM98" s="451">
        <v>0</v>
      </c>
      <c r="DN98" s="451">
        <v>0</v>
      </c>
      <c r="DO98" s="451">
        <v>0</v>
      </c>
      <c r="DP98" s="451">
        <v>0</v>
      </c>
      <c r="DQ98" s="451">
        <v>0</v>
      </c>
      <c r="DR98" s="451">
        <v>0</v>
      </c>
      <c r="DS98" s="451">
        <v>0</v>
      </c>
      <c r="DT98" s="451">
        <v>0</v>
      </c>
      <c r="DU98" s="451">
        <v>0</v>
      </c>
      <c r="DV98" s="451">
        <v>0</v>
      </c>
      <c r="DW98" s="451">
        <v>0</v>
      </c>
      <c r="DX98" s="451">
        <v>0</v>
      </c>
      <c r="DY98" s="451">
        <v>0</v>
      </c>
      <c r="DZ98" s="451">
        <v>0</v>
      </c>
      <c r="EA98" s="451">
        <v>0</v>
      </c>
      <c r="EB98" s="451">
        <v>0</v>
      </c>
      <c r="EC98" s="451">
        <v>0</v>
      </c>
      <c r="ED98" s="451">
        <v>0</v>
      </c>
      <c r="EE98" s="451">
        <v>0</v>
      </c>
      <c r="EF98" s="451">
        <v>0</v>
      </c>
      <c r="EG98" s="451">
        <v>0</v>
      </c>
      <c r="EH98" s="451">
        <v>0</v>
      </c>
      <c r="EI98" s="451">
        <v>0</v>
      </c>
      <c r="EJ98" s="451">
        <v>0</v>
      </c>
      <c r="EK98" s="451">
        <v>0</v>
      </c>
      <c r="EL98" s="451">
        <v>0</v>
      </c>
      <c r="EM98" s="451">
        <v>0</v>
      </c>
    </row>
    <row r="99" spans="1:143" ht="12.75" x14ac:dyDescent="0.2">
      <c r="A99" s="446">
        <v>93</v>
      </c>
      <c r="B99" s="447" t="s">
        <v>69</v>
      </c>
      <c r="C99" s="448" t="s">
        <v>1093</v>
      </c>
      <c r="D99" s="449" t="s">
        <v>1095</v>
      </c>
      <c r="E99" s="450" t="s">
        <v>68</v>
      </c>
      <c r="F99" s="451">
        <v>196285.95</v>
      </c>
      <c r="G99" s="451">
        <v>0</v>
      </c>
      <c r="H99" s="451">
        <v>0</v>
      </c>
      <c r="I99" s="451">
        <v>196285.95</v>
      </c>
      <c r="J99" s="451">
        <v>-129496.44</v>
      </c>
      <c r="K99" s="451">
        <v>0</v>
      </c>
      <c r="L99" s="451">
        <v>0</v>
      </c>
      <c r="M99" s="451">
        <v>-129496.44</v>
      </c>
      <c r="N99" s="451">
        <v>18421.61</v>
      </c>
      <c r="O99" s="451">
        <v>0</v>
      </c>
      <c r="P99" s="451">
        <v>0</v>
      </c>
      <c r="Q99" s="451">
        <v>18421.61</v>
      </c>
      <c r="R99" s="451">
        <v>-512.91</v>
      </c>
      <c r="S99" s="451">
        <v>0</v>
      </c>
      <c r="T99" s="451">
        <v>0</v>
      </c>
      <c r="U99" s="451">
        <v>-512.91</v>
      </c>
      <c r="V99" s="451">
        <v>1980171.35</v>
      </c>
      <c r="W99" s="451">
        <v>0</v>
      </c>
      <c r="X99" s="451">
        <v>0</v>
      </c>
      <c r="Y99" s="451">
        <v>1980171.35</v>
      </c>
      <c r="Z99" s="451">
        <v>114855.59</v>
      </c>
      <c r="AA99" s="451">
        <v>0</v>
      </c>
      <c r="AB99" s="451">
        <v>0</v>
      </c>
      <c r="AC99" s="451">
        <v>114855.59</v>
      </c>
      <c r="AD99" s="451">
        <v>371685.59</v>
      </c>
      <c r="AE99" s="451">
        <v>0</v>
      </c>
      <c r="AF99" s="451">
        <v>0</v>
      </c>
      <c r="AG99" s="451">
        <v>371685.59</v>
      </c>
      <c r="AH99" s="451">
        <v>-762.87</v>
      </c>
      <c r="AI99" s="451">
        <v>0</v>
      </c>
      <c r="AJ99" s="451">
        <v>0</v>
      </c>
      <c r="AK99" s="451">
        <v>-762.87</v>
      </c>
      <c r="AL99" s="451">
        <v>1245892.1100000001</v>
      </c>
      <c r="AM99" s="451">
        <v>0</v>
      </c>
      <c r="AN99" s="451">
        <v>0</v>
      </c>
      <c r="AO99" s="451">
        <v>1245892.1100000001</v>
      </c>
      <c r="AP99" s="451">
        <v>11505.89</v>
      </c>
      <c r="AQ99" s="451">
        <v>0</v>
      </c>
      <c r="AR99" s="451">
        <v>0</v>
      </c>
      <c r="AS99" s="451">
        <v>11505.89</v>
      </c>
      <c r="AT99" s="451">
        <v>72543.42</v>
      </c>
      <c r="AU99" s="451">
        <v>0</v>
      </c>
      <c r="AV99" s="451">
        <v>0</v>
      </c>
      <c r="AW99" s="451">
        <v>72543.42</v>
      </c>
      <c r="AX99" s="451">
        <v>0</v>
      </c>
      <c r="AY99" s="451">
        <v>0</v>
      </c>
      <c r="AZ99" s="451">
        <v>0</v>
      </c>
      <c r="BA99" s="451">
        <v>0</v>
      </c>
      <c r="BB99" s="451">
        <v>63245.86</v>
      </c>
      <c r="BC99" s="451">
        <v>0</v>
      </c>
      <c r="BD99" s="451">
        <v>0</v>
      </c>
      <c r="BE99" s="451">
        <v>63245.86</v>
      </c>
      <c r="BF99" s="451">
        <v>159.19</v>
      </c>
      <c r="BG99" s="451">
        <v>0</v>
      </c>
      <c r="BH99" s="451">
        <v>0</v>
      </c>
      <c r="BI99" s="451">
        <v>159.19</v>
      </c>
      <c r="BJ99" s="451">
        <v>0</v>
      </c>
      <c r="BK99" s="451">
        <v>0</v>
      </c>
      <c r="BL99" s="451">
        <v>0</v>
      </c>
      <c r="BM99" s="451">
        <v>0</v>
      </c>
      <c r="BN99" s="451">
        <v>20.38</v>
      </c>
      <c r="BO99" s="451">
        <v>0</v>
      </c>
      <c r="BP99" s="451">
        <v>0</v>
      </c>
      <c r="BQ99" s="451">
        <v>20.38</v>
      </c>
      <c r="BR99" s="451">
        <v>415896.48</v>
      </c>
      <c r="BS99" s="451">
        <v>0</v>
      </c>
      <c r="BT99" s="451">
        <v>0</v>
      </c>
      <c r="BU99" s="451">
        <v>415896.48</v>
      </c>
      <c r="BV99" s="451">
        <v>113362.18</v>
      </c>
      <c r="BW99" s="451">
        <v>0</v>
      </c>
      <c r="BX99" s="451">
        <v>0</v>
      </c>
      <c r="BY99" s="451">
        <v>113362.18</v>
      </c>
      <c r="BZ99" s="451">
        <v>49889.13</v>
      </c>
      <c r="CA99" s="451">
        <v>0</v>
      </c>
      <c r="CB99" s="451">
        <v>0</v>
      </c>
      <c r="CC99" s="451">
        <v>49889.13</v>
      </c>
      <c r="CD99" s="451">
        <v>1393.12</v>
      </c>
      <c r="CE99" s="451">
        <v>0</v>
      </c>
      <c r="CF99" s="451">
        <v>0</v>
      </c>
      <c r="CG99" s="451">
        <v>1393.12</v>
      </c>
      <c r="CH99" s="451">
        <v>37045.910000000003</v>
      </c>
      <c r="CI99" s="451">
        <v>0</v>
      </c>
      <c r="CJ99" s="451">
        <v>0</v>
      </c>
      <c r="CK99" s="451">
        <v>37045.910000000003</v>
      </c>
      <c r="CL99" s="451">
        <v>-551.24</v>
      </c>
      <c r="CM99" s="451">
        <v>0</v>
      </c>
      <c r="CN99" s="451">
        <v>0</v>
      </c>
      <c r="CO99" s="451">
        <v>-551.24</v>
      </c>
      <c r="CP99" s="451">
        <v>2021.25</v>
      </c>
      <c r="CQ99" s="451">
        <v>0</v>
      </c>
      <c r="CR99" s="451">
        <v>0</v>
      </c>
      <c r="CS99" s="451">
        <v>2021.25</v>
      </c>
      <c r="CT99" s="451">
        <v>0</v>
      </c>
      <c r="CU99" s="451">
        <v>0</v>
      </c>
      <c r="CV99" s="451">
        <v>0</v>
      </c>
      <c r="CW99" s="451">
        <v>0</v>
      </c>
      <c r="CX99" s="451">
        <v>38347.269999999997</v>
      </c>
      <c r="CY99" s="451">
        <v>0</v>
      </c>
      <c r="CZ99" s="451">
        <v>0</v>
      </c>
      <c r="DA99" s="451">
        <v>38347.269999999997</v>
      </c>
      <c r="DB99" s="451">
        <v>997.08</v>
      </c>
      <c r="DC99" s="451">
        <v>0</v>
      </c>
      <c r="DD99" s="451">
        <v>0</v>
      </c>
      <c r="DE99" s="451">
        <v>997.08</v>
      </c>
      <c r="DF99" s="451">
        <v>3388.77</v>
      </c>
      <c r="DG99" s="451">
        <v>0</v>
      </c>
      <c r="DH99" s="451">
        <v>0</v>
      </c>
      <c r="DI99" s="451">
        <v>3388.77</v>
      </c>
      <c r="DJ99" s="451">
        <v>0</v>
      </c>
      <c r="DK99" s="451">
        <v>0</v>
      </c>
      <c r="DL99" s="451">
        <v>0</v>
      </c>
      <c r="DM99" s="451">
        <v>0</v>
      </c>
      <c r="DN99" s="451">
        <v>0</v>
      </c>
      <c r="DO99" s="451">
        <v>0</v>
      </c>
      <c r="DP99" s="451">
        <v>0</v>
      </c>
      <c r="DQ99" s="451">
        <v>0</v>
      </c>
      <c r="DR99" s="451">
        <v>0</v>
      </c>
      <c r="DS99" s="451">
        <v>0</v>
      </c>
      <c r="DT99" s="451">
        <v>0</v>
      </c>
      <c r="DU99" s="451">
        <v>0</v>
      </c>
      <c r="DV99" s="451">
        <v>0</v>
      </c>
      <c r="DW99" s="451">
        <v>0</v>
      </c>
      <c r="DX99" s="451">
        <v>0</v>
      </c>
      <c r="DY99" s="451">
        <v>0</v>
      </c>
      <c r="DZ99" s="451">
        <v>0</v>
      </c>
      <c r="EA99" s="451">
        <v>0</v>
      </c>
      <c r="EB99" s="451">
        <v>0</v>
      </c>
      <c r="EC99" s="451">
        <v>0</v>
      </c>
      <c r="ED99" s="451">
        <v>0</v>
      </c>
      <c r="EE99" s="451">
        <v>0</v>
      </c>
      <c r="EF99" s="451">
        <v>0</v>
      </c>
      <c r="EG99" s="451">
        <v>0</v>
      </c>
      <c r="EH99" s="451">
        <v>0</v>
      </c>
      <c r="EI99" s="451">
        <v>0</v>
      </c>
      <c r="EJ99" s="451">
        <v>0</v>
      </c>
      <c r="EK99" s="451">
        <v>0</v>
      </c>
      <c r="EL99" s="451">
        <v>0</v>
      </c>
      <c r="EM99" s="451">
        <v>0</v>
      </c>
    </row>
    <row r="100" spans="1:143" ht="12.75" x14ac:dyDescent="0.2">
      <c r="A100" s="446">
        <v>94</v>
      </c>
      <c r="B100" s="447" t="s">
        <v>71</v>
      </c>
      <c r="C100" s="448" t="s">
        <v>1093</v>
      </c>
      <c r="D100" s="449" t="s">
        <v>1094</v>
      </c>
      <c r="E100" s="450" t="s">
        <v>70</v>
      </c>
      <c r="F100" s="451">
        <v>45445</v>
      </c>
      <c r="G100" s="451">
        <v>0</v>
      </c>
      <c r="H100" s="451">
        <v>0</v>
      </c>
      <c r="I100" s="451">
        <v>45445</v>
      </c>
      <c r="J100" s="451">
        <v>-36028</v>
      </c>
      <c r="K100" s="451">
        <v>0</v>
      </c>
      <c r="L100" s="451">
        <v>0</v>
      </c>
      <c r="M100" s="451">
        <v>-36028</v>
      </c>
      <c r="N100" s="451">
        <v>13956</v>
      </c>
      <c r="O100" s="451">
        <v>0</v>
      </c>
      <c r="P100" s="451">
        <v>0</v>
      </c>
      <c r="Q100" s="451">
        <v>13956</v>
      </c>
      <c r="R100" s="451">
        <v>45133</v>
      </c>
      <c r="S100" s="451">
        <v>0</v>
      </c>
      <c r="T100" s="451">
        <v>0</v>
      </c>
      <c r="U100" s="451">
        <v>45133</v>
      </c>
      <c r="V100" s="451">
        <v>1784437</v>
      </c>
      <c r="W100" s="451">
        <v>0</v>
      </c>
      <c r="X100" s="451">
        <v>0</v>
      </c>
      <c r="Y100" s="451">
        <v>1784437</v>
      </c>
      <c r="Z100" s="451">
        <v>113452</v>
      </c>
      <c r="AA100" s="451">
        <v>0</v>
      </c>
      <c r="AB100" s="451">
        <v>0</v>
      </c>
      <c r="AC100" s="451">
        <v>113452</v>
      </c>
      <c r="AD100" s="451">
        <v>1061928</v>
      </c>
      <c r="AE100" s="451">
        <v>0</v>
      </c>
      <c r="AF100" s="451">
        <v>0</v>
      </c>
      <c r="AG100" s="451">
        <v>1061928</v>
      </c>
      <c r="AH100" s="451">
        <v>-10869</v>
      </c>
      <c r="AI100" s="451">
        <v>0</v>
      </c>
      <c r="AJ100" s="451">
        <v>0</v>
      </c>
      <c r="AK100" s="451">
        <v>-10869</v>
      </c>
      <c r="AL100" s="451">
        <v>3018065</v>
      </c>
      <c r="AM100" s="451">
        <v>0</v>
      </c>
      <c r="AN100" s="451">
        <v>0</v>
      </c>
      <c r="AO100" s="451">
        <v>3018065</v>
      </c>
      <c r="AP100" s="451">
        <v>-20084</v>
      </c>
      <c r="AQ100" s="451">
        <v>0</v>
      </c>
      <c r="AR100" s="451">
        <v>0</v>
      </c>
      <c r="AS100" s="451">
        <v>-20084</v>
      </c>
      <c r="AT100" s="451">
        <v>53091</v>
      </c>
      <c r="AU100" s="451">
        <v>0</v>
      </c>
      <c r="AV100" s="451">
        <v>0</v>
      </c>
      <c r="AW100" s="451">
        <v>53091</v>
      </c>
      <c r="AX100" s="451">
        <v>0</v>
      </c>
      <c r="AY100" s="451">
        <v>0</v>
      </c>
      <c r="AZ100" s="451">
        <v>0</v>
      </c>
      <c r="BA100" s="451">
        <v>0</v>
      </c>
      <c r="BB100" s="451">
        <v>0</v>
      </c>
      <c r="BC100" s="451">
        <v>0</v>
      </c>
      <c r="BD100" s="451">
        <v>0</v>
      </c>
      <c r="BE100" s="451">
        <v>0</v>
      </c>
      <c r="BF100" s="451">
        <v>0</v>
      </c>
      <c r="BG100" s="451">
        <v>0</v>
      </c>
      <c r="BH100" s="451">
        <v>0</v>
      </c>
      <c r="BI100" s="451">
        <v>0</v>
      </c>
      <c r="BJ100" s="451">
        <v>15523</v>
      </c>
      <c r="BK100" s="451">
        <v>0</v>
      </c>
      <c r="BL100" s="451">
        <v>0</v>
      </c>
      <c r="BM100" s="451">
        <v>15523</v>
      </c>
      <c r="BN100" s="451">
        <v>83</v>
      </c>
      <c r="BO100" s="451">
        <v>0</v>
      </c>
      <c r="BP100" s="451">
        <v>0</v>
      </c>
      <c r="BQ100" s="451">
        <v>83</v>
      </c>
      <c r="BR100" s="451">
        <v>2829277</v>
      </c>
      <c r="BS100" s="451">
        <v>0</v>
      </c>
      <c r="BT100" s="451">
        <v>0</v>
      </c>
      <c r="BU100" s="451">
        <v>2829277</v>
      </c>
      <c r="BV100" s="451">
        <v>-21836</v>
      </c>
      <c r="BW100" s="451">
        <v>0</v>
      </c>
      <c r="BX100" s="451">
        <v>0</v>
      </c>
      <c r="BY100" s="451">
        <v>-21836</v>
      </c>
      <c r="BZ100" s="451">
        <v>97576</v>
      </c>
      <c r="CA100" s="451">
        <v>0</v>
      </c>
      <c r="CB100" s="451">
        <v>0</v>
      </c>
      <c r="CC100" s="451">
        <v>97576</v>
      </c>
      <c r="CD100" s="451">
        <v>-3360</v>
      </c>
      <c r="CE100" s="451">
        <v>0</v>
      </c>
      <c r="CF100" s="451">
        <v>0</v>
      </c>
      <c r="CG100" s="451">
        <v>-3360</v>
      </c>
      <c r="CH100" s="451">
        <v>332656</v>
      </c>
      <c r="CI100" s="451">
        <v>0</v>
      </c>
      <c r="CJ100" s="451">
        <v>0</v>
      </c>
      <c r="CK100" s="451">
        <v>332656</v>
      </c>
      <c r="CL100" s="451">
        <v>-5447</v>
      </c>
      <c r="CM100" s="451">
        <v>0</v>
      </c>
      <c r="CN100" s="451">
        <v>0</v>
      </c>
      <c r="CO100" s="451">
        <v>-5447</v>
      </c>
      <c r="CP100" s="451">
        <v>0</v>
      </c>
      <c r="CQ100" s="451">
        <v>0</v>
      </c>
      <c r="CR100" s="451">
        <v>0</v>
      </c>
      <c r="CS100" s="451">
        <v>0</v>
      </c>
      <c r="CT100" s="451">
        <v>0</v>
      </c>
      <c r="CU100" s="451">
        <v>0</v>
      </c>
      <c r="CV100" s="451">
        <v>0</v>
      </c>
      <c r="CW100" s="451">
        <v>0</v>
      </c>
      <c r="CX100" s="451">
        <v>0</v>
      </c>
      <c r="CY100" s="451">
        <v>0</v>
      </c>
      <c r="CZ100" s="451">
        <v>0</v>
      </c>
      <c r="DA100" s="451">
        <v>0</v>
      </c>
      <c r="DB100" s="451">
        <v>0</v>
      </c>
      <c r="DC100" s="451">
        <v>0</v>
      </c>
      <c r="DD100" s="451">
        <v>0</v>
      </c>
      <c r="DE100" s="451">
        <v>0</v>
      </c>
      <c r="DF100" s="451">
        <v>0</v>
      </c>
      <c r="DG100" s="451">
        <v>0</v>
      </c>
      <c r="DH100" s="451">
        <v>0</v>
      </c>
      <c r="DI100" s="451">
        <v>0</v>
      </c>
      <c r="DJ100" s="451">
        <v>0</v>
      </c>
      <c r="DK100" s="451">
        <v>0</v>
      </c>
      <c r="DL100" s="451">
        <v>0</v>
      </c>
      <c r="DM100" s="451">
        <v>0</v>
      </c>
      <c r="DN100" s="451">
        <v>0</v>
      </c>
      <c r="DO100" s="451">
        <v>0</v>
      </c>
      <c r="DP100" s="451">
        <v>0</v>
      </c>
      <c r="DQ100" s="451">
        <v>0</v>
      </c>
      <c r="DR100" s="451">
        <v>0</v>
      </c>
      <c r="DS100" s="451">
        <v>0</v>
      </c>
      <c r="DT100" s="451">
        <v>0</v>
      </c>
      <c r="DU100" s="451">
        <v>0</v>
      </c>
      <c r="DV100" s="451">
        <v>0</v>
      </c>
      <c r="DW100" s="451">
        <v>0</v>
      </c>
      <c r="DX100" s="451">
        <v>167095</v>
      </c>
      <c r="DY100" s="451">
        <v>0</v>
      </c>
      <c r="DZ100" s="451">
        <v>0</v>
      </c>
      <c r="EA100" s="451">
        <v>167095</v>
      </c>
      <c r="EB100" s="451">
        <v>0</v>
      </c>
      <c r="EC100" s="451">
        <v>0</v>
      </c>
      <c r="ED100" s="451">
        <v>0</v>
      </c>
      <c r="EE100" s="451">
        <v>0</v>
      </c>
      <c r="EF100" s="451">
        <v>0</v>
      </c>
      <c r="EG100" s="451">
        <v>0</v>
      </c>
      <c r="EH100" s="451">
        <v>0</v>
      </c>
      <c r="EI100" s="451">
        <v>0</v>
      </c>
      <c r="EJ100" s="451">
        <v>0</v>
      </c>
      <c r="EK100" s="451">
        <v>0</v>
      </c>
      <c r="EL100" s="451">
        <v>0</v>
      </c>
      <c r="EM100" s="451">
        <v>0</v>
      </c>
    </row>
    <row r="101" spans="1:143" ht="12.75" x14ac:dyDescent="0.2">
      <c r="A101" s="446">
        <v>95</v>
      </c>
      <c r="B101" s="447" t="s">
        <v>73</v>
      </c>
      <c r="C101" s="448" t="s">
        <v>1098</v>
      </c>
      <c r="D101" s="449" t="s">
        <v>1099</v>
      </c>
      <c r="E101" s="450" t="s">
        <v>72</v>
      </c>
      <c r="F101" s="451">
        <v>1139677</v>
      </c>
      <c r="G101" s="451">
        <v>0</v>
      </c>
      <c r="H101" s="451">
        <v>0</v>
      </c>
      <c r="I101" s="451">
        <v>1139677</v>
      </c>
      <c r="J101" s="451">
        <v>325216</v>
      </c>
      <c r="K101" s="451">
        <v>0</v>
      </c>
      <c r="L101" s="451">
        <v>0</v>
      </c>
      <c r="M101" s="451">
        <v>325216</v>
      </c>
      <c r="N101" s="451">
        <v>56884</v>
      </c>
      <c r="O101" s="451">
        <v>0</v>
      </c>
      <c r="P101" s="451">
        <v>0</v>
      </c>
      <c r="Q101" s="451">
        <v>56884</v>
      </c>
      <c r="R101" s="451">
        <v>394685</v>
      </c>
      <c r="S101" s="451">
        <v>0</v>
      </c>
      <c r="T101" s="451">
        <v>0</v>
      </c>
      <c r="U101" s="451">
        <v>394685</v>
      </c>
      <c r="V101" s="451">
        <v>3654153</v>
      </c>
      <c r="W101" s="451">
        <v>0</v>
      </c>
      <c r="X101" s="451">
        <v>0</v>
      </c>
      <c r="Y101" s="451">
        <v>3654153</v>
      </c>
      <c r="Z101" s="451">
        <v>101098</v>
      </c>
      <c r="AA101" s="451">
        <v>0</v>
      </c>
      <c r="AB101" s="451">
        <v>0</v>
      </c>
      <c r="AC101" s="451">
        <v>101098</v>
      </c>
      <c r="AD101" s="451">
        <v>1935147</v>
      </c>
      <c r="AE101" s="451">
        <v>0</v>
      </c>
      <c r="AF101" s="451">
        <v>0</v>
      </c>
      <c r="AG101" s="451">
        <v>1935147</v>
      </c>
      <c r="AH101" s="451">
        <v>-32214</v>
      </c>
      <c r="AI101" s="451">
        <v>0</v>
      </c>
      <c r="AJ101" s="451">
        <v>0</v>
      </c>
      <c r="AK101" s="451">
        <v>-32214</v>
      </c>
      <c r="AL101" s="451">
        <v>4542199.4400000004</v>
      </c>
      <c r="AM101" s="451">
        <v>0</v>
      </c>
      <c r="AN101" s="451">
        <v>0</v>
      </c>
      <c r="AO101" s="451">
        <v>4542199.4400000004</v>
      </c>
      <c r="AP101" s="451">
        <v>-33642</v>
      </c>
      <c r="AQ101" s="451">
        <v>0</v>
      </c>
      <c r="AR101" s="451">
        <v>0</v>
      </c>
      <c r="AS101" s="451">
        <v>-33642</v>
      </c>
      <c r="AT101" s="451">
        <v>100153</v>
      </c>
      <c r="AU101" s="451">
        <v>0</v>
      </c>
      <c r="AV101" s="451">
        <v>0</v>
      </c>
      <c r="AW101" s="451">
        <v>100153</v>
      </c>
      <c r="AX101" s="451">
        <v>-2218</v>
      </c>
      <c r="AY101" s="451">
        <v>0</v>
      </c>
      <c r="AZ101" s="451">
        <v>0</v>
      </c>
      <c r="BA101" s="451">
        <v>-2218</v>
      </c>
      <c r="BB101" s="451">
        <v>0</v>
      </c>
      <c r="BC101" s="451">
        <v>0</v>
      </c>
      <c r="BD101" s="451">
        <v>0</v>
      </c>
      <c r="BE101" s="451">
        <v>0</v>
      </c>
      <c r="BF101" s="451">
        <v>0</v>
      </c>
      <c r="BG101" s="451">
        <v>0</v>
      </c>
      <c r="BH101" s="451">
        <v>0</v>
      </c>
      <c r="BI101" s="451">
        <v>0</v>
      </c>
      <c r="BJ101" s="451">
        <v>79714</v>
      </c>
      <c r="BK101" s="451">
        <v>0</v>
      </c>
      <c r="BL101" s="451">
        <v>0</v>
      </c>
      <c r="BM101" s="451">
        <v>79714</v>
      </c>
      <c r="BN101" s="451">
        <v>2434</v>
      </c>
      <c r="BO101" s="451">
        <v>0</v>
      </c>
      <c r="BP101" s="451">
        <v>0</v>
      </c>
      <c r="BQ101" s="451">
        <v>2434</v>
      </c>
      <c r="BR101" s="451">
        <v>3749929</v>
      </c>
      <c r="BS101" s="451">
        <v>0</v>
      </c>
      <c r="BT101" s="451">
        <v>0</v>
      </c>
      <c r="BU101" s="451">
        <v>3749929</v>
      </c>
      <c r="BV101" s="451">
        <v>-360536</v>
      </c>
      <c r="BW101" s="451">
        <v>0</v>
      </c>
      <c r="BX101" s="451">
        <v>0</v>
      </c>
      <c r="BY101" s="451">
        <v>-360536</v>
      </c>
      <c r="BZ101" s="451">
        <v>287648.3</v>
      </c>
      <c r="CA101" s="451">
        <v>0</v>
      </c>
      <c r="CB101" s="451">
        <v>0</v>
      </c>
      <c r="CC101" s="451">
        <v>287648.3</v>
      </c>
      <c r="CD101" s="451">
        <v>11536.85</v>
      </c>
      <c r="CE101" s="451">
        <v>0</v>
      </c>
      <c r="CF101" s="451">
        <v>0</v>
      </c>
      <c r="CG101" s="451">
        <v>11536.85</v>
      </c>
      <c r="CH101" s="451">
        <v>191239.36</v>
      </c>
      <c r="CI101" s="451">
        <v>0</v>
      </c>
      <c r="CJ101" s="451">
        <v>0</v>
      </c>
      <c r="CK101" s="451">
        <v>191239.36</v>
      </c>
      <c r="CL101" s="451">
        <v>-1751.68</v>
      </c>
      <c r="CM101" s="451">
        <v>0</v>
      </c>
      <c r="CN101" s="451">
        <v>0</v>
      </c>
      <c r="CO101" s="451">
        <v>-1751.68</v>
      </c>
      <c r="CP101" s="451">
        <v>0</v>
      </c>
      <c r="CQ101" s="451">
        <v>0</v>
      </c>
      <c r="CR101" s="451">
        <v>0</v>
      </c>
      <c r="CS101" s="451">
        <v>0</v>
      </c>
      <c r="CT101" s="451">
        <v>0</v>
      </c>
      <c r="CU101" s="451">
        <v>0</v>
      </c>
      <c r="CV101" s="451">
        <v>0</v>
      </c>
      <c r="CW101" s="451">
        <v>0</v>
      </c>
      <c r="CX101" s="451">
        <v>0</v>
      </c>
      <c r="CY101" s="451">
        <v>0</v>
      </c>
      <c r="CZ101" s="451">
        <v>0</v>
      </c>
      <c r="DA101" s="451">
        <v>0</v>
      </c>
      <c r="DB101" s="451">
        <v>0</v>
      </c>
      <c r="DC101" s="451">
        <v>0</v>
      </c>
      <c r="DD101" s="451">
        <v>0</v>
      </c>
      <c r="DE101" s="451">
        <v>0</v>
      </c>
      <c r="DF101" s="451">
        <v>0</v>
      </c>
      <c r="DG101" s="451">
        <v>0</v>
      </c>
      <c r="DH101" s="451">
        <v>0</v>
      </c>
      <c r="DI101" s="451">
        <v>0</v>
      </c>
      <c r="DJ101" s="451">
        <v>0</v>
      </c>
      <c r="DK101" s="451">
        <v>0</v>
      </c>
      <c r="DL101" s="451">
        <v>0</v>
      </c>
      <c r="DM101" s="451">
        <v>0</v>
      </c>
      <c r="DN101" s="451">
        <v>0</v>
      </c>
      <c r="DO101" s="451">
        <v>0</v>
      </c>
      <c r="DP101" s="451">
        <v>0</v>
      </c>
      <c r="DQ101" s="451">
        <v>0</v>
      </c>
      <c r="DR101" s="451">
        <v>0</v>
      </c>
      <c r="DS101" s="451">
        <v>0</v>
      </c>
      <c r="DT101" s="451">
        <v>0</v>
      </c>
      <c r="DU101" s="451">
        <v>0</v>
      </c>
      <c r="DV101" s="451">
        <v>0</v>
      </c>
      <c r="DW101" s="451">
        <v>0</v>
      </c>
      <c r="DX101" s="451">
        <v>0</v>
      </c>
      <c r="DY101" s="451">
        <v>0</v>
      </c>
      <c r="DZ101" s="451">
        <v>0</v>
      </c>
      <c r="EA101" s="451">
        <v>0</v>
      </c>
      <c r="EB101" s="451">
        <v>0</v>
      </c>
      <c r="EC101" s="451">
        <v>0</v>
      </c>
      <c r="ED101" s="451">
        <v>0</v>
      </c>
      <c r="EE101" s="451">
        <v>0</v>
      </c>
      <c r="EF101" s="451">
        <v>0</v>
      </c>
      <c r="EG101" s="451">
        <v>0</v>
      </c>
      <c r="EH101" s="451">
        <v>0</v>
      </c>
      <c r="EI101" s="451">
        <v>0</v>
      </c>
      <c r="EJ101" s="451">
        <v>0</v>
      </c>
      <c r="EK101" s="451">
        <v>0</v>
      </c>
      <c r="EL101" s="451">
        <v>0</v>
      </c>
      <c r="EM101" s="451">
        <v>0</v>
      </c>
    </row>
    <row r="102" spans="1:143" ht="12.75" x14ac:dyDescent="0.2">
      <c r="A102" s="446">
        <v>96</v>
      </c>
      <c r="B102" s="447" t="s">
        <v>75</v>
      </c>
      <c r="C102" s="448" t="s">
        <v>1093</v>
      </c>
      <c r="D102" s="449" t="s">
        <v>1097</v>
      </c>
      <c r="E102" s="450" t="s">
        <v>74</v>
      </c>
      <c r="F102" s="451">
        <v>230800.06</v>
      </c>
      <c r="G102" s="451">
        <v>0</v>
      </c>
      <c r="H102" s="451">
        <v>0</v>
      </c>
      <c r="I102" s="451">
        <v>230800.06</v>
      </c>
      <c r="J102" s="451">
        <v>-113891.86</v>
      </c>
      <c r="K102" s="451">
        <v>0</v>
      </c>
      <c r="L102" s="451">
        <v>0</v>
      </c>
      <c r="M102" s="451">
        <v>-113891.86</v>
      </c>
      <c r="N102" s="451">
        <v>51405.36</v>
      </c>
      <c r="O102" s="451">
        <v>0</v>
      </c>
      <c r="P102" s="451">
        <v>0</v>
      </c>
      <c r="Q102" s="451">
        <v>51405.36</v>
      </c>
      <c r="R102" s="451">
        <v>107445.73</v>
      </c>
      <c r="S102" s="451">
        <v>0</v>
      </c>
      <c r="T102" s="451">
        <v>0</v>
      </c>
      <c r="U102" s="451">
        <v>107445.73</v>
      </c>
      <c r="V102" s="451">
        <v>2231247.44</v>
      </c>
      <c r="W102" s="451">
        <v>0</v>
      </c>
      <c r="X102" s="451">
        <v>0</v>
      </c>
      <c r="Y102" s="451">
        <v>2231247.44</v>
      </c>
      <c r="Z102" s="451">
        <v>101102.79</v>
      </c>
      <c r="AA102" s="451">
        <v>0</v>
      </c>
      <c r="AB102" s="451">
        <v>0</v>
      </c>
      <c r="AC102" s="451">
        <v>101102.79</v>
      </c>
      <c r="AD102" s="451">
        <v>612056.92000000004</v>
      </c>
      <c r="AE102" s="451">
        <v>0</v>
      </c>
      <c r="AF102" s="451">
        <v>0</v>
      </c>
      <c r="AG102" s="451">
        <v>612056.92000000004</v>
      </c>
      <c r="AH102" s="451">
        <v>-28421.21</v>
      </c>
      <c r="AI102" s="451">
        <v>0</v>
      </c>
      <c r="AJ102" s="451">
        <v>0</v>
      </c>
      <c r="AK102" s="451">
        <v>-28421.21</v>
      </c>
      <c r="AL102" s="451">
        <v>2119105.34</v>
      </c>
      <c r="AM102" s="451">
        <v>0</v>
      </c>
      <c r="AN102" s="451">
        <v>0</v>
      </c>
      <c r="AO102" s="451">
        <v>2119105.34</v>
      </c>
      <c r="AP102" s="451">
        <v>-119423.25</v>
      </c>
      <c r="AQ102" s="451">
        <v>0</v>
      </c>
      <c r="AR102" s="451">
        <v>0</v>
      </c>
      <c r="AS102" s="451">
        <v>-119423.25</v>
      </c>
      <c r="AT102" s="451">
        <v>21419.79</v>
      </c>
      <c r="AU102" s="451">
        <v>0</v>
      </c>
      <c r="AV102" s="451">
        <v>0</v>
      </c>
      <c r="AW102" s="451">
        <v>21419.79</v>
      </c>
      <c r="AX102" s="451">
        <v>0</v>
      </c>
      <c r="AY102" s="451">
        <v>0</v>
      </c>
      <c r="AZ102" s="451">
        <v>0</v>
      </c>
      <c r="BA102" s="451">
        <v>0</v>
      </c>
      <c r="BB102" s="451">
        <v>8807.7000000000007</v>
      </c>
      <c r="BC102" s="451">
        <v>0</v>
      </c>
      <c r="BD102" s="451">
        <v>0</v>
      </c>
      <c r="BE102" s="451">
        <v>8807.7000000000007</v>
      </c>
      <c r="BF102" s="451">
        <v>0</v>
      </c>
      <c r="BG102" s="451">
        <v>0</v>
      </c>
      <c r="BH102" s="451">
        <v>0</v>
      </c>
      <c r="BI102" s="451">
        <v>0</v>
      </c>
      <c r="BJ102" s="451">
        <v>6825.76</v>
      </c>
      <c r="BK102" s="451">
        <v>0</v>
      </c>
      <c r="BL102" s="451">
        <v>0</v>
      </c>
      <c r="BM102" s="451">
        <v>6825.76</v>
      </c>
      <c r="BN102" s="451">
        <v>0</v>
      </c>
      <c r="BO102" s="451">
        <v>0</v>
      </c>
      <c r="BP102" s="451">
        <v>0</v>
      </c>
      <c r="BQ102" s="451">
        <v>0</v>
      </c>
      <c r="BR102" s="451">
        <v>1176962.5900000001</v>
      </c>
      <c r="BS102" s="451">
        <v>0</v>
      </c>
      <c r="BT102" s="451">
        <v>0</v>
      </c>
      <c r="BU102" s="451">
        <v>1176962.5900000001</v>
      </c>
      <c r="BV102" s="451">
        <v>108620.71</v>
      </c>
      <c r="BW102" s="451">
        <v>0</v>
      </c>
      <c r="BX102" s="451">
        <v>0</v>
      </c>
      <c r="BY102" s="451">
        <v>108620.71</v>
      </c>
      <c r="BZ102" s="451">
        <v>13436</v>
      </c>
      <c r="CA102" s="451">
        <v>0</v>
      </c>
      <c r="CB102" s="451">
        <v>0</v>
      </c>
      <c r="CC102" s="451">
        <v>13436</v>
      </c>
      <c r="CD102" s="451">
        <v>0</v>
      </c>
      <c r="CE102" s="451">
        <v>0</v>
      </c>
      <c r="CF102" s="451">
        <v>0</v>
      </c>
      <c r="CG102" s="451">
        <v>0</v>
      </c>
      <c r="CH102" s="451">
        <v>54785.440000000002</v>
      </c>
      <c r="CI102" s="451">
        <v>0</v>
      </c>
      <c r="CJ102" s="451">
        <v>0</v>
      </c>
      <c r="CK102" s="451">
        <v>54785.440000000002</v>
      </c>
      <c r="CL102" s="451">
        <v>0</v>
      </c>
      <c r="CM102" s="451">
        <v>0</v>
      </c>
      <c r="CN102" s="451">
        <v>0</v>
      </c>
      <c r="CO102" s="451">
        <v>0</v>
      </c>
      <c r="CP102" s="451">
        <v>0</v>
      </c>
      <c r="CQ102" s="451">
        <v>0</v>
      </c>
      <c r="CR102" s="451">
        <v>0</v>
      </c>
      <c r="CS102" s="451">
        <v>0</v>
      </c>
      <c r="CT102" s="451">
        <v>0</v>
      </c>
      <c r="CU102" s="451">
        <v>0</v>
      </c>
      <c r="CV102" s="451">
        <v>0</v>
      </c>
      <c r="CW102" s="451">
        <v>0</v>
      </c>
      <c r="CX102" s="451">
        <v>5284.62</v>
      </c>
      <c r="CY102" s="451">
        <v>0</v>
      </c>
      <c r="CZ102" s="451">
        <v>0</v>
      </c>
      <c r="DA102" s="451">
        <v>5284.62</v>
      </c>
      <c r="DB102" s="451">
        <v>0</v>
      </c>
      <c r="DC102" s="451">
        <v>0</v>
      </c>
      <c r="DD102" s="451">
        <v>0</v>
      </c>
      <c r="DE102" s="451">
        <v>0</v>
      </c>
      <c r="DF102" s="451">
        <v>11679</v>
      </c>
      <c r="DG102" s="451">
        <v>0</v>
      </c>
      <c r="DH102" s="451">
        <v>0</v>
      </c>
      <c r="DI102" s="451">
        <v>11679</v>
      </c>
      <c r="DJ102" s="451">
        <v>0</v>
      </c>
      <c r="DK102" s="451">
        <v>0</v>
      </c>
      <c r="DL102" s="451">
        <v>0</v>
      </c>
      <c r="DM102" s="451">
        <v>0</v>
      </c>
      <c r="DN102" s="451">
        <v>0</v>
      </c>
      <c r="DO102" s="451">
        <v>0</v>
      </c>
      <c r="DP102" s="451">
        <v>0</v>
      </c>
      <c r="DQ102" s="451">
        <v>0</v>
      </c>
      <c r="DR102" s="451">
        <v>0</v>
      </c>
      <c r="DS102" s="451">
        <v>0</v>
      </c>
      <c r="DT102" s="451">
        <v>0</v>
      </c>
      <c r="DU102" s="451">
        <v>0</v>
      </c>
      <c r="DV102" s="451">
        <v>0</v>
      </c>
      <c r="DW102" s="451">
        <v>0</v>
      </c>
      <c r="DX102" s="451">
        <v>2484.17</v>
      </c>
      <c r="DY102" s="451">
        <v>0</v>
      </c>
      <c r="DZ102" s="451">
        <v>0</v>
      </c>
      <c r="EA102" s="451">
        <v>2484.17</v>
      </c>
      <c r="EB102" s="451">
        <v>0</v>
      </c>
      <c r="EC102" s="451">
        <v>0</v>
      </c>
      <c r="ED102" s="451">
        <v>0</v>
      </c>
      <c r="EE102" s="451">
        <v>0</v>
      </c>
      <c r="EF102" s="451">
        <v>0</v>
      </c>
      <c r="EG102" s="451">
        <v>0</v>
      </c>
      <c r="EH102" s="451">
        <v>0</v>
      </c>
      <c r="EI102" s="451">
        <v>0</v>
      </c>
      <c r="EJ102" s="451">
        <v>0</v>
      </c>
      <c r="EK102" s="451">
        <v>0</v>
      </c>
      <c r="EL102" s="451">
        <v>0</v>
      </c>
      <c r="EM102" s="451">
        <v>0</v>
      </c>
    </row>
    <row r="103" spans="1:143" ht="12.75" x14ac:dyDescent="0.2">
      <c r="A103" s="446">
        <v>97</v>
      </c>
      <c r="B103" s="447" t="s">
        <v>77</v>
      </c>
      <c r="C103" s="448" t="s">
        <v>1093</v>
      </c>
      <c r="D103" s="449" t="s">
        <v>1094</v>
      </c>
      <c r="E103" s="450" t="s">
        <v>1112</v>
      </c>
      <c r="F103" s="451">
        <v>42753</v>
      </c>
      <c r="G103" s="451">
        <v>0</v>
      </c>
      <c r="H103" s="451">
        <v>0</v>
      </c>
      <c r="I103" s="451">
        <v>42753</v>
      </c>
      <c r="J103" s="451">
        <v>-43213</v>
      </c>
      <c r="K103" s="451">
        <v>0</v>
      </c>
      <c r="L103" s="451">
        <v>0</v>
      </c>
      <c r="M103" s="451">
        <v>-43213</v>
      </c>
      <c r="N103" s="451">
        <v>27972</v>
      </c>
      <c r="O103" s="451">
        <v>0</v>
      </c>
      <c r="P103" s="451">
        <v>0</v>
      </c>
      <c r="Q103" s="451">
        <v>27972</v>
      </c>
      <c r="R103" s="451">
        <v>147816</v>
      </c>
      <c r="S103" s="451">
        <v>0</v>
      </c>
      <c r="T103" s="451">
        <v>0</v>
      </c>
      <c r="U103" s="451">
        <v>147816</v>
      </c>
      <c r="V103" s="451">
        <v>956347</v>
      </c>
      <c r="W103" s="451">
        <v>0</v>
      </c>
      <c r="X103" s="451">
        <v>0</v>
      </c>
      <c r="Y103" s="451">
        <v>956347</v>
      </c>
      <c r="Z103" s="451">
        <v>10600</v>
      </c>
      <c r="AA103" s="451">
        <v>0</v>
      </c>
      <c r="AB103" s="451">
        <v>0</v>
      </c>
      <c r="AC103" s="451">
        <v>10600</v>
      </c>
      <c r="AD103" s="451">
        <v>477392</v>
      </c>
      <c r="AE103" s="451">
        <v>0</v>
      </c>
      <c r="AF103" s="451">
        <v>0</v>
      </c>
      <c r="AG103" s="451">
        <v>477392</v>
      </c>
      <c r="AH103" s="451">
        <v>-10309</v>
      </c>
      <c r="AI103" s="451">
        <v>0</v>
      </c>
      <c r="AJ103" s="451">
        <v>0</v>
      </c>
      <c r="AK103" s="451">
        <v>-10309</v>
      </c>
      <c r="AL103" s="451">
        <v>2538611</v>
      </c>
      <c r="AM103" s="451">
        <v>0</v>
      </c>
      <c r="AN103" s="451">
        <v>0</v>
      </c>
      <c r="AO103" s="451">
        <v>2538611</v>
      </c>
      <c r="AP103" s="451">
        <v>24002</v>
      </c>
      <c r="AQ103" s="451">
        <v>0</v>
      </c>
      <c r="AR103" s="451">
        <v>0</v>
      </c>
      <c r="AS103" s="451">
        <v>24002</v>
      </c>
      <c r="AT103" s="451">
        <v>47759</v>
      </c>
      <c r="AU103" s="451">
        <v>0</v>
      </c>
      <c r="AV103" s="451">
        <v>0</v>
      </c>
      <c r="AW103" s="451">
        <v>47759</v>
      </c>
      <c r="AX103" s="451">
        <v>0</v>
      </c>
      <c r="AY103" s="451">
        <v>0</v>
      </c>
      <c r="AZ103" s="451">
        <v>0</v>
      </c>
      <c r="BA103" s="451">
        <v>0</v>
      </c>
      <c r="BB103" s="451">
        <v>0</v>
      </c>
      <c r="BC103" s="451">
        <v>0</v>
      </c>
      <c r="BD103" s="451">
        <v>0</v>
      </c>
      <c r="BE103" s="451">
        <v>0</v>
      </c>
      <c r="BF103" s="451">
        <v>0</v>
      </c>
      <c r="BG103" s="451">
        <v>0</v>
      </c>
      <c r="BH103" s="451">
        <v>0</v>
      </c>
      <c r="BI103" s="451">
        <v>0</v>
      </c>
      <c r="BJ103" s="451">
        <v>2183</v>
      </c>
      <c r="BK103" s="451">
        <v>0</v>
      </c>
      <c r="BL103" s="451">
        <v>0</v>
      </c>
      <c r="BM103" s="451">
        <v>2183</v>
      </c>
      <c r="BN103" s="451">
        <v>0</v>
      </c>
      <c r="BO103" s="451">
        <v>0</v>
      </c>
      <c r="BP103" s="451">
        <v>0</v>
      </c>
      <c r="BQ103" s="451">
        <v>0</v>
      </c>
      <c r="BR103" s="451">
        <v>1033235</v>
      </c>
      <c r="BS103" s="451">
        <v>0</v>
      </c>
      <c r="BT103" s="451">
        <v>0</v>
      </c>
      <c r="BU103" s="451">
        <v>1033235</v>
      </c>
      <c r="BV103" s="451">
        <v>19792</v>
      </c>
      <c r="BW103" s="451">
        <v>0</v>
      </c>
      <c r="BX103" s="451">
        <v>0</v>
      </c>
      <c r="BY103" s="451">
        <v>19792</v>
      </c>
      <c r="BZ103" s="451">
        <v>71694</v>
      </c>
      <c r="CA103" s="451">
        <v>0</v>
      </c>
      <c r="CB103" s="451">
        <v>0</v>
      </c>
      <c r="CC103" s="451">
        <v>71694</v>
      </c>
      <c r="CD103" s="451">
        <v>0</v>
      </c>
      <c r="CE103" s="451">
        <v>0</v>
      </c>
      <c r="CF103" s="451">
        <v>0</v>
      </c>
      <c r="CG103" s="451">
        <v>0</v>
      </c>
      <c r="CH103" s="451">
        <v>563</v>
      </c>
      <c r="CI103" s="451">
        <v>0</v>
      </c>
      <c r="CJ103" s="451">
        <v>0</v>
      </c>
      <c r="CK103" s="451">
        <v>563</v>
      </c>
      <c r="CL103" s="451">
        <v>0</v>
      </c>
      <c r="CM103" s="451">
        <v>0</v>
      </c>
      <c r="CN103" s="451">
        <v>0</v>
      </c>
      <c r="CO103" s="451">
        <v>0</v>
      </c>
      <c r="CP103" s="451">
        <v>8375</v>
      </c>
      <c r="CQ103" s="451">
        <v>0</v>
      </c>
      <c r="CR103" s="451">
        <v>0</v>
      </c>
      <c r="CS103" s="451">
        <v>8375</v>
      </c>
      <c r="CT103" s="451">
        <v>0</v>
      </c>
      <c r="CU103" s="451">
        <v>0</v>
      </c>
      <c r="CV103" s="451">
        <v>0</v>
      </c>
      <c r="CW103" s="451">
        <v>0</v>
      </c>
      <c r="CX103" s="451">
        <v>0</v>
      </c>
      <c r="CY103" s="451">
        <v>0</v>
      </c>
      <c r="CZ103" s="451">
        <v>0</v>
      </c>
      <c r="DA103" s="451">
        <v>0</v>
      </c>
      <c r="DB103" s="451">
        <v>0</v>
      </c>
      <c r="DC103" s="451">
        <v>0</v>
      </c>
      <c r="DD103" s="451">
        <v>0</v>
      </c>
      <c r="DE103" s="451">
        <v>0</v>
      </c>
      <c r="DF103" s="451">
        <v>0</v>
      </c>
      <c r="DG103" s="451">
        <v>0</v>
      </c>
      <c r="DH103" s="451">
        <v>0</v>
      </c>
      <c r="DI103" s="451">
        <v>0</v>
      </c>
      <c r="DJ103" s="451">
        <v>0</v>
      </c>
      <c r="DK103" s="451">
        <v>0</v>
      </c>
      <c r="DL103" s="451">
        <v>0</v>
      </c>
      <c r="DM103" s="451">
        <v>0</v>
      </c>
      <c r="DN103" s="451">
        <v>0</v>
      </c>
      <c r="DO103" s="451">
        <v>0</v>
      </c>
      <c r="DP103" s="451">
        <v>0</v>
      </c>
      <c r="DQ103" s="451">
        <v>0</v>
      </c>
      <c r="DR103" s="451">
        <v>0</v>
      </c>
      <c r="DS103" s="451">
        <v>0</v>
      </c>
      <c r="DT103" s="451">
        <v>0</v>
      </c>
      <c r="DU103" s="451">
        <v>0</v>
      </c>
      <c r="DV103" s="451">
        <v>0</v>
      </c>
      <c r="DW103" s="451">
        <v>0</v>
      </c>
      <c r="DX103" s="451">
        <v>0</v>
      </c>
      <c r="DY103" s="451">
        <v>0</v>
      </c>
      <c r="DZ103" s="451">
        <v>0</v>
      </c>
      <c r="EA103" s="451">
        <v>0</v>
      </c>
      <c r="EB103" s="451">
        <v>0</v>
      </c>
      <c r="EC103" s="451">
        <v>0</v>
      </c>
      <c r="ED103" s="451">
        <v>0</v>
      </c>
      <c r="EE103" s="451">
        <v>0</v>
      </c>
      <c r="EF103" s="451">
        <v>0</v>
      </c>
      <c r="EG103" s="451">
        <v>0</v>
      </c>
      <c r="EH103" s="451">
        <v>0</v>
      </c>
      <c r="EI103" s="451">
        <v>0</v>
      </c>
      <c r="EJ103" s="451">
        <v>0</v>
      </c>
      <c r="EK103" s="451">
        <v>0</v>
      </c>
      <c r="EL103" s="451">
        <v>0</v>
      </c>
      <c r="EM103" s="451">
        <v>0</v>
      </c>
    </row>
    <row r="104" spans="1:143" ht="12.75" x14ac:dyDescent="0.2">
      <c r="A104" s="446">
        <v>98</v>
      </c>
      <c r="B104" s="447" t="s">
        <v>79</v>
      </c>
      <c r="C104" s="448" t="s">
        <v>1093</v>
      </c>
      <c r="D104" s="449" t="s">
        <v>1096</v>
      </c>
      <c r="E104" s="450" t="s">
        <v>78</v>
      </c>
      <c r="F104" s="451">
        <v>46441</v>
      </c>
      <c r="G104" s="451">
        <v>0</v>
      </c>
      <c r="H104" s="451">
        <v>0</v>
      </c>
      <c r="I104" s="451">
        <v>46441</v>
      </c>
      <c r="J104" s="451">
        <v>-817</v>
      </c>
      <c r="K104" s="451">
        <v>0</v>
      </c>
      <c r="L104" s="451">
        <v>0</v>
      </c>
      <c r="M104" s="451">
        <v>-817</v>
      </c>
      <c r="N104" s="451">
        <v>64152</v>
      </c>
      <c r="O104" s="451">
        <v>0</v>
      </c>
      <c r="P104" s="451">
        <v>0</v>
      </c>
      <c r="Q104" s="451">
        <v>64152</v>
      </c>
      <c r="R104" s="451">
        <v>-65524</v>
      </c>
      <c r="S104" s="451">
        <v>0</v>
      </c>
      <c r="T104" s="451">
        <v>0</v>
      </c>
      <c r="U104" s="451">
        <v>-65524</v>
      </c>
      <c r="V104" s="451">
        <v>2324851.33</v>
      </c>
      <c r="W104" s="451">
        <v>0</v>
      </c>
      <c r="X104" s="451">
        <v>0</v>
      </c>
      <c r="Y104" s="451">
        <v>2324851.33</v>
      </c>
      <c r="Z104" s="451">
        <v>90835.23</v>
      </c>
      <c r="AA104" s="451">
        <v>0</v>
      </c>
      <c r="AB104" s="451">
        <v>0</v>
      </c>
      <c r="AC104" s="451">
        <v>90835.23</v>
      </c>
      <c r="AD104" s="451">
        <v>439130.35</v>
      </c>
      <c r="AE104" s="451">
        <v>0</v>
      </c>
      <c r="AF104" s="451">
        <v>0</v>
      </c>
      <c r="AG104" s="451">
        <v>439130.35</v>
      </c>
      <c r="AH104" s="451">
        <v>-9652.65</v>
      </c>
      <c r="AI104" s="451">
        <v>0</v>
      </c>
      <c r="AJ104" s="451">
        <v>0</v>
      </c>
      <c r="AK104" s="451">
        <v>-9652.65</v>
      </c>
      <c r="AL104" s="451">
        <v>1539184.63</v>
      </c>
      <c r="AM104" s="451">
        <v>0</v>
      </c>
      <c r="AN104" s="451">
        <v>0</v>
      </c>
      <c r="AO104" s="451">
        <v>1539184.63</v>
      </c>
      <c r="AP104" s="451">
        <v>-9684.0499999999993</v>
      </c>
      <c r="AQ104" s="451">
        <v>0</v>
      </c>
      <c r="AR104" s="451">
        <v>0</v>
      </c>
      <c r="AS104" s="451">
        <v>-9684.0499999999993</v>
      </c>
      <c r="AT104" s="451">
        <v>81417.36</v>
      </c>
      <c r="AU104" s="451">
        <v>0</v>
      </c>
      <c r="AV104" s="451">
        <v>0</v>
      </c>
      <c r="AW104" s="451">
        <v>81417.36</v>
      </c>
      <c r="AX104" s="451">
        <v>0</v>
      </c>
      <c r="AY104" s="451">
        <v>0</v>
      </c>
      <c r="AZ104" s="451">
        <v>0</v>
      </c>
      <c r="BA104" s="451">
        <v>0</v>
      </c>
      <c r="BB104" s="451">
        <v>1518.98</v>
      </c>
      <c r="BC104" s="451">
        <v>0</v>
      </c>
      <c r="BD104" s="451">
        <v>0</v>
      </c>
      <c r="BE104" s="451">
        <v>1518.98</v>
      </c>
      <c r="BF104" s="451">
        <v>0</v>
      </c>
      <c r="BG104" s="451">
        <v>0</v>
      </c>
      <c r="BH104" s="451">
        <v>0</v>
      </c>
      <c r="BI104" s="451">
        <v>0</v>
      </c>
      <c r="BJ104" s="451">
        <v>1604.73</v>
      </c>
      <c r="BK104" s="451">
        <v>0</v>
      </c>
      <c r="BL104" s="451">
        <v>0</v>
      </c>
      <c r="BM104" s="451">
        <v>1604.73</v>
      </c>
      <c r="BN104" s="451">
        <v>-190.9</v>
      </c>
      <c r="BO104" s="451">
        <v>0</v>
      </c>
      <c r="BP104" s="451">
        <v>0</v>
      </c>
      <c r="BQ104" s="451">
        <v>-190.9</v>
      </c>
      <c r="BR104" s="451">
        <v>771748.45</v>
      </c>
      <c r="BS104" s="451">
        <v>0</v>
      </c>
      <c r="BT104" s="451">
        <v>0</v>
      </c>
      <c r="BU104" s="451">
        <v>771748.45</v>
      </c>
      <c r="BV104" s="451">
        <v>54003.91</v>
      </c>
      <c r="BW104" s="451">
        <v>0</v>
      </c>
      <c r="BX104" s="451">
        <v>0</v>
      </c>
      <c r="BY104" s="451">
        <v>54003.91</v>
      </c>
      <c r="BZ104" s="451">
        <v>20062.310000000001</v>
      </c>
      <c r="CA104" s="451">
        <v>0</v>
      </c>
      <c r="CB104" s="451">
        <v>0</v>
      </c>
      <c r="CC104" s="451">
        <v>20062.310000000001</v>
      </c>
      <c r="CD104" s="451">
        <v>-974.39</v>
      </c>
      <c r="CE104" s="451">
        <v>0</v>
      </c>
      <c r="CF104" s="451">
        <v>0</v>
      </c>
      <c r="CG104" s="451">
        <v>-974.39</v>
      </c>
      <c r="CH104" s="451">
        <v>74152.33</v>
      </c>
      <c r="CI104" s="451">
        <v>0</v>
      </c>
      <c r="CJ104" s="451">
        <v>0</v>
      </c>
      <c r="CK104" s="451">
        <v>74152.33</v>
      </c>
      <c r="CL104" s="451">
        <v>-8945.24</v>
      </c>
      <c r="CM104" s="451">
        <v>0</v>
      </c>
      <c r="CN104" s="451">
        <v>0</v>
      </c>
      <c r="CO104" s="451">
        <v>-8945.24</v>
      </c>
      <c r="CP104" s="451">
        <v>0</v>
      </c>
      <c r="CQ104" s="451">
        <v>0</v>
      </c>
      <c r="CR104" s="451">
        <v>0</v>
      </c>
      <c r="CS104" s="451">
        <v>0</v>
      </c>
      <c r="CT104" s="451">
        <v>0</v>
      </c>
      <c r="CU104" s="451">
        <v>0</v>
      </c>
      <c r="CV104" s="451">
        <v>0</v>
      </c>
      <c r="CW104" s="451">
        <v>0</v>
      </c>
      <c r="CX104" s="451">
        <v>1165.72</v>
      </c>
      <c r="CY104" s="451">
        <v>0</v>
      </c>
      <c r="CZ104" s="451">
        <v>0</v>
      </c>
      <c r="DA104" s="451">
        <v>1165.72</v>
      </c>
      <c r="DB104" s="451">
        <v>-15.04</v>
      </c>
      <c r="DC104" s="451">
        <v>0</v>
      </c>
      <c r="DD104" s="451">
        <v>0</v>
      </c>
      <c r="DE104" s="451">
        <v>-15.04</v>
      </c>
      <c r="DF104" s="451">
        <v>0</v>
      </c>
      <c r="DG104" s="451">
        <v>0</v>
      </c>
      <c r="DH104" s="451">
        <v>0</v>
      </c>
      <c r="DI104" s="451">
        <v>0</v>
      </c>
      <c r="DJ104" s="451">
        <v>0</v>
      </c>
      <c r="DK104" s="451">
        <v>0</v>
      </c>
      <c r="DL104" s="451">
        <v>0</v>
      </c>
      <c r="DM104" s="451">
        <v>0</v>
      </c>
      <c r="DN104" s="451">
        <v>0</v>
      </c>
      <c r="DO104" s="451">
        <v>0</v>
      </c>
      <c r="DP104" s="451">
        <v>0</v>
      </c>
      <c r="DQ104" s="451">
        <v>0</v>
      </c>
      <c r="DR104" s="451">
        <v>0</v>
      </c>
      <c r="DS104" s="451">
        <v>0</v>
      </c>
      <c r="DT104" s="451">
        <v>0</v>
      </c>
      <c r="DU104" s="451">
        <v>0</v>
      </c>
      <c r="DV104" s="451">
        <v>0</v>
      </c>
      <c r="DW104" s="451">
        <v>0</v>
      </c>
      <c r="DX104" s="451">
        <v>0</v>
      </c>
      <c r="DY104" s="451">
        <v>0</v>
      </c>
      <c r="DZ104" s="451">
        <v>0</v>
      </c>
      <c r="EA104" s="451">
        <v>0</v>
      </c>
      <c r="EB104" s="451">
        <v>0</v>
      </c>
      <c r="EC104" s="451">
        <v>0</v>
      </c>
      <c r="ED104" s="451">
        <v>0</v>
      </c>
      <c r="EE104" s="451">
        <v>0</v>
      </c>
      <c r="EF104" s="451">
        <v>0</v>
      </c>
      <c r="EG104" s="451">
        <v>0</v>
      </c>
      <c r="EH104" s="451">
        <v>0</v>
      </c>
      <c r="EI104" s="451">
        <v>0</v>
      </c>
      <c r="EJ104" s="451">
        <v>0</v>
      </c>
      <c r="EK104" s="451">
        <v>0</v>
      </c>
      <c r="EL104" s="451">
        <v>0</v>
      </c>
      <c r="EM104" s="451">
        <v>0</v>
      </c>
    </row>
    <row r="105" spans="1:143" ht="12.75" x14ac:dyDescent="0.2">
      <c r="A105" s="446">
        <v>99</v>
      </c>
      <c r="B105" s="447" t="s">
        <v>81</v>
      </c>
      <c r="C105" s="448" t="s">
        <v>1093</v>
      </c>
      <c r="D105" s="449" t="s">
        <v>1102</v>
      </c>
      <c r="E105" s="450" t="s">
        <v>80</v>
      </c>
      <c r="F105" s="451">
        <v>200361.03</v>
      </c>
      <c r="G105" s="451">
        <v>0</v>
      </c>
      <c r="H105" s="451">
        <v>0</v>
      </c>
      <c r="I105" s="451">
        <v>200361.03</v>
      </c>
      <c r="J105" s="451">
        <v>-180092.6</v>
      </c>
      <c r="K105" s="451">
        <v>0</v>
      </c>
      <c r="L105" s="451">
        <v>0</v>
      </c>
      <c r="M105" s="451">
        <v>-180092.6</v>
      </c>
      <c r="N105" s="451">
        <v>24943.55</v>
      </c>
      <c r="O105" s="451">
        <v>0</v>
      </c>
      <c r="P105" s="451">
        <v>0</v>
      </c>
      <c r="Q105" s="451">
        <v>24943.55</v>
      </c>
      <c r="R105" s="451">
        <v>91869.78</v>
      </c>
      <c r="S105" s="451">
        <v>0</v>
      </c>
      <c r="T105" s="451">
        <v>0</v>
      </c>
      <c r="U105" s="451">
        <v>91869.78</v>
      </c>
      <c r="V105" s="451">
        <v>1961775.54</v>
      </c>
      <c r="W105" s="451">
        <v>0</v>
      </c>
      <c r="X105" s="451">
        <v>0</v>
      </c>
      <c r="Y105" s="451">
        <v>1961775.54</v>
      </c>
      <c r="Z105" s="451">
        <v>144638.17000000001</v>
      </c>
      <c r="AA105" s="451">
        <v>0</v>
      </c>
      <c r="AB105" s="451">
        <v>0</v>
      </c>
      <c r="AC105" s="451">
        <v>144638.17000000001</v>
      </c>
      <c r="AD105" s="451">
        <v>1532187</v>
      </c>
      <c r="AE105" s="451">
        <v>0</v>
      </c>
      <c r="AF105" s="451">
        <v>0</v>
      </c>
      <c r="AG105" s="451">
        <v>1532187</v>
      </c>
      <c r="AH105" s="451">
        <v>-28565</v>
      </c>
      <c r="AI105" s="451">
        <v>0</v>
      </c>
      <c r="AJ105" s="451">
        <v>0</v>
      </c>
      <c r="AK105" s="451">
        <v>-28565</v>
      </c>
      <c r="AL105" s="451">
        <v>4997666</v>
      </c>
      <c r="AM105" s="451">
        <v>0</v>
      </c>
      <c r="AN105" s="451">
        <v>0</v>
      </c>
      <c r="AO105" s="451">
        <v>4997666</v>
      </c>
      <c r="AP105" s="451">
        <v>-20687.169999999998</v>
      </c>
      <c r="AQ105" s="451">
        <v>0</v>
      </c>
      <c r="AR105" s="451">
        <v>0</v>
      </c>
      <c r="AS105" s="451">
        <v>-20687.169999999998</v>
      </c>
      <c r="AT105" s="451">
        <v>32585</v>
      </c>
      <c r="AU105" s="451">
        <v>0</v>
      </c>
      <c r="AV105" s="451">
        <v>0</v>
      </c>
      <c r="AW105" s="451">
        <v>32585</v>
      </c>
      <c r="AX105" s="451">
        <v>0</v>
      </c>
      <c r="AY105" s="451">
        <v>0</v>
      </c>
      <c r="AZ105" s="451">
        <v>0</v>
      </c>
      <c r="BA105" s="451">
        <v>0</v>
      </c>
      <c r="BB105" s="451">
        <v>0</v>
      </c>
      <c r="BC105" s="451">
        <v>0</v>
      </c>
      <c r="BD105" s="451">
        <v>0</v>
      </c>
      <c r="BE105" s="451">
        <v>0</v>
      </c>
      <c r="BF105" s="451">
        <v>0</v>
      </c>
      <c r="BG105" s="451">
        <v>0</v>
      </c>
      <c r="BH105" s="451">
        <v>0</v>
      </c>
      <c r="BI105" s="451">
        <v>0</v>
      </c>
      <c r="BJ105" s="451">
        <v>41379.5</v>
      </c>
      <c r="BK105" s="451">
        <v>0</v>
      </c>
      <c r="BL105" s="451">
        <v>0</v>
      </c>
      <c r="BM105" s="451">
        <v>41379.5</v>
      </c>
      <c r="BN105" s="451">
        <v>13138.47</v>
      </c>
      <c r="BO105" s="451">
        <v>0</v>
      </c>
      <c r="BP105" s="451">
        <v>0</v>
      </c>
      <c r="BQ105" s="451">
        <v>13138.47</v>
      </c>
      <c r="BR105" s="451">
        <v>2852306.75</v>
      </c>
      <c r="BS105" s="451">
        <v>0</v>
      </c>
      <c r="BT105" s="451">
        <v>0</v>
      </c>
      <c r="BU105" s="451">
        <v>2852306.75</v>
      </c>
      <c r="BV105" s="451">
        <v>68281.81</v>
      </c>
      <c r="BW105" s="451">
        <v>0</v>
      </c>
      <c r="BX105" s="451">
        <v>0</v>
      </c>
      <c r="BY105" s="451">
        <v>68281.81</v>
      </c>
      <c r="BZ105" s="451">
        <v>150799</v>
      </c>
      <c r="CA105" s="451">
        <v>0</v>
      </c>
      <c r="CB105" s="451">
        <v>0</v>
      </c>
      <c r="CC105" s="451">
        <v>150799</v>
      </c>
      <c r="CD105" s="451">
        <v>-970.69</v>
      </c>
      <c r="CE105" s="451">
        <v>0</v>
      </c>
      <c r="CF105" s="451">
        <v>0</v>
      </c>
      <c r="CG105" s="451">
        <v>-970.69</v>
      </c>
      <c r="CH105" s="451">
        <v>358897.5</v>
      </c>
      <c r="CI105" s="451">
        <v>0</v>
      </c>
      <c r="CJ105" s="451">
        <v>0</v>
      </c>
      <c r="CK105" s="451">
        <v>358897.5</v>
      </c>
      <c r="CL105" s="451">
        <v>0</v>
      </c>
      <c r="CM105" s="451">
        <v>0</v>
      </c>
      <c r="CN105" s="451">
        <v>0</v>
      </c>
      <c r="CO105" s="451">
        <v>0</v>
      </c>
      <c r="CP105" s="451">
        <v>2861</v>
      </c>
      <c r="CQ105" s="451">
        <v>0</v>
      </c>
      <c r="CR105" s="451">
        <v>0</v>
      </c>
      <c r="CS105" s="451">
        <v>2861</v>
      </c>
      <c r="CT105" s="451">
        <v>0</v>
      </c>
      <c r="CU105" s="451">
        <v>0</v>
      </c>
      <c r="CV105" s="451">
        <v>0</v>
      </c>
      <c r="CW105" s="451">
        <v>0</v>
      </c>
      <c r="CX105" s="451">
        <v>0</v>
      </c>
      <c r="CY105" s="451">
        <v>0</v>
      </c>
      <c r="CZ105" s="451">
        <v>0</v>
      </c>
      <c r="DA105" s="451">
        <v>0</v>
      </c>
      <c r="DB105" s="451">
        <v>0</v>
      </c>
      <c r="DC105" s="451">
        <v>0</v>
      </c>
      <c r="DD105" s="451">
        <v>0</v>
      </c>
      <c r="DE105" s="451">
        <v>0</v>
      </c>
      <c r="DF105" s="451">
        <v>0</v>
      </c>
      <c r="DG105" s="451">
        <v>0</v>
      </c>
      <c r="DH105" s="451">
        <v>0</v>
      </c>
      <c r="DI105" s="451">
        <v>0</v>
      </c>
      <c r="DJ105" s="451">
        <v>0</v>
      </c>
      <c r="DK105" s="451">
        <v>0</v>
      </c>
      <c r="DL105" s="451">
        <v>0</v>
      </c>
      <c r="DM105" s="451">
        <v>0</v>
      </c>
      <c r="DN105" s="451">
        <v>0</v>
      </c>
      <c r="DO105" s="451">
        <v>0</v>
      </c>
      <c r="DP105" s="451">
        <v>0</v>
      </c>
      <c r="DQ105" s="451">
        <v>0</v>
      </c>
      <c r="DR105" s="451">
        <v>0</v>
      </c>
      <c r="DS105" s="451">
        <v>0</v>
      </c>
      <c r="DT105" s="451">
        <v>0</v>
      </c>
      <c r="DU105" s="451">
        <v>0</v>
      </c>
      <c r="DV105" s="451">
        <v>0</v>
      </c>
      <c r="DW105" s="451">
        <v>0</v>
      </c>
      <c r="DX105" s="451">
        <v>1463.33</v>
      </c>
      <c r="DY105" s="451">
        <v>0</v>
      </c>
      <c r="DZ105" s="451">
        <v>0</v>
      </c>
      <c r="EA105" s="451">
        <v>1463.33</v>
      </c>
      <c r="EB105" s="451">
        <v>0</v>
      </c>
      <c r="EC105" s="451">
        <v>0</v>
      </c>
      <c r="ED105" s="451">
        <v>0</v>
      </c>
      <c r="EE105" s="451">
        <v>0</v>
      </c>
      <c r="EF105" s="451">
        <v>2661.15</v>
      </c>
      <c r="EG105" s="451">
        <v>0</v>
      </c>
      <c r="EH105" s="451">
        <v>0</v>
      </c>
      <c r="EI105" s="451">
        <v>2661.15</v>
      </c>
      <c r="EJ105" s="451">
        <v>0</v>
      </c>
      <c r="EK105" s="451">
        <v>0</v>
      </c>
      <c r="EL105" s="451">
        <v>0</v>
      </c>
      <c r="EM105" s="451">
        <v>0</v>
      </c>
    </row>
    <row r="106" spans="1:143" ht="12.75" x14ac:dyDescent="0.2">
      <c r="A106" s="446">
        <v>100</v>
      </c>
      <c r="B106" s="447" t="s">
        <v>83</v>
      </c>
      <c r="C106" s="448" t="s">
        <v>1093</v>
      </c>
      <c r="D106" s="449" t="s">
        <v>1094</v>
      </c>
      <c r="E106" s="450" t="s">
        <v>82</v>
      </c>
      <c r="F106" s="451">
        <v>66924.800000000003</v>
      </c>
      <c r="G106" s="451">
        <v>0</v>
      </c>
      <c r="H106" s="451">
        <v>22840.639999999999</v>
      </c>
      <c r="I106" s="451">
        <v>89765.440000000002</v>
      </c>
      <c r="J106" s="451">
        <v>-119158.89</v>
      </c>
      <c r="K106" s="451">
        <v>0</v>
      </c>
      <c r="L106" s="451">
        <v>0</v>
      </c>
      <c r="M106" s="451">
        <v>-119158.89</v>
      </c>
      <c r="N106" s="451">
        <v>18149.87</v>
      </c>
      <c r="O106" s="451">
        <v>0</v>
      </c>
      <c r="P106" s="451">
        <v>0</v>
      </c>
      <c r="Q106" s="451">
        <v>18149.87</v>
      </c>
      <c r="R106" s="451">
        <v>349835.87</v>
      </c>
      <c r="S106" s="451">
        <v>0</v>
      </c>
      <c r="T106" s="451">
        <v>0</v>
      </c>
      <c r="U106" s="451">
        <v>349835.87</v>
      </c>
      <c r="V106" s="451">
        <v>1517481.01</v>
      </c>
      <c r="W106" s="451">
        <v>0</v>
      </c>
      <c r="X106" s="451">
        <v>0</v>
      </c>
      <c r="Y106" s="451">
        <v>1517481.01</v>
      </c>
      <c r="Z106" s="451">
        <v>18093.810000000001</v>
      </c>
      <c r="AA106" s="451">
        <v>0</v>
      </c>
      <c r="AB106" s="451">
        <v>0</v>
      </c>
      <c r="AC106" s="451">
        <v>18093.810000000001</v>
      </c>
      <c r="AD106" s="451">
        <v>862845.5</v>
      </c>
      <c r="AE106" s="451">
        <v>0</v>
      </c>
      <c r="AF106" s="451">
        <v>3831.3</v>
      </c>
      <c r="AG106" s="451">
        <v>866676.8</v>
      </c>
      <c r="AH106" s="451">
        <v>192.39</v>
      </c>
      <c r="AI106" s="451">
        <v>0</v>
      </c>
      <c r="AJ106" s="451">
        <v>0</v>
      </c>
      <c r="AK106" s="451">
        <v>192.39</v>
      </c>
      <c r="AL106" s="451">
        <v>2854589.45</v>
      </c>
      <c r="AM106" s="451">
        <v>0</v>
      </c>
      <c r="AN106" s="451">
        <v>19009.34</v>
      </c>
      <c r="AO106" s="451">
        <v>2873598.79</v>
      </c>
      <c r="AP106" s="451">
        <v>-65807.34</v>
      </c>
      <c r="AQ106" s="451">
        <v>0</v>
      </c>
      <c r="AR106" s="451">
        <v>0</v>
      </c>
      <c r="AS106" s="451">
        <v>-65807.34</v>
      </c>
      <c r="AT106" s="451">
        <v>0</v>
      </c>
      <c r="AU106" s="451">
        <v>0</v>
      </c>
      <c r="AV106" s="451">
        <v>0</v>
      </c>
      <c r="AW106" s="451">
        <v>0</v>
      </c>
      <c r="AX106" s="451">
        <v>0</v>
      </c>
      <c r="AY106" s="451">
        <v>0</v>
      </c>
      <c r="AZ106" s="451">
        <v>0</v>
      </c>
      <c r="BA106" s="451">
        <v>0</v>
      </c>
      <c r="BB106" s="451">
        <v>0</v>
      </c>
      <c r="BC106" s="451">
        <v>0</v>
      </c>
      <c r="BD106" s="451">
        <v>0</v>
      </c>
      <c r="BE106" s="451">
        <v>0</v>
      </c>
      <c r="BF106" s="451">
        <v>0</v>
      </c>
      <c r="BG106" s="451">
        <v>0</v>
      </c>
      <c r="BH106" s="451">
        <v>0</v>
      </c>
      <c r="BI106" s="451">
        <v>0</v>
      </c>
      <c r="BJ106" s="451">
        <v>102005.57</v>
      </c>
      <c r="BK106" s="451">
        <v>0</v>
      </c>
      <c r="BL106" s="451">
        <v>0</v>
      </c>
      <c r="BM106" s="451">
        <v>102005.57</v>
      </c>
      <c r="BN106" s="451">
        <v>-3614.13</v>
      </c>
      <c r="BO106" s="451">
        <v>0</v>
      </c>
      <c r="BP106" s="451">
        <v>0</v>
      </c>
      <c r="BQ106" s="451">
        <v>-3614.13</v>
      </c>
      <c r="BR106" s="451">
        <v>1396173.39</v>
      </c>
      <c r="BS106" s="451">
        <v>0</v>
      </c>
      <c r="BT106" s="451">
        <v>0</v>
      </c>
      <c r="BU106" s="451">
        <v>1396173.39</v>
      </c>
      <c r="BV106" s="451">
        <v>16122.41</v>
      </c>
      <c r="BW106" s="451">
        <v>0</v>
      </c>
      <c r="BX106" s="451">
        <v>0</v>
      </c>
      <c r="BY106" s="451">
        <v>16122.41</v>
      </c>
      <c r="BZ106" s="451">
        <v>137293.32999999999</v>
      </c>
      <c r="CA106" s="451">
        <v>0</v>
      </c>
      <c r="CB106" s="451">
        <v>7922.22</v>
      </c>
      <c r="CC106" s="451">
        <v>145215.54999999999</v>
      </c>
      <c r="CD106" s="451">
        <v>-8707.86</v>
      </c>
      <c r="CE106" s="451">
        <v>0</v>
      </c>
      <c r="CF106" s="451">
        <v>0</v>
      </c>
      <c r="CG106" s="451">
        <v>-8707.86</v>
      </c>
      <c r="CH106" s="451">
        <v>311771.95</v>
      </c>
      <c r="CI106" s="451">
        <v>0</v>
      </c>
      <c r="CJ106" s="451">
        <v>17556</v>
      </c>
      <c r="CK106" s="451">
        <v>329327.95</v>
      </c>
      <c r="CL106" s="451">
        <v>21357.37</v>
      </c>
      <c r="CM106" s="451">
        <v>0</v>
      </c>
      <c r="CN106" s="451">
        <v>0</v>
      </c>
      <c r="CO106" s="451">
        <v>21357.37</v>
      </c>
      <c r="CP106" s="451">
        <v>0</v>
      </c>
      <c r="CQ106" s="451">
        <v>0</v>
      </c>
      <c r="CR106" s="451">
        <v>0</v>
      </c>
      <c r="CS106" s="451">
        <v>0</v>
      </c>
      <c r="CT106" s="451">
        <v>0</v>
      </c>
      <c r="CU106" s="451">
        <v>0</v>
      </c>
      <c r="CV106" s="451">
        <v>0</v>
      </c>
      <c r="CW106" s="451">
        <v>0</v>
      </c>
      <c r="CX106" s="451">
        <v>0</v>
      </c>
      <c r="CY106" s="451">
        <v>0</v>
      </c>
      <c r="CZ106" s="451">
        <v>0</v>
      </c>
      <c r="DA106" s="451">
        <v>0</v>
      </c>
      <c r="DB106" s="451">
        <v>0</v>
      </c>
      <c r="DC106" s="451">
        <v>0</v>
      </c>
      <c r="DD106" s="451">
        <v>0</v>
      </c>
      <c r="DE106" s="451">
        <v>0</v>
      </c>
      <c r="DF106" s="451">
        <v>0</v>
      </c>
      <c r="DG106" s="451">
        <v>0</v>
      </c>
      <c r="DH106" s="451">
        <v>0</v>
      </c>
      <c r="DI106" s="451">
        <v>0</v>
      </c>
      <c r="DJ106" s="451">
        <v>0</v>
      </c>
      <c r="DK106" s="451">
        <v>0</v>
      </c>
      <c r="DL106" s="451">
        <v>0</v>
      </c>
      <c r="DM106" s="451">
        <v>0</v>
      </c>
      <c r="DN106" s="451">
        <v>0</v>
      </c>
      <c r="DO106" s="451">
        <v>0</v>
      </c>
      <c r="DP106" s="451">
        <v>86292.83</v>
      </c>
      <c r="DQ106" s="451">
        <v>86292.83</v>
      </c>
      <c r="DR106" s="451">
        <v>0</v>
      </c>
      <c r="DS106" s="451">
        <v>0</v>
      </c>
      <c r="DT106" s="451">
        <v>0</v>
      </c>
      <c r="DU106" s="451">
        <v>0</v>
      </c>
      <c r="DV106" s="451">
        <v>86292.83</v>
      </c>
      <c r="DW106" s="451">
        <v>0</v>
      </c>
      <c r="DX106" s="451">
        <v>0</v>
      </c>
      <c r="DY106" s="451">
        <v>0</v>
      </c>
      <c r="DZ106" s="451">
        <v>0</v>
      </c>
      <c r="EA106" s="451">
        <v>0</v>
      </c>
      <c r="EB106" s="451">
        <v>0</v>
      </c>
      <c r="EC106" s="451">
        <v>0</v>
      </c>
      <c r="ED106" s="451">
        <v>0</v>
      </c>
      <c r="EE106" s="451">
        <v>0</v>
      </c>
      <c r="EF106" s="451">
        <v>0</v>
      </c>
      <c r="EG106" s="451">
        <v>0</v>
      </c>
      <c r="EH106" s="451">
        <v>0</v>
      </c>
      <c r="EI106" s="451">
        <v>0</v>
      </c>
      <c r="EJ106" s="451">
        <v>0</v>
      </c>
      <c r="EK106" s="451">
        <v>0</v>
      </c>
      <c r="EL106" s="451">
        <v>0</v>
      </c>
      <c r="EM106" s="451">
        <v>0</v>
      </c>
    </row>
    <row r="107" spans="1:143" ht="12.75" x14ac:dyDescent="0.2">
      <c r="A107" s="446">
        <v>101</v>
      </c>
      <c r="B107" s="447" t="s">
        <v>85</v>
      </c>
      <c r="C107" s="448" t="s">
        <v>1093</v>
      </c>
      <c r="D107" s="449" t="s">
        <v>1097</v>
      </c>
      <c r="E107" s="450" t="s">
        <v>84</v>
      </c>
      <c r="F107" s="451">
        <v>401440</v>
      </c>
      <c r="G107" s="451">
        <v>0</v>
      </c>
      <c r="H107" s="451">
        <v>0</v>
      </c>
      <c r="I107" s="451">
        <v>401440</v>
      </c>
      <c r="J107" s="451">
        <v>-91504</v>
      </c>
      <c r="K107" s="451">
        <v>0</v>
      </c>
      <c r="L107" s="451">
        <v>0</v>
      </c>
      <c r="M107" s="451">
        <v>-91504</v>
      </c>
      <c r="N107" s="451">
        <v>0</v>
      </c>
      <c r="O107" s="451">
        <v>0</v>
      </c>
      <c r="P107" s="451">
        <v>0</v>
      </c>
      <c r="Q107" s="451">
        <v>0</v>
      </c>
      <c r="R107" s="451">
        <v>1932</v>
      </c>
      <c r="S107" s="451">
        <v>0</v>
      </c>
      <c r="T107" s="451">
        <v>0</v>
      </c>
      <c r="U107" s="451">
        <v>1932</v>
      </c>
      <c r="V107" s="451">
        <v>2080173</v>
      </c>
      <c r="W107" s="451">
        <v>0</v>
      </c>
      <c r="X107" s="451">
        <v>0</v>
      </c>
      <c r="Y107" s="451">
        <v>2080173</v>
      </c>
      <c r="Z107" s="451">
        <v>64795</v>
      </c>
      <c r="AA107" s="451">
        <v>0</v>
      </c>
      <c r="AB107" s="451">
        <v>0</v>
      </c>
      <c r="AC107" s="451">
        <v>64795</v>
      </c>
      <c r="AD107" s="451">
        <v>495806</v>
      </c>
      <c r="AE107" s="451">
        <v>0</v>
      </c>
      <c r="AF107" s="451">
        <v>0</v>
      </c>
      <c r="AG107" s="451">
        <v>495806</v>
      </c>
      <c r="AH107" s="451">
        <v>-2676</v>
      </c>
      <c r="AI107" s="451">
        <v>0</v>
      </c>
      <c r="AJ107" s="451">
        <v>0</v>
      </c>
      <c r="AK107" s="451">
        <v>-2676</v>
      </c>
      <c r="AL107" s="451">
        <v>1719473</v>
      </c>
      <c r="AM107" s="451">
        <v>0</v>
      </c>
      <c r="AN107" s="451">
        <v>0</v>
      </c>
      <c r="AO107" s="451">
        <v>1719473</v>
      </c>
      <c r="AP107" s="451">
        <v>-10066</v>
      </c>
      <c r="AQ107" s="451">
        <v>0</v>
      </c>
      <c r="AR107" s="451">
        <v>0</v>
      </c>
      <c r="AS107" s="451">
        <v>-10066</v>
      </c>
      <c r="AT107" s="451">
        <v>27683</v>
      </c>
      <c r="AU107" s="451">
        <v>0</v>
      </c>
      <c r="AV107" s="451">
        <v>0</v>
      </c>
      <c r="AW107" s="451">
        <v>27683</v>
      </c>
      <c r="AX107" s="451">
        <v>0</v>
      </c>
      <c r="AY107" s="451">
        <v>0</v>
      </c>
      <c r="AZ107" s="451">
        <v>0</v>
      </c>
      <c r="BA107" s="451">
        <v>0</v>
      </c>
      <c r="BB107" s="451">
        <v>32945</v>
      </c>
      <c r="BC107" s="451">
        <v>0</v>
      </c>
      <c r="BD107" s="451">
        <v>0</v>
      </c>
      <c r="BE107" s="451">
        <v>32945</v>
      </c>
      <c r="BF107" s="451">
        <v>994</v>
      </c>
      <c r="BG107" s="451">
        <v>0</v>
      </c>
      <c r="BH107" s="451">
        <v>0</v>
      </c>
      <c r="BI107" s="451">
        <v>994</v>
      </c>
      <c r="BJ107" s="451">
        <v>0</v>
      </c>
      <c r="BK107" s="451">
        <v>0</v>
      </c>
      <c r="BL107" s="451">
        <v>0</v>
      </c>
      <c r="BM107" s="451">
        <v>0</v>
      </c>
      <c r="BN107" s="451">
        <v>22541</v>
      </c>
      <c r="BO107" s="451">
        <v>0</v>
      </c>
      <c r="BP107" s="451">
        <v>0</v>
      </c>
      <c r="BQ107" s="451">
        <v>22541</v>
      </c>
      <c r="BR107" s="451">
        <v>704171</v>
      </c>
      <c r="BS107" s="451">
        <v>0</v>
      </c>
      <c r="BT107" s="451">
        <v>0</v>
      </c>
      <c r="BU107" s="451">
        <v>704171</v>
      </c>
      <c r="BV107" s="451">
        <v>20212</v>
      </c>
      <c r="BW107" s="451">
        <v>0</v>
      </c>
      <c r="BX107" s="451">
        <v>0</v>
      </c>
      <c r="BY107" s="451">
        <v>20212</v>
      </c>
      <c r="BZ107" s="451">
        <v>27972</v>
      </c>
      <c r="CA107" s="451">
        <v>0</v>
      </c>
      <c r="CB107" s="451">
        <v>0</v>
      </c>
      <c r="CC107" s="451">
        <v>27972</v>
      </c>
      <c r="CD107" s="451">
        <v>609</v>
      </c>
      <c r="CE107" s="451">
        <v>0</v>
      </c>
      <c r="CF107" s="451">
        <v>0</v>
      </c>
      <c r="CG107" s="451">
        <v>609</v>
      </c>
      <c r="CH107" s="451">
        <v>60993</v>
      </c>
      <c r="CI107" s="451">
        <v>0</v>
      </c>
      <c r="CJ107" s="451">
        <v>0</v>
      </c>
      <c r="CK107" s="451">
        <v>60993</v>
      </c>
      <c r="CL107" s="451">
        <v>168</v>
      </c>
      <c r="CM107" s="451">
        <v>0</v>
      </c>
      <c r="CN107" s="451">
        <v>0</v>
      </c>
      <c r="CO107" s="451">
        <v>168</v>
      </c>
      <c r="CP107" s="451">
        <v>0</v>
      </c>
      <c r="CQ107" s="451">
        <v>0</v>
      </c>
      <c r="CR107" s="451">
        <v>0</v>
      </c>
      <c r="CS107" s="451">
        <v>0</v>
      </c>
      <c r="CT107" s="451">
        <v>0</v>
      </c>
      <c r="CU107" s="451">
        <v>0</v>
      </c>
      <c r="CV107" s="451">
        <v>0</v>
      </c>
      <c r="CW107" s="451">
        <v>0</v>
      </c>
      <c r="CX107" s="451">
        <v>32945</v>
      </c>
      <c r="CY107" s="451">
        <v>0</v>
      </c>
      <c r="CZ107" s="451">
        <v>0</v>
      </c>
      <c r="DA107" s="451">
        <v>32945</v>
      </c>
      <c r="DB107" s="451">
        <v>994</v>
      </c>
      <c r="DC107" s="451">
        <v>0</v>
      </c>
      <c r="DD107" s="451">
        <v>0</v>
      </c>
      <c r="DE107" s="451">
        <v>994</v>
      </c>
      <c r="DF107" s="451">
        <v>23833</v>
      </c>
      <c r="DG107" s="451">
        <v>0</v>
      </c>
      <c r="DH107" s="451">
        <v>0</v>
      </c>
      <c r="DI107" s="451">
        <v>23833</v>
      </c>
      <c r="DJ107" s="451">
        <v>0</v>
      </c>
      <c r="DK107" s="451">
        <v>0</v>
      </c>
      <c r="DL107" s="451">
        <v>0</v>
      </c>
      <c r="DM107" s="451">
        <v>0</v>
      </c>
      <c r="DN107" s="451">
        <v>0</v>
      </c>
      <c r="DO107" s="451">
        <v>0</v>
      </c>
      <c r="DP107" s="451">
        <v>0</v>
      </c>
      <c r="DQ107" s="451">
        <v>0</v>
      </c>
      <c r="DR107" s="451">
        <v>0</v>
      </c>
      <c r="DS107" s="451">
        <v>0</v>
      </c>
      <c r="DT107" s="451">
        <v>0</v>
      </c>
      <c r="DU107" s="451">
        <v>0</v>
      </c>
      <c r="DV107" s="451">
        <v>0</v>
      </c>
      <c r="DW107" s="451">
        <v>0</v>
      </c>
      <c r="DX107" s="451">
        <v>0</v>
      </c>
      <c r="DY107" s="451">
        <v>0</v>
      </c>
      <c r="DZ107" s="451">
        <v>0</v>
      </c>
      <c r="EA107" s="451">
        <v>0</v>
      </c>
      <c r="EB107" s="451">
        <v>0</v>
      </c>
      <c r="EC107" s="451">
        <v>0</v>
      </c>
      <c r="ED107" s="451">
        <v>0</v>
      </c>
      <c r="EE107" s="451">
        <v>0</v>
      </c>
      <c r="EF107" s="451">
        <v>0</v>
      </c>
      <c r="EG107" s="451">
        <v>0</v>
      </c>
      <c r="EH107" s="451">
        <v>0</v>
      </c>
      <c r="EI107" s="451">
        <v>0</v>
      </c>
      <c r="EJ107" s="451">
        <v>0</v>
      </c>
      <c r="EK107" s="451">
        <v>0</v>
      </c>
      <c r="EL107" s="451">
        <v>0</v>
      </c>
      <c r="EM107" s="451">
        <v>0</v>
      </c>
    </row>
    <row r="108" spans="1:143" ht="12.75" x14ac:dyDescent="0.2">
      <c r="A108" s="446">
        <v>102</v>
      </c>
      <c r="B108" s="447" t="s">
        <v>87</v>
      </c>
      <c r="C108" s="448" t="s">
        <v>1093</v>
      </c>
      <c r="D108" s="449" t="s">
        <v>1097</v>
      </c>
      <c r="E108" s="450" t="s">
        <v>86</v>
      </c>
      <c r="F108" s="451">
        <v>24939.919999999998</v>
      </c>
      <c r="G108" s="451">
        <v>0</v>
      </c>
      <c r="H108" s="451">
        <v>0</v>
      </c>
      <c r="I108" s="451">
        <v>24939.919999999998</v>
      </c>
      <c r="J108" s="451">
        <v>-80020.89</v>
      </c>
      <c r="K108" s="451">
        <v>0</v>
      </c>
      <c r="L108" s="451">
        <v>0</v>
      </c>
      <c r="M108" s="451">
        <v>-80020.89</v>
      </c>
      <c r="N108" s="451">
        <v>21154.25</v>
      </c>
      <c r="O108" s="451">
        <v>0</v>
      </c>
      <c r="P108" s="451">
        <v>0</v>
      </c>
      <c r="Q108" s="451">
        <v>21154.25</v>
      </c>
      <c r="R108" s="451">
        <v>98713.64</v>
      </c>
      <c r="S108" s="451">
        <v>0</v>
      </c>
      <c r="T108" s="451">
        <v>0</v>
      </c>
      <c r="U108" s="451">
        <v>98713.64</v>
      </c>
      <c r="V108" s="451">
        <v>1230221.72</v>
      </c>
      <c r="W108" s="451">
        <v>0</v>
      </c>
      <c r="X108" s="451">
        <v>0</v>
      </c>
      <c r="Y108" s="451">
        <v>1230221.72</v>
      </c>
      <c r="Z108" s="451">
        <v>20002.88</v>
      </c>
      <c r="AA108" s="451">
        <v>0</v>
      </c>
      <c r="AB108" s="451">
        <v>0</v>
      </c>
      <c r="AC108" s="451">
        <v>20002.88</v>
      </c>
      <c r="AD108" s="451">
        <v>400596.25</v>
      </c>
      <c r="AE108" s="451">
        <v>0</v>
      </c>
      <c r="AF108" s="451">
        <v>0</v>
      </c>
      <c r="AG108" s="451">
        <v>400596.25</v>
      </c>
      <c r="AH108" s="451">
        <v>-9162</v>
      </c>
      <c r="AI108" s="451">
        <v>0</v>
      </c>
      <c r="AJ108" s="451">
        <v>0</v>
      </c>
      <c r="AK108" s="451">
        <v>-9162</v>
      </c>
      <c r="AL108" s="451">
        <v>939947.12</v>
      </c>
      <c r="AM108" s="451">
        <v>0</v>
      </c>
      <c r="AN108" s="451">
        <v>0</v>
      </c>
      <c r="AO108" s="451">
        <v>939947.12</v>
      </c>
      <c r="AP108" s="451">
        <v>-2399.86</v>
      </c>
      <c r="AQ108" s="451">
        <v>0</v>
      </c>
      <c r="AR108" s="451">
        <v>0</v>
      </c>
      <c r="AS108" s="451">
        <v>-2399.86</v>
      </c>
      <c r="AT108" s="451">
        <v>10360.11</v>
      </c>
      <c r="AU108" s="451">
        <v>0</v>
      </c>
      <c r="AV108" s="451">
        <v>0</v>
      </c>
      <c r="AW108" s="451">
        <v>10360.11</v>
      </c>
      <c r="AX108" s="451">
        <v>0</v>
      </c>
      <c r="AY108" s="451">
        <v>0</v>
      </c>
      <c r="AZ108" s="451">
        <v>0</v>
      </c>
      <c r="BA108" s="451">
        <v>0</v>
      </c>
      <c r="BB108" s="451">
        <v>18299.07</v>
      </c>
      <c r="BC108" s="451">
        <v>0</v>
      </c>
      <c r="BD108" s="451">
        <v>0</v>
      </c>
      <c r="BE108" s="451">
        <v>18299.07</v>
      </c>
      <c r="BF108" s="451">
        <v>0</v>
      </c>
      <c r="BG108" s="451">
        <v>0</v>
      </c>
      <c r="BH108" s="451">
        <v>0</v>
      </c>
      <c r="BI108" s="451">
        <v>0</v>
      </c>
      <c r="BJ108" s="451">
        <v>50315.87</v>
      </c>
      <c r="BK108" s="451">
        <v>0</v>
      </c>
      <c r="BL108" s="451">
        <v>0</v>
      </c>
      <c r="BM108" s="451">
        <v>50315.87</v>
      </c>
      <c r="BN108" s="451">
        <v>1418.72</v>
      </c>
      <c r="BO108" s="451">
        <v>0</v>
      </c>
      <c r="BP108" s="451">
        <v>0</v>
      </c>
      <c r="BQ108" s="451">
        <v>1418.72</v>
      </c>
      <c r="BR108" s="451">
        <v>582903.81000000006</v>
      </c>
      <c r="BS108" s="451">
        <v>0</v>
      </c>
      <c r="BT108" s="451">
        <v>0</v>
      </c>
      <c r="BU108" s="451">
        <v>582903.81000000006</v>
      </c>
      <c r="BV108" s="451">
        <v>158443.03</v>
      </c>
      <c r="BW108" s="451">
        <v>0</v>
      </c>
      <c r="BX108" s="451">
        <v>0</v>
      </c>
      <c r="BY108" s="451">
        <v>158443.03</v>
      </c>
      <c r="BZ108" s="451">
        <v>14770.78</v>
      </c>
      <c r="CA108" s="451">
        <v>0</v>
      </c>
      <c r="CB108" s="451">
        <v>0</v>
      </c>
      <c r="CC108" s="451">
        <v>14770.78</v>
      </c>
      <c r="CD108" s="451">
        <v>-31.35</v>
      </c>
      <c r="CE108" s="451">
        <v>0</v>
      </c>
      <c r="CF108" s="451">
        <v>0</v>
      </c>
      <c r="CG108" s="451">
        <v>-31.35</v>
      </c>
      <c r="CH108" s="451">
        <v>607.34</v>
      </c>
      <c r="CI108" s="451">
        <v>0</v>
      </c>
      <c r="CJ108" s="451">
        <v>0</v>
      </c>
      <c r="CK108" s="451">
        <v>607.34</v>
      </c>
      <c r="CL108" s="451">
        <v>0</v>
      </c>
      <c r="CM108" s="451">
        <v>0</v>
      </c>
      <c r="CN108" s="451">
        <v>0</v>
      </c>
      <c r="CO108" s="451">
        <v>0</v>
      </c>
      <c r="CP108" s="451">
        <v>548.36</v>
      </c>
      <c r="CQ108" s="451">
        <v>0</v>
      </c>
      <c r="CR108" s="451">
        <v>0</v>
      </c>
      <c r="CS108" s="451">
        <v>548.36</v>
      </c>
      <c r="CT108" s="451">
        <v>0</v>
      </c>
      <c r="CU108" s="451">
        <v>0</v>
      </c>
      <c r="CV108" s="451">
        <v>0</v>
      </c>
      <c r="CW108" s="451">
        <v>0</v>
      </c>
      <c r="CX108" s="451">
        <v>3990.91</v>
      </c>
      <c r="CY108" s="451">
        <v>0</v>
      </c>
      <c r="CZ108" s="451">
        <v>0</v>
      </c>
      <c r="DA108" s="451">
        <v>3990.91</v>
      </c>
      <c r="DB108" s="451">
        <v>664.1</v>
      </c>
      <c r="DC108" s="451">
        <v>0</v>
      </c>
      <c r="DD108" s="451">
        <v>0</v>
      </c>
      <c r="DE108" s="451">
        <v>664.1</v>
      </c>
      <c r="DF108" s="451">
        <v>0</v>
      </c>
      <c r="DG108" s="451">
        <v>0</v>
      </c>
      <c r="DH108" s="451">
        <v>0</v>
      </c>
      <c r="DI108" s="451">
        <v>0</v>
      </c>
      <c r="DJ108" s="451">
        <v>0</v>
      </c>
      <c r="DK108" s="451">
        <v>0</v>
      </c>
      <c r="DL108" s="451">
        <v>0</v>
      </c>
      <c r="DM108" s="451">
        <v>0</v>
      </c>
      <c r="DN108" s="451">
        <v>0</v>
      </c>
      <c r="DO108" s="451">
        <v>0</v>
      </c>
      <c r="DP108" s="451">
        <v>0</v>
      </c>
      <c r="DQ108" s="451">
        <v>0</v>
      </c>
      <c r="DR108" s="451">
        <v>0</v>
      </c>
      <c r="DS108" s="451">
        <v>0</v>
      </c>
      <c r="DT108" s="451">
        <v>0</v>
      </c>
      <c r="DU108" s="451">
        <v>0</v>
      </c>
      <c r="DV108" s="451">
        <v>0</v>
      </c>
      <c r="DW108" s="451">
        <v>0</v>
      </c>
      <c r="DX108" s="451">
        <v>0</v>
      </c>
      <c r="DY108" s="451">
        <v>0</v>
      </c>
      <c r="DZ108" s="451">
        <v>0</v>
      </c>
      <c r="EA108" s="451">
        <v>0</v>
      </c>
      <c r="EB108" s="451">
        <v>0</v>
      </c>
      <c r="EC108" s="451">
        <v>0</v>
      </c>
      <c r="ED108" s="451">
        <v>0</v>
      </c>
      <c r="EE108" s="451">
        <v>0</v>
      </c>
      <c r="EF108" s="451">
        <v>2527.3200000000002</v>
      </c>
      <c r="EG108" s="451">
        <v>0</v>
      </c>
      <c r="EH108" s="451">
        <v>0</v>
      </c>
      <c r="EI108" s="451">
        <v>2527.3200000000002</v>
      </c>
      <c r="EJ108" s="451">
        <v>1641.17</v>
      </c>
      <c r="EK108" s="451">
        <v>0</v>
      </c>
      <c r="EL108" s="451">
        <v>0</v>
      </c>
      <c r="EM108" s="451">
        <v>1641.17</v>
      </c>
    </row>
    <row r="109" spans="1:143" ht="12.75" x14ac:dyDescent="0.2">
      <c r="A109" s="446">
        <v>103</v>
      </c>
      <c r="B109" s="447" t="s">
        <v>89</v>
      </c>
      <c r="C109" s="448" t="s">
        <v>1093</v>
      </c>
      <c r="D109" s="449" t="s">
        <v>1102</v>
      </c>
      <c r="E109" s="450" t="s">
        <v>88</v>
      </c>
      <c r="F109" s="451">
        <v>103888.53</v>
      </c>
      <c r="G109" s="451">
        <v>0</v>
      </c>
      <c r="H109" s="451">
        <v>0</v>
      </c>
      <c r="I109" s="451">
        <v>103888.53</v>
      </c>
      <c r="J109" s="451">
        <v>-25379.57</v>
      </c>
      <c r="K109" s="451">
        <v>0</v>
      </c>
      <c r="L109" s="451">
        <v>0</v>
      </c>
      <c r="M109" s="451">
        <v>-25379.57</v>
      </c>
      <c r="N109" s="451">
        <v>3538.33</v>
      </c>
      <c r="O109" s="451">
        <v>0</v>
      </c>
      <c r="P109" s="451">
        <v>0</v>
      </c>
      <c r="Q109" s="451">
        <v>3538.33</v>
      </c>
      <c r="R109" s="451">
        <v>-17168.939999999999</v>
      </c>
      <c r="S109" s="451">
        <v>0</v>
      </c>
      <c r="T109" s="451">
        <v>0</v>
      </c>
      <c r="U109" s="451">
        <v>-17168.939999999999</v>
      </c>
      <c r="V109" s="451">
        <v>2066142.23</v>
      </c>
      <c r="W109" s="451">
        <v>0</v>
      </c>
      <c r="X109" s="451">
        <v>0</v>
      </c>
      <c r="Y109" s="451">
        <v>2066142.23</v>
      </c>
      <c r="Z109" s="451">
        <v>33600.5</v>
      </c>
      <c r="AA109" s="451">
        <v>0</v>
      </c>
      <c r="AB109" s="451">
        <v>0</v>
      </c>
      <c r="AC109" s="451">
        <v>33600.5</v>
      </c>
      <c r="AD109" s="451">
        <v>214488.95</v>
      </c>
      <c r="AE109" s="451">
        <v>0</v>
      </c>
      <c r="AF109" s="451">
        <v>0</v>
      </c>
      <c r="AG109" s="451">
        <v>214488.95</v>
      </c>
      <c r="AH109" s="451">
        <v>-2802.15</v>
      </c>
      <c r="AI109" s="451">
        <v>0</v>
      </c>
      <c r="AJ109" s="451">
        <v>0</v>
      </c>
      <c r="AK109" s="451">
        <v>-2802.15</v>
      </c>
      <c r="AL109" s="451">
        <v>1434295.69</v>
      </c>
      <c r="AM109" s="451">
        <v>0</v>
      </c>
      <c r="AN109" s="451">
        <v>0</v>
      </c>
      <c r="AO109" s="451">
        <v>1434295.69</v>
      </c>
      <c r="AP109" s="451">
        <v>-1268.26</v>
      </c>
      <c r="AQ109" s="451">
        <v>0</v>
      </c>
      <c r="AR109" s="451">
        <v>0</v>
      </c>
      <c r="AS109" s="451">
        <v>-1268.26</v>
      </c>
      <c r="AT109" s="451">
        <v>2778.9</v>
      </c>
      <c r="AU109" s="451">
        <v>0</v>
      </c>
      <c r="AV109" s="451">
        <v>0</v>
      </c>
      <c r="AW109" s="451">
        <v>2778.9</v>
      </c>
      <c r="AX109" s="451">
        <v>0</v>
      </c>
      <c r="AY109" s="451">
        <v>0</v>
      </c>
      <c r="AZ109" s="451">
        <v>0</v>
      </c>
      <c r="BA109" s="451">
        <v>0</v>
      </c>
      <c r="BB109" s="451">
        <v>50338.86</v>
      </c>
      <c r="BC109" s="451">
        <v>0</v>
      </c>
      <c r="BD109" s="451">
        <v>0</v>
      </c>
      <c r="BE109" s="451">
        <v>50338.86</v>
      </c>
      <c r="BF109" s="451">
        <v>7308.14</v>
      </c>
      <c r="BG109" s="451">
        <v>0</v>
      </c>
      <c r="BH109" s="451">
        <v>0</v>
      </c>
      <c r="BI109" s="451">
        <v>7308.14</v>
      </c>
      <c r="BJ109" s="451">
        <v>77684.27</v>
      </c>
      <c r="BK109" s="451">
        <v>0</v>
      </c>
      <c r="BL109" s="451">
        <v>0</v>
      </c>
      <c r="BM109" s="451">
        <v>77684.27</v>
      </c>
      <c r="BN109" s="451">
        <v>-254985.29</v>
      </c>
      <c r="BO109" s="451">
        <v>0</v>
      </c>
      <c r="BP109" s="451">
        <v>0</v>
      </c>
      <c r="BQ109" s="451">
        <v>-254985.29</v>
      </c>
      <c r="BR109" s="451">
        <v>411876.67</v>
      </c>
      <c r="BS109" s="451">
        <v>0</v>
      </c>
      <c r="BT109" s="451">
        <v>0</v>
      </c>
      <c r="BU109" s="451">
        <v>411876.67</v>
      </c>
      <c r="BV109" s="451">
        <v>18326.96</v>
      </c>
      <c r="BW109" s="451">
        <v>0</v>
      </c>
      <c r="BX109" s="451">
        <v>0</v>
      </c>
      <c r="BY109" s="451">
        <v>18326.96</v>
      </c>
      <c r="BZ109" s="451">
        <v>62799.19</v>
      </c>
      <c r="CA109" s="451">
        <v>0</v>
      </c>
      <c r="CB109" s="451">
        <v>0</v>
      </c>
      <c r="CC109" s="451">
        <v>62799.19</v>
      </c>
      <c r="CD109" s="451">
        <v>13.13</v>
      </c>
      <c r="CE109" s="451">
        <v>0</v>
      </c>
      <c r="CF109" s="451">
        <v>0</v>
      </c>
      <c r="CG109" s="451">
        <v>13.13</v>
      </c>
      <c r="CH109" s="451">
        <v>67091.240000000005</v>
      </c>
      <c r="CI109" s="451">
        <v>0</v>
      </c>
      <c r="CJ109" s="451">
        <v>0</v>
      </c>
      <c r="CK109" s="451">
        <v>67091.240000000005</v>
      </c>
      <c r="CL109" s="451">
        <v>0</v>
      </c>
      <c r="CM109" s="451">
        <v>0</v>
      </c>
      <c r="CN109" s="451">
        <v>0</v>
      </c>
      <c r="CO109" s="451">
        <v>0</v>
      </c>
      <c r="CP109" s="451">
        <v>393.29</v>
      </c>
      <c r="CQ109" s="451">
        <v>0</v>
      </c>
      <c r="CR109" s="451">
        <v>0</v>
      </c>
      <c r="CS109" s="451">
        <v>393.29</v>
      </c>
      <c r="CT109" s="451">
        <v>0</v>
      </c>
      <c r="CU109" s="451">
        <v>0</v>
      </c>
      <c r="CV109" s="451">
        <v>0</v>
      </c>
      <c r="CW109" s="451">
        <v>0</v>
      </c>
      <c r="CX109" s="451">
        <v>50338.58</v>
      </c>
      <c r="CY109" s="451">
        <v>0</v>
      </c>
      <c r="CZ109" s="451">
        <v>0</v>
      </c>
      <c r="DA109" s="451">
        <v>50338.58</v>
      </c>
      <c r="DB109" s="451">
        <v>0</v>
      </c>
      <c r="DC109" s="451">
        <v>0</v>
      </c>
      <c r="DD109" s="451">
        <v>0</v>
      </c>
      <c r="DE109" s="451">
        <v>0</v>
      </c>
      <c r="DF109" s="451">
        <v>0</v>
      </c>
      <c r="DG109" s="451">
        <v>0</v>
      </c>
      <c r="DH109" s="451">
        <v>0</v>
      </c>
      <c r="DI109" s="451">
        <v>0</v>
      </c>
      <c r="DJ109" s="451">
        <v>0</v>
      </c>
      <c r="DK109" s="451">
        <v>0</v>
      </c>
      <c r="DL109" s="451">
        <v>0</v>
      </c>
      <c r="DM109" s="451">
        <v>0</v>
      </c>
      <c r="DN109" s="451">
        <v>0</v>
      </c>
      <c r="DO109" s="451">
        <v>0</v>
      </c>
      <c r="DP109" s="451">
        <v>0</v>
      </c>
      <c r="DQ109" s="451">
        <v>0</v>
      </c>
      <c r="DR109" s="451">
        <v>0</v>
      </c>
      <c r="DS109" s="451">
        <v>0</v>
      </c>
      <c r="DT109" s="451">
        <v>0</v>
      </c>
      <c r="DU109" s="451">
        <v>0</v>
      </c>
      <c r="DV109" s="451">
        <v>0</v>
      </c>
      <c r="DW109" s="451">
        <v>0</v>
      </c>
      <c r="DX109" s="451">
        <v>0</v>
      </c>
      <c r="DY109" s="451">
        <v>0</v>
      </c>
      <c r="DZ109" s="451">
        <v>0</v>
      </c>
      <c r="EA109" s="451">
        <v>0</v>
      </c>
      <c r="EB109" s="451">
        <v>0</v>
      </c>
      <c r="EC109" s="451">
        <v>0</v>
      </c>
      <c r="ED109" s="451">
        <v>0</v>
      </c>
      <c r="EE109" s="451">
        <v>0</v>
      </c>
      <c r="EF109" s="451">
        <v>0</v>
      </c>
      <c r="EG109" s="451">
        <v>0</v>
      </c>
      <c r="EH109" s="451">
        <v>0</v>
      </c>
      <c r="EI109" s="451">
        <v>0</v>
      </c>
      <c r="EJ109" s="451">
        <v>689.03</v>
      </c>
      <c r="EK109" s="451">
        <v>0</v>
      </c>
      <c r="EL109" s="451">
        <v>0</v>
      </c>
      <c r="EM109" s="451">
        <v>689.03</v>
      </c>
    </row>
    <row r="110" spans="1:143" ht="12.75" x14ac:dyDescent="0.2">
      <c r="A110" s="446">
        <v>104</v>
      </c>
      <c r="B110" s="447" t="s">
        <v>91</v>
      </c>
      <c r="C110" s="448" t="s">
        <v>1093</v>
      </c>
      <c r="D110" s="449" t="s">
        <v>1095</v>
      </c>
      <c r="E110" s="450" t="s">
        <v>90</v>
      </c>
      <c r="F110" s="451">
        <v>206109</v>
      </c>
      <c r="G110" s="451">
        <v>0</v>
      </c>
      <c r="H110" s="451">
        <v>0</v>
      </c>
      <c r="I110" s="451">
        <v>206109</v>
      </c>
      <c r="J110" s="451">
        <v>-3071</v>
      </c>
      <c r="K110" s="451">
        <v>0</v>
      </c>
      <c r="L110" s="451">
        <v>0</v>
      </c>
      <c r="M110" s="451">
        <v>-3071</v>
      </c>
      <c r="N110" s="451">
        <v>19568</v>
      </c>
      <c r="O110" s="451">
        <v>0</v>
      </c>
      <c r="P110" s="451">
        <v>0</v>
      </c>
      <c r="Q110" s="451">
        <v>19568</v>
      </c>
      <c r="R110" s="451">
        <v>79363</v>
      </c>
      <c r="S110" s="451">
        <v>0</v>
      </c>
      <c r="T110" s="451">
        <v>0</v>
      </c>
      <c r="U110" s="451">
        <v>79363</v>
      </c>
      <c r="V110" s="451">
        <v>1870281</v>
      </c>
      <c r="W110" s="451">
        <v>0</v>
      </c>
      <c r="X110" s="451">
        <v>0</v>
      </c>
      <c r="Y110" s="451">
        <v>1870281</v>
      </c>
      <c r="Z110" s="451">
        <v>57587</v>
      </c>
      <c r="AA110" s="451">
        <v>0</v>
      </c>
      <c r="AB110" s="451">
        <v>0</v>
      </c>
      <c r="AC110" s="451">
        <v>57587</v>
      </c>
      <c r="AD110" s="451">
        <v>454187</v>
      </c>
      <c r="AE110" s="451">
        <v>0</v>
      </c>
      <c r="AF110" s="451">
        <v>0</v>
      </c>
      <c r="AG110" s="451">
        <v>454187</v>
      </c>
      <c r="AH110" s="451">
        <v>10320</v>
      </c>
      <c r="AI110" s="451">
        <v>0</v>
      </c>
      <c r="AJ110" s="451">
        <v>0</v>
      </c>
      <c r="AK110" s="451">
        <v>10320</v>
      </c>
      <c r="AL110" s="451">
        <v>1090206</v>
      </c>
      <c r="AM110" s="451">
        <v>0</v>
      </c>
      <c r="AN110" s="451">
        <v>0</v>
      </c>
      <c r="AO110" s="451">
        <v>1090206</v>
      </c>
      <c r="AP110" s="451">
        <v>11360</v>
      </c>
      <c r="AQ110" s="451">
        <v>0</v>
      </c>
      <c r="AR110" s="451">
        <v>0</v>
      </c>
      <c r="AS110" s="451">
        <v>11360</v>
      </c>
      <c r="AT110" s="451">
        <v>4464</v>
      </c>
      <c r="AU110" s="451">
        <v>0</v>
      </c>
      <c r="AV110" s="451">
        <v>0</v>
      </c>
      <c r="AW110" s="451">
        <v>4464</v>
      </c>
      <c r="AX110" s="451">
        <v>0</v>
      </c>
      <c r="AY110" s="451">
        <v>0</v>
      </c>
      <c r="AZ110" s="451">
        <v>0</v>
      </c>
      <c r="BA110" s="451">
        <v>0</v>
      </c>
      <c r="BB110" s="451">
        <v>3125</v>
      </c>
      <c r="BC110" s="451">
        <v>0</v>
      </c>
      <c r="BD110" s="451">
        <v>0</v>
      </c>
      <c r="BE110" s="451">
        <v>3125</v>
      </c>
      <c r="BF110" s="451">
        <v>0</v>
      </c>
      <c r="BG110" s="451">
        <v>0</v>
      </c>
      <c r="BH110" s="451">
        <v>0</v>
      </c>
      <c r="BI110" s="451">
        <v>0</v>
      </c>
      <c r="BJ110" s="451">
        <v>506</v>
      </c>
      <c r="BK110" s="451">
        <v>0</v>
      </c>
      <c r="BL110" s="451">
        <v>0</v>
      </c>
      <c r="BM110" s="451">
        <v>506</v>
      </c>
      <c r="BN110" s="451">
        <v>0</v>
      </c>
      <c r="BO110" s="451">
        <v>0</v>
      </c>
      <c r="BP110" s="451">
        <v>0</v>
      </c>
      <c r="BQ110" s="451">
        <v>0</v>
      </c>
      <c r="BR110" s="451">
        <v>620389</v>
      </c>
      <c r="BS110" s="451">
        <v>0</v>
      </c>
      <c r="BT110" s="451">
        <v>5770</v>
      </c>
      <c r="BU110" s="451">
        <v>626159</v>
      </c>
      <c r="BV110" s="451">
        <v>1322</v>
      </c>
      <c r="BW110" s="451">
        <v>0</v>
      </c>
      <c r="BX110" s="451">
        <v>0</v>
      </c>
      <c r="BY110" s="451">
        <v>1322</v>
      </c>
      <c r="BZ110" s="451">
        <v>55569</v>
      </c>
      <c r="CA110" s="451">
        <v>0</v>
      </c>
      <c r="CB110" s="451">
        <v>0</v>
      </c>
      <c r="CC110" s="451">
        <v>55569</v>
      </c>
      <c r="CD110" s="451">
        <v>18</v>
      </c>
      <c r="CE110" s="451">
        <v>0</v>
      </c>
      <c r="CF110" s="451">
        <v>0</v>
      </c>
      <c r="CG110" s="451">
        <v>18</v>
      </c>
      <c r="CH110" s="451">
        <v>22008</v>
      </c>
      <c r="CI110" s="451">
        <v>0</v>
      </c>
      <c r="CJ110" s="451">
        <v>0</v>
      </c>
      <c r="CK110" s="451">
        <v>22008</v>
      </c>
      <c r="CL110" s="451">
        <v>-3135</v>
      </c>
      <c r="CM110" s="451">
        <v>0</v>
      </c>
      <c r="CN110" s="451">
        <v>0</v>
      </c>
      <c r="CO110" s="451">
        <v>-3135</v>
      </c>
      <c r="CP110" s="451">
        <v>682</v>
      </c>
      <c r="CQ110" s="451">
        <v>0</v>
      </c>
      <c r="CR110" s="451">
        <v>0</v>
      </c>
      <c r="CS110" s="451">
        <v>682</v>
      </c>
      <c r="CT110" s="451">
        <v>0</v>
      </c>
      <c r="CU110" s="451">
        <v>0</v>
      </c>
      <c r="CV110" s="451">
        <v>0</v>
      </c>
      <c r="CW110" s="451">
        <v>0</v>
      </c>
      <c r="CX110" s="451">
        <v>2991</v>
      </c>
      <c r="CY110" s="451">
        <v>0</v>
      </c>
      <c r="CZ110" s="451">
        <v>0</v>
      </c>
      <c r="DA110" s="451">
        <v>2991</v>
      </c>
      <c r="DB110" s="451">
        <v>0</v>
      </c>
      <c r="DC110" s="451">
        <v>0</v>
      </c>
      <c r="DD110" s="451">
        <v>0</v>
      </c>
      <c r="DE110" s="451">
        <v>0</v>
      </c>
      <c r="DF110" s="451">
        <v>4620</v>
      </c>
      <c r="DG110" s="451">
        <v>0</v>
      </c>
      <c r="DH110" s="451">
        <v>0</v>
      </c>
      <c r="DI110" s="451">
        <v>4620</v>
      </c>
      <c r="DJ110" s="451">
        <v>0</v>
      </c>
      <c r="DK110" s="451">
        <v>0</v>
      </c>
      <c r="DL110" s="451">
        <v>0</v>
      </c>
      <c r="DM110" s="451">
        <v>0</v>
      </c>
      <c r="DN110" s="451">
        <v>0</v>
      </c>
      <c r="DO110" s="451">
        <v>0</v>
      </c>
      <c r="DP110" s="451">
        <v>0</v>
      </c>
      <c r="DQ110" s="451">
        <v>0</v>
      </c>
      <c r="DR110" s="451">
        <v>0</v>
      </c>
      <c r="DS110" s="451">
        <v>0</v>
      </c>
      <c r="DT110" s="451">
        <v>0</v>
      </c>
      <c r="DU110" s="451">
        <v>0</v>
      </c>
      <c r="DV110" s="451">
        <v>0</v>
      </c>
      <c r="DW110" s="451">
        <v>0</v>
      </c>
      <c r="DX110" s="451">
        <v>0</v>
      </c>
      <c r="DY110" s="451">
        <v>0</v>
      </c>
      <c r="DZ110" s="451">
        <v>0</v>
      </c>
      <c r="EA110" s="451">
        <v>0</v>
      </c>
      <c r="EB110" s="451">
        <v>0</v>
      </c>
      <c r="EC110" s="451">
        <v>0</v>
      </c>
      <c r="ED110" s="451">
        <v>0</v>
      </c>
      <c r="EE110" s="451">
        <v>0</v>
      </c>
      <c r="EF110" s="451">
        <v>0</v>
      </c>
      <c r="EG110" s="451">
        <v>0</v>
      </c>
      <c r="EH110" s="451">
        <v>0</v>
      </c>
      <c r="EI110" s="451">
        <v>0</v>
      </c>
      <c r="EJ110" s="451">
        <v>0</v>
      </c>
      <c r="EK110" s="451">
        <v>0</v>
      </c>
      <c r="EL110" s="451">
        <v>0</v>
      </c>
      <c r="EM110" s="451">
        <v>0</v>
      </c>
    </row>
    <row r="111" spans="1:143" ht="12.75" x14ac:dyDescent="0.2">
      <c r="A111" s="446">
        <v>105</v>
      </c>
      <c r="B111" s="447" t="s">
        <v>93</v>
      </c>
      <c r="C111" s="448" t="s">
        <v>1100</v>
      </c>
      <c r="D111" s="449" t="s">
        <v>1105</v>
      </c>
      <c r="E111" s="450" t="s">
        <v>92</v>
      </c>
      <c r="F111" s="451">
        <v>212317</v>
      </c>
      <c r="G111" s="451">
        <v>0</v>
      </c>
      <c r="H111" s="451">
        <v>0</v>
      </c>
      <c r="I111" s="451">
        <v>212317</v>
      </c>
      <c r="J111" s="451">
        <v>-173848</v>
      </c>
      <c r="K111" s="451">
        <v>0</v>
      </c>
      <c r="L111" s="451">
        <v>0</v>
      </c>
      <c r="M111" s="451">
        <v>-173848</v>
      </c>
      <c r="N111" s="451">
        <v>231426</v>
      </c>
      <c r="O111" s="451">
        <v>752</v>
      </c>
      <c r="P111" s="451">
        <v>0</v>
      </c>
      <c r="Q111" s="451">
        <v>232178</v>
      </c>
      <c r="R111" s="451">
        <v>511864</v>
      </c>
      <c r="S111" s="451">
        <v>-42445</v>
      </c>
      <c r="T111" s="451">
        <v>0</v>
      </c>
      <c r="U111" s="451">
        <v>469419</v>
      </c>
      <c r="V111" s="451">
        <v>3520184</v>
      </c>
      <c r="W111" s="451">
        <v>37381</v>
      </c>
      <c r="X111" s="451">
        <v>0</v>
      </c>
      <c r="Y111" s="451">
        <v>3557565</v>
      </c>
      <c r="Z111" s="451">
        <v>97491</v>
      </c>
      <c r="AA111" s="451">
        <v>1315</v>
      </c>
      <c r="AB111" s="451">
        <v>0</v>
      </c>
      <c r="AC111" s="451">
        <v>98806</v>
      </c>
      <c r="AD111" s="451">
        <v>1699601</v>
      </c>
      <c r="AE111" s="451">
        <v>31569</v>
      </c>
      <c r="AF111" s="451">
        <v>0</v>
      </c>
      <c r="AG111" s="451">
        <v>1731170</v>
      </c>
      <c r="AH111" s="451">
        <v>-11432</v>
      </c>
      <c r="AI111" s="451">
        <v>1124</v>
      </c>
      <c r="AJ111" s="451">
        <v>0</v>
      </c>
      <c r="AK111" s="451">
        <v>-10308</v>
      </c>
      <c r="AL111" s="451">
        <v>2793762</v>
      </c>
      <c r="AM111" s="451">
        <v>640293</v>
      </c>
      <c r="AN111" s="451">
        <v>0</v>
      </c>
      <c r="AO111" s="451">
        <v>3434055</v>
      </c>
      <c r="AP111" s="451">
        <v>-134704</v>
      </c>
      <c r="AQ111" s="451">
        <v>6686</v>
      </c>
      <c r="AR111" s="451">
        <v>0</v>
      </c>
      <c r="AS111" s="451">
        <v>-128018</v>
      </c>
      <c r="AT111" s="451">
        <v>92165</v>
      </c>
      <c r="AU111" s="451">
        <v>0</v>
      </c>
      <c r="AV111" s="451">
        <v>0</v>
      </c>
      <c r="AW111" s="451">
        <v>92165</v>
      </c>
      <c r="AX111" s="451">
        <v>3593</v>
      </c>
      <c r="AY111" s="451">
        <v>0</v>
      </c>
      <c r="AZ111" s="451">
        <v>0</v>
      </c>
      <c r="BA111" s="451">
        <v>3593</v>
      </c>
      <c r="BB111" s="451">
        <v>10992</v>
      </c>
      <c r="BC111" s="451">
        <v>0</v>
      </c>
      <c r="BD111" s="451">
        <v>0</v>
      </c>
      <c r="BE111" s="451">
        <v>10992</v>
      </c>
      <c r="BF111" s="451">
        <v>0</v>
      </c>
      <c r="BG111" s="451">
        <v>0</v>
      </c>
      <c r="BH111" s="451">
        <v>0</v>
      </c>
      <c r="BI111" s="451">
        <v>0</v>
      </c>
      <c r="BJ111" s="451">
        <v>16820</v>
      </c>
      <c r="BK111" s="451">
        <v>0</v>
      </c>
      <c r="BL111" s="451">
        <v>0</v>
      </c>
      <c r="BM111" s="451">
        <v>16820</v>
      </c>
      <c r="BN111" s="451">
        <v>39895</v>
      </c>
      <c r="BO111" s="451">
        <v>0</v>
      </c>
      <c r="BP111" s="451">
        <v>0</v>
      </c>
      <c r="BQ111" s="451">
        <v>39895</v>
      </c>
      <c r="BR111" s="451">
        <v>4184841</v>
      </c>
      <c r="BS111" s="451">
        <v>22130</v>
      </c>
      <c r="BT111" s="451">
        <v>0</v>
      </c>
      <c r="BU111" s="451">
        <v>4206971</v>
      </c>
      <c r="BV111" s="451">
        <v>376860</v>
      </c>
      <c r="BW111" s="451">
        <v>2139</v>
      </c>
      <c r="BX111" s="451">
        <v>0</v>
      </c>
      <c r="BY111" s="451">
        <v>378999</v>
      </c>
      <c r="BZ111" s="451">
        <v>86723</v>
      </c>
      <c r="CA111" s="451">
        <v>622</v>
      </c>
      <c r="CB111" s="451">
        <v>0</v>
      </c>
      <c r="CC111" s="451">
        <v>87345</v>
      </c>
      <c r="CD111" s="451">
        <v>2820</v>
      </c>
      <c r="CE111" s="451">
        <v>0</v>
      </c>
      <c r="CF111" s="451">
        <v>0</v>
      </c>
      <c r="CG111" s="451">
        <v>2820</v>
      </c>
      <c r="CH111" s="451">
        <v>39732</v>
      </c>
      <c r="CI111" s="451">
        <v>0</v>
      </c>
      <c r="CJ111" s="451">
        <v>0</v>
      </c>
      <c r="CK111" s="451">
        <v>39732</v>
      </c>
      <c r="CL111" s="451">
        <v>-2795</v>
      </c>
      <c r="CM111" s="451">
        <v>-6686</v>
      </c>
      <c r="CN111" s="451">
        <v>0</v>
      </c>
      <c r="CO111" s="451">
        <v>-9481</v>
      </c>
      <c r="CP111" s="451">
        <v>0</v>
      </c>
      <c r="CQ111" s="451">
        <v>0</v>
      </c>
      <c r="CR111" s="451">
        <v>0</v>
      </c>
      <c r="CS111" s="451">
        <v>0</v>
      </c>
      <c r="CT111" s="451">
        <v>0</v>
      </c>
      <c r="CU111" s="451">
        <v>0</v>
      </c>
      <c r="CV111" s="451">
        <v>0</v>
      </c>
      <c r="CW111" s="451">
        <v>0</v>
      </c>
      <c r="CX111" s="451">
        <v>0</v>
      </c>
      <c r="CY111" s="451">
        <v>0</v>
      </c>
      <c r="CZ111" s="451">
        <v>0</v>
      </c>
      <c r="DA111" s="451">
        <v>0</v>
      </c>
      <c r="DB111" s="451">
        <v>0</v>
      </c>
      <c r="DC111" s="451">
        <v>0</v>
      </c>
      <c r="DD111" s="451">
        <v>0</v>
      </c>
      <c r="DE111" s="451">
        <v>0</v>
      </c>
      <c r="DF111" s="451">
        <v>0</v>
      </c>
      <c r="DG111" s="451">
        <v>0</v>
      </c>
      <c r="DH111" s="451">
        <v>0</v>
      </c>
      <c r="DI111" s="451">
        <v>0</v>
      </c>
      <c r="DJ111" s="451">
        <v>0</v>
      </c>
      <c r="DK111" s="451">
        <v>0</v>
      </c>
      <c r="DL111" s="451">
        <v>0</v>
      </c>
      <c r="DM111" s="451">
        <v>0</v>
      </c>
      <c r="DN111" s="451">
        <v>0</v>
      </c>
      <c r="DO111" s="451">
        <v>0</v>
      </c>
      <c r="DP111" s="451">
        <v>0</v>
      </c>
      <c r="DQ111" s="451">
        <v>0</v>
      </c>
      <c r="DR111" s="451">
        <v>0</v>
      </c>
      <c r="DS111" s="451">
        <v>0</v>
      </c>
      <c r="DT111" s="451">
        <v>0</v>
      </c>
      <c r="DU111" s="451">
        <v>0</v>
      </c>
      <c r="DV111" s="451">
        <v>0</v>
      </c>
      <c r="DW111" s="451">
        <v>0</v>
      </c>
      <c r="DX111" s="451">
        <v>0</v>
      </c>
      <c r="DY111" s="451">
        <v>0</v>
      </c>
      <c r="DZ111" s="451">
        <v>0</v>
      </c>
      <c r="EA111" s="451">
        <v>0</v>
      </c>
      <c r="EB111" s="451">
        <v>0</v>
      </c>
      <c r="EC111" s="451">
        <v>0</v>
      </c>
      <c r="ED111" s="451">
        <v>0</v>
      </c>
      <c r="EE111" s="451">
        <v>0</v>
      </c>
      <c r="EF111" s="451">
        <v>0</v>
      </c>
      <c r="EG111" s="451">
        <v>0</v>
      </c>
      <c r="EH111" s="451">
        <v>0</v>
      </c>
      <c r="EI111" s="451">
        <v>0</v>
      </c>
      <c r="EJ111" s="451">
        <v>0</v>
      </c>
      <c r="EK111" s="451">
        <v>0</v>
      </c>
      <c r="EL111" s="451">
        <v>0</v>
      </c>
      <c r="EM111" s="451">
        <v>0</v>
      </c>
    </row>
    <row r="112" spans="1:143" ht="12.75" x14ac:dyDescent="0.2">
      <c r="A112" s="446">
        <v>106</v>
      </c>
      <c r="B112" s="447" t="s">
        <v>95</v>
      </c>
      <c r="C112" s="448" t="s">
        <v>1093</v>
      </c>
      <c r="D112" s="449" t="s">
        <v>1096</v>
      </c>
      <c r="E112" s="450" t="s">
        <v>94</v>
      </c>
      <c r="F112" s="451">
        <v>32761.34</v>
      </c>
      <c r="G112" s="451">
        <v>0</v>
      </c>
      <c r="H112" s="451">
        <v>0</v>
      </c>
      <c r="I112" s="451">
        <v>32761.34</v>
      </c>
      <c r="J112" s="451">
        <v>-15916.24</v>
      </c>
      <c r="K112" s="451">
        <v>0</v>
      </c>
      <c r="L112" s="451">
        <v>0</v>
      </c>
      <c r="M112" s="451">
        <v>-15916.24</v>
      </c>
      <c r="N112" s="451">
        <v>100948.42</v>
      </c>
      <c r="O112" s="451">
        <v>0</v>
      </c>
      <c r="P112" s="451">
        <v>0</v>
      </c>
      <c r="Q112" s="451">
        <v>100948.42</v>
      </c>
      <c r="R112" s="451">
        <v>99704.66</v>
      </c>
      <c r="S112" s="451">
        <v>0</v>
      </c>
      <c r="T112" s="451">
        <v>0</v>
      </c>
      <c r="U112" s="451">
        <v>99704.66</v>
      </c>
      <c r="V112" s="451">
        <v>1535826.94</v>
      </c>
      <c r="W112" s="451">
        <v>0</v>
      </c>
      <c r="X112" s="451">
        <v>0</v>
      </c>
      <c r="Y112" s="451">
        <v>1535826.94</v>
      </c>
      <c r="Z112" s="451">
        <v>42442.91</v>
      </c>
      <c r="AA112" s="451">
        <v>0</v>
      </c>
      <c r="AB112" s="451">
        <v>0</v>
      </c>
      <c r="AC112" s="451">
        <v>42442.91</v>
      </c>
      <c r="AD112" s="451">
        <v>384544.13</v>
      </c>
      <c r="AE112" s="451">
        <v>0</v>
      </c>
      <c r="AF112" s="451">
        <v>0</v>
      </c>
      <c r="AG112" s="451">
        <v>384544.13</v>
      </c>
      <c r="AH112" s="451">
        <v>-11169.91</v>
      </c>
      <c r="AI112" s="451">
        <v>0</v>
      </c>
      <c r="AJ112" s="451">
        <v>0</v>
      </c>
      <c r="AK112" s="451">
        <v>-11169.91</v>
      </c>
      <c r="AL112" s="451">
        <v>1061950.5</v>
      </c>
      <c r="AM112" s="451">
        <v>0</v>
      </c>
      <c r="AN112" s="451">
        <v>0</v>
      </c>
      <c r="AO112" s="451">
        <v>1061950.5</v>
      </c>
      <c r="AP112" s="451">
        <v>-688.98</v>
      </c>
      <c r="AQ112" s="451">
        <v>0</v>
      </c>
      <c r="AR112" s="451">
        <v>0</v>
      </c>
      <c r="AS112" s="451">
        <v>-688.98</v>
      </c>
      <c r="AT112" s="451">
        <v>47194.2</v>
      </c>
      <c r="AU112" s="451">
        <v>0</v>
      </c>
      <c r="AV112" s="451">
        <v>0</v>
      </c>
      <c r="AW112" s="451">
        <v>47194.2</v>
      </c>
      <c r="AX112" s="451">
        <v>0</v>
      </c>
      <c r="AY112" s="451">
        <v>0</v>
      </c>
      <c r="AZ112" s="451">
        <v>0</v>
      </c>
      <c r="BA112" s="451">
        <v>0</v>
      </c>
      <c r="BB112" s="451">
        <v>1277.5899999999999</v>
      </c>
      <c r="BC112" s="451">
        <v>0</v>
      </c>
      <c r="BD112" s="451">
        <v>0</v>
      </c>
      <c r="BE112" s="451">
        <v>1277.5899999999999</v>
      </c>
      <c r="BF112" s="451">
        <v>-1819.14</v>
      </c>
      <c r="BG112" s="451">
        <v>0</v>
      </c>
      <c r="BH112" s="451">
        <v>0</v>
      </c>
      <c r="BI112" s="451">
        <v>-1819.14</v>
      </c>
      <c r="BJ112" s="451">
        <v>0</v>
      </c>
      <c r="BK112" s="451">
        <v>0</v>
      </c>
      <c r="BL112" s="451">
        <v>0</v>
      </c>
      <c r="BM112" s="451">
        <v>0</v>
      </c>
      <c r="BN112" s="451">
        <v>-14970.3</v>
      </c>
      <c r="BO112" s="451">
        <v>0</v>
      </c>
      <c r="BP112" s="451">
        <v>0</v>
      </c>
      <c r="BQ112" s="451">
        <v>-14970.3</v>
      </c>
      <c r="BR112" s="451">
        <v>485397.65</v>
      </c>
      <c r="BS112" s="451">
        <v>0</v>
      </c>
      <c r="BT112" s="451">
        <v>0</v>
      </c>
      <c r="BU112" s="451">
        <v>485397.65</v>
      </c>
      <c r="BV112" s="451">
        <v>6486.01</v>
      </c>
      <c r="BW112" s="451">
        <v>0</v>
      </c>
      <c r="BX112" s="451">
        <v>0</v>
      </c>
      <c r="BY112" s="451">
        <v>6486.01</v>
      </c>
      <c r="BZ112" s="451">
        <v>80517.460000000006</v>
      </c>
      <c r="CA112" s="451">
        <v>0</v>
      </c>
      <c r="CB112" s="451">
        <v>0</v>
      </c>
      <c r="CC112" s="451">
        <v>80517.460000000006</v>
      </c>
      <c r="CD112" s="451">
        <v>-180.88</v>
      </c>
      <c r="CE112" s="451">
        <v>0</v>
      </c>
      <c r="CF112" s="451">
        <v>0</v>
      </c>
      <c r="CG112" s="451">
        <v>-180.88</v>
      </c>
      <c r="CH112" s="451">
        <v>43882.26</v>
      </c>
      <c r="CI112" s="451">
        <v>0</v>
      </c>
      <c r="CJ112" s="451">
        <v>0</v>
      </c>
      <c r="CK112" s="451">
        <v>43882.26</v>
      </c>
      <c r="CL112" s="451">
        <v>0</v>
      </c>
      <c r="CM112" s="451">
        <v>0</v>
      </c>
      <c r="CN112" s="451">
        <v>0</v>
      </c>
      <c r="CO112" s="451">
        <v>0</v>
      </c>
      <c r="CP112" s="451">
        <v>5675.55</v>
      </c>
      <c r="CQ112" s="451">
        <v>0</v>
      </c>
      <c r="CR112" s="451">
        <v>0</v>
      </c>
      <c r="CS112" s="451">
        <v>5675.55</v>
      </c>
      <c r="CT112" s="451">
        <v>0</v>
      </c>
      <c r="CU112" s="451">
        <v>0</v>
      </c>
      <c r="CV112" s="451">
        <v>0</v>
      </c>
      <c r="CW112" s="451">
        <v>0</v>
      </c>
      <c r="CX112" s="451">
        <v>5984.22</v>
      </c>
      <c r="CY112" s="451">
        <v>0</v>
      </c>
      <c r="CZ112" s="451">
        <v>0</v>
      </c>
      <c r="DA112" s="451">
        <v>5984.22</v>
      </c>
      <c r="DB112" s="451">
        <v>0</v>
      </c>
      <c r="DC112" s="451">
        <v>0</v>
      </c>
      <c r="DD112" s="451">
        <v>0</v>
      </c>
      <c r="DE112" s="451">
        <v>0</v>
      </c>
      <c r="DF112" s="451">
        <v>0</v>
      </c>
      <c r="DG112" s="451">
        <v>0</v>
      </c>
      <c r="DH112" s="451">
        <v>0</v>
      </c>
      <c r="DI112" s="451">
        <v>0</v>
      </c>
      <c r="DJ112" s="451">
        <v>0</v>
      </c>
      <c r="DK112" s="451">
        <v>0</v>
      </c>
      <c r="DL112" s="451">
        <v>0</v>
      </c>
      <c r="DM112" s="451">
        <v>0</v>
      </c>
      <c r="DN112" s="451">
        <v>0</v>
      </c>
      <c r="DO112" s="451">
        <v>0</v>
      </c>
      <c r="DP112" s="451">
        <v>0</v>
      </c>
      <c r="DQ112" s="451">
        <v>0</v>
      </c>
      <c r="DR112" s="451">
        <v>0</v>
      </c>
      <c r="DS112" s="451">
        <v>0</v>
      </c>
      <c r="DT112" s="451">
        <v>0</v>
      </c>
      <c r="DU112" s="451">
        <v>0</v>
      </c>
      <c r="DV112" s="451">
        <v>0</v>
      </c>
      <c r="DW112" s="451">
        <v>0</v>
      </c>
      <c r="DX112" s="451">
        <v>0</v>
      </c>
      <c r="DY112" s="451">
        <v>0</v>
      </c>
      <c r="DZ112" s="451">
        <v>0</v>
      </c>
      <c r="EA112" s="451">
        <v>0</v>
      </c>
      <c r="EB112" s="451">
        <v>0</v>
      </c>
      <c r="EC112" s="451">
        <v>0</v>
      </c>
      <c r="ED112" s="451">
        <v>0</v>
      </c>
      <c r="EE112" s="451">
        <v>0</v>
      </c>
      <c r="EF112" s="451">
        <v>4240.6099999999997</v>
      </c>
      <c r="EG112" s="451">
        <v>0</v>
      </c>
      <c r="EH112" s="451">
        <v>0</v>
      </c>
      <c r="EI112" s="451">
        <v>4240.6099999999997</v>
      </c>
      <c r="EJ112" s="451">
        <v>0</v>
      </c>
      <c r="EK112" s="451">
        <v>0</v>
      </c>
      <c r="EL112" s="451">
        <v>0</v>
      </c>
      <c r="EM112" s="451">
        <v>0</v>
      </c>
    </row>
    <row r="113" spans="1:143" ht="12.75" x14ac:dyDescent="0.2">
      <c r="A113" s="446">
        <v>107</v>
      </c>
      <c r="B113" s="447" t="s">
        <v>97</v>
      </c>
      <c r="C113" s="448" t="s">
        <v>1093</v>
      </c>
      <c r="D113" s="449" t="s">
        <v>1102</v>
      </c>
      <c r="E113" s="450" t="s">
        <v>96</v>
      </c>
      <c r="F113" s="451">
        <v>59316.5</v>
      </c>
      <c r="G113" s="451">
        <v>0</v>
      </c>
      <c r="H113" s="451">
        <v>0</v>
      </c>
      <c r="I113" s="451">
        <v>59316.5</v>
      </c>
      <c r="J113" s="451">
        <v>-50000.47</v>
      </c>
      <c r="K113" s="451">
        <v>0</v>
      </c>
      <c r="L113" s="451">
        <v>0</v>
      </c>
      <c r="M113" s="451">
        <v>-50000.47</v>
      </c>
      <c r="N113" s="451">
        <v>43976.05</v>
      </c>
      <c r="O113" s="451">
        <v>0</v>
      </c>
      <c r="P113" s="451">
        <v>0</v>
      </c>
      <c r="Q113" s="451">
        <v>43976.05</v>
      </c>
      <c r="R113" s="451">
        <v>228760.28</v>
      </c>
      <c r="S113" s="451">
        <v>0</v>
      </c>
      <c r="T113" s="451">
        <v>0</v>
      </c>
      <c r="U113" s="451">
        <v>228760.28</v>
      </c>
      <c r="V113" s="451">
        <v>1710215.24</v>
      </c>
      <c r="W113" s="451">
        <v>0</v>
      </c>
      <c r="X113" s="451">
        <v>0</v>
      </c>
      <c r="Y113" s="451">
        <v>1710215.24</v>
      </c>
      <c r="Z113" s="451">
        <v>30263.41</v>
      </c>
      <c r="AA113" s="451">
        <v>0</v>
      </c>
      <c r="AB113" s="451">
        <v>0</v>
      </c>
      <c r="AC113" s="451">
        <v>30263.41</v>
      </c>
      <c r="AD113" s="451">
        <v>1005045.28</v>
      </c>
      <c r="AE113" s="451">
        <v>0</v>
      </c>
      <c r="AF113" s="451">
        <v>0</v>
      </c>
      <c r="AG113" s="451">
        <v>1005045.28</v>
      </c>
      <c r="AH113" s="451">
        <v>-9148.11</v>
      </c>
      <c r="AI113" s="451">
        <v>0</v>
      </c>
      <c r="AJ113" s="451">
        <v>0</v>
      </c>
      <c r="AK113" s="451">
        <v>-9148.11</v>
      </c>
      <c r="AL113" s="451">
        <v>2852557.13</v>
      </c>
      <c r="AM113" s="451">
        <v>0</v>
      </c>
      <c r="AN113" s="451">
        <v>0</v>
      </c>
      <c r="AO113" s="451">
        <v>2852557.13</v>
      </c>
      <c r="AP113" s="451">
        <v>-9028.68</v>
      </c>
      <c r="AQ113" s="451">
        <v>0</v>
      </c>
      <c r="AR113" s="451">
        <v>0</v>
      </c>
      <c r="AS113" s="451">
        <v>-9028.68</v>
      </c>
      <c r="AT113" s="451">
        <v>37746.120000000003</v>
      </c>
      <c r="AU113" s="451">
        <v>0</v>
      </c>
      <c r="AV113" s="451">
        <v>0</v>
      </c>
      <c r="AW113" s="451">
        <v>37746.120000000003</v>
      </c>
      <c r="AX113" s="451">
        <v>0</v>
      </c>
      <c r="AY113" s="451">
        <v>0</v>
      </c>
      <c r="AZ113" s="451">
        <v>0</v>
      </c>
      <c r="BA113" s="451">
        <v>0</v>
      </c>
      <c r="BB113" s="451">
        <v>0</v>
      </c>
      <c r="BC113" s="451">
        <v>0</v>
      </c>
      <c r="BD113" s="451">
        <v>0</v>
      </c>
      <c r="BE113" s="451">
        <v>0</v>
      </c>
      <c r="BF113" s="451">
        <v>0</v>
      </c>
      <c r="BG113" s="451">
        <v>0</v>
      </c>
      <c r="BH113" s="451">
        <v>0</v>
      </c>
      <c r="BI113" s="451">
        <v>0</v>
      </c>
      <c r="BJ113" s="451">
        <v>62268.46</v>
      </c>
      <c r="BK113" s="451">
        <v>0</v>
      </c>
      <c r="BL113" s="451">
        <v>0</v>
      </c>
      <c r="BM113" s="451">
        <v>62268.46</v>
      </c>
      <c r="BN113" s="451">
        <v>-9141.4599999999991</v>
      </c>
      <c r="BO113" s="451">
        <v>0</v>
      </c>
      <c r="BP113" s="451">
        <v>0</v>
      </c>
      <c r="BQ113" s="451">
        <v>-9141.4599999999991</v>
      </c>
      <c r="BR113" s="451">
        <v>2147758.5699999998</v>
      </c>
      <c r="BS113" s="451">
        <v>0</v>
      </c>
      <c r="BT113" s="451">
        <v>0</v>
      </c>
      <c r="BU113" s="451">
        <v>2147758.5699999998</v>
      </c>
      <c r="BV113" s="451">
        <v>-81488.52</v>
      </c>
      <c r="BW113" s="451">
        <v>0</v>
      </c>
      <c r="BX113" s="451">
        <v>0</v>
      </c>
      <c r="BY113" s="451">
        <v>-81488.52</v>
      </c>
      <c r="BZ113" s="451">
        <v>2284.35</v>
      </c>
      <c r="CA113" s="451">
        <v>0</v>
      </c>
      <c r="CB113" s="451">
        <v>0</v>
      </c>
      <c r="CC113" s="451">
        <v>2284.35</v>
      </c>
      <c r="CD113" s="451">
        <v>0</v>
      </c>
      <c r="CE113" s="451">
        <v>0</v>
      </c>
      <c r="CF113" s="451">
        <v>0</v>
      </c>
      <c r="CG113" s="451">
        <v>0</v>
      </c>
      <c r="CH113" s="451">
        <v>60751.31</v>
      </c>
      <c r="CI113" s="451">
        <v>0</v>
      </c>
      <c r="CJ113" s="451">
        <v>0</v>
      </c>
      <c r="CK113" s="451">
        <v>60751.31</v>
      </c>
      <c r="CL113" s="451">
        <v>6550.15</v>
      </c>
      <c r="CM113" s="451">
        <v>0</v>
      </c>
      <c r="CN113" s="451">
        <v>0</v>
      </c>
      <c r="CO113" s="451">
        <v>6550.15</v>
      </c>
      <c r="CP113" s="451">
        <v>0</v>
      </c>
      <c r="CQ113" s="451">
        <v>0</v>
      </c>
      <c r="CR113" s="451">
        <v>0</v>
      </c>
      <c r="CS113" s="451">
        <v>0</v>
      </c>
      <c r="CT113" s="451">
        <v>0</v>
      </c>
      <c r="CU113" s="451">
        <v>0</v>
      </c>
      <c r="CV113" s="451">
        <v>0</v>
      </c>
      <c r="CW113" s="451">
        <v>0</v>
      </c>
      <c r="CX113" s="451">
        <v>0</v>
      </c>
      <c r="CY113" s="451">
        <v>0</v>
      </c>
      <c r="CZ113" s="451">
        <v>0</v>
      </c>
      <c r="DA113" s="451">
        <v>0</v>
      </c>
      <c r="DB113" s="451">
        <v>0</v>
      </c>
      <c r="DC113" s="451">
        <v>0</v>
      </c>
      <c r="DD113" s="451">
        <v>0</v>
      </c>
      <c r="DE113" s="451">
        <v>0</v>
      </c>
      <c r="DF113" s="451">
        <v>0</v>
      </c>
      <c r="DG113" s="451">
        <v>0</v>
      </c>
      <c r="DH113" s="451">
        <v>0</v>
      </c>
      <c r="DI113" s="451">
        <v>0</v>
      </c>
      <c r="DJ113" s="451">
        <v>0</v>
      </c>
      <c r="DK113" s="451">
        <v>0</v>
      </c>
      <c r="DL113" s="451">
        <v>0</v>
      </c>
      <c r="DM113" s="451">
        <v>0</v>
      </c>
      <c r="DN113" s="451">
        <v>0</v>
      </c>
      <c r="DO113" s="451">
        <v>0</v>
      </c>
      <c r="DP113" s="451">
        <v>0</v>
      </c>
      <c r="DQ113" s="451">
        <v>0</v>
      </c>
      <c r="DR113" s="451">
        <v>0</v>
      </c>
      <c r="DS113" s="451">
        <v>0</v>
      </c>
      <c r="DT113" s="451">
        <v>0</v>
      </c>
      <c r="DU113" s="451">
        <v>0</v>
      </c>
      <c r="DV113" s="451">
        <v>0</v>
      </c>
      <c r="DW113" s="451">
        <v>0</v>
      </c>
      <c r="DX113" s="451">
        <v>0</v>
      </c>
      <c r="DY113" s="451">
        <v>0</v>
      </c>
      <c r="DZ113" s="451">
        <v>0</v>
      </c>
      <c r="EA113" s="451">
        <v>0</v>
      </c>
      <c r="EB113" s="451">
        <v>0</v>
      </c>
      <c r="EC113" s="451">
        <v>0</v>
      </c>
      <c r="ED113" s="451">
        <v>0</v>
      </c>
      <c r="EE113" s="451">
        <v>0</v>
      </c>
      <c r="EF113" s="451">
        <v>0</v>
      </c>
      <c r="EG113" s="451">
        <v>0</v>
      </c>
      <c r="EH113" s="451">
        <v>0</v>
      </c>
      <c r="EI113" s="451">
        <v>0</v>
      </c>
      <c r="EJ113" s="451">
        <v>0</v>
      </c>
      <c r="EK113" s="451">
        <v>0</v>
      </c>
      <c r="EL113" s="451">
        <v>0</v>
      </c>
      <c r="EM113" s="451">
        <v>0</v>
      </c>
    </row>
    <row r="114" spans="1:143" ht="12.75" x14ac:dyDescent="0.2">
      <c r="A114" s="446">
        <v>108</v>
      </c>
      <c r="B114" s="447" t="s">
        <v>99</v>
      </c>
      <c r="C114" s="448" t="s">
        <v>1093</v>
      </c>
      <c r="D114" s="449" t="s">
        <v>1094</v>
      </c>
      <c r="E114" s="450" t="s">
        <v>98</v>
      </c>
      <c r="F114" s="451">
        <v>94608</v>
      </c>
      <c r="G114" s="451">
        <v>0</v>
      </c>
      <c r="H114" s="451">
        <v>5936</v>
      </c>
      <c r="I114" s="451">
        <v>100544</v>
      </c>
      <c r="J114" s="451">
        <v>-83887</v>
      </c>
      <c r="K114" s="451">
        <v>0</v>
      </c>
      <c r="L114" s="451">
        <v>914</v>
      </c>
      <c r="M114" s="451">
        <v>-82973</v>
      </c>
      <c r="N114" s="451">
        <v>1410</v>
      </c>
      <c r="O114" s="451">
        <v>0</v>
      </c>
      <c r="P114" s="451">
        <v>0</v>
      </c>
      <c r="Q114" s="451">
        <v>1410</v>
      </c>
      <c r="R114" s="451">
        <v>28388</v>
      </c>
      <c r="S114" s="451">
        <v>0</v>
      </c>
      <c r="T114" s="451">
        <v>0</v>
      </c>
      <c r="U114" s="451">
        <v>28388</v>
      </c>
      <c r="V114" s="451">
        <v>1247348</v>
      </c>
      <c r="W114" s="451">
        <v>0</v>
      </c>
      <c r="X114" s="451">
        <v>20285</v>
      </c>
      <c r="Y114" s="451">
        <v>1267633</v>
      </c>
      <c r="Z114" s="451">
        <v>47508</v>
      </c>
      <c r="AA114" s="451">
        <v>0</v>
      </c>
      <c r="AB114" s="451">
        <v>0</v>
      </c>
      <c r="AC114" s="451">
        <v>47508</v>
      </c>
      <c r="AD114" s="451">
        <v>282404</v>
      </c>
      <c r="AE114" s="451">
        <v>0</v>
      </c>
      <c r="AF114" s="451">
        <v>7265</v>
      </c>
      <c r="AG114" s="451">
        <v>289669</v>
      </c>
      <c r="AH114" s="451">
        <v>-10341</v>
      </c>
      <c r="AI114" s="451">
        <v>0</v>
      </c>
      <c r="AJ114" s="451">
        <v>201</v>
      </c>
      <c r="AK114" s="451">
        <v>-10140</v>
      </c>
      <c r="AL114" s="451">
        <v>983468</v>
      </c>
      <c r="AM114" s="451">
        <v>0</v>
      </c>
      <c r="AN114" s="451">
        <v>21817</v>
      </c>
      <c r="AO114" s="451">
        <v>1005285</v>
      </c>
      <c r="AP114" s="451">
        <v>28705</v>
      </c>
      <c r="AQ114" s="451">
        <v>0</v>
      </c>
      <c r="AR114" s="451">
        <v>78</v>
      </c>
      <c r="AS114" s="451">
        <v>28783</v>
      </c>
      <c r="AT114" s="451">
        <v>15241</v>
      </c>
      <c r="AU114" s="451">
        <v>0</v>
      </c>
      <c r="AV114" s="451">
        <v>0</v>
      </c>
      <c r="AW114" s="451">
        <v>15241</v>
      </c>
      <c r="AX114" s="451">
        <v>0</v>
      </c>
      <c r="AY114" s="451">
        <v>0</v>
      </c>
      <c r="AZ114" s="451">
        <v>0</v>
      </c>
      <c r="BA114" s="451">
        <v>0</v>
      </c>
      <c r="BB114" s="451">
        <v>0</v>
      </c>
      <c r="BC114" s="451">
        <v>0</v>
      </c>
      <c r="BD114" s="451">
        <v>0</v>
      </c>
      <c r="BE114" s="451">
        <v>0</v>
      </c>
      <c r="BF114" s="451">
        <v>0</v>
      </c>
      <c r="BG114" s="451">
        <v>0</v>
      </c>
      <c r="BH114" s="451">
        <v>0</v>
      </c>
      <c r="BI114" s="451">
        <v>0</v>
      </c>
      <c r="BJ114" s="451">
        <v>0</v>
      </c>
      <c r="BK114" s="451">
        <v>0</v>
      </c>
      <c r="BL114" s="451">
        <v>0</v>
      </c>
      <c r="BM114" s="451">
        <v>0</v>
      </c>
      <c r="BN114" s="451">
        <v>2107</v>
      </c>
      <c r="BO114" s="451">
        <v>0</v>
      </c>
      <c r="BP114" s="451">
        <v>0</v>
      </c>
      <c r="BQ114" s="451">
        <v>2107</v>
      </c>
      <c r="BR114" s="451">
        <v>382507</v>
      </c>
      <c r="BS114" s="451">
        <v>0</v>
      </c>
      <c r="BT114" s="451">
        <v>18583</v>
      </c>
      <c r="BU114" s="451">
        <v>401090</v>
      </c>
      <c r="BV114" s="451">
        <v>4651</v>
      </c>
      <c r="BW114" s="451">
        <v>0</v>
      </c>
      <c r="BX114" s="451">
        <v>880</v>
      </c>
      <c r="BY114" s="451">
        <v>5531</v>
      </c>
      <c r="BZ114" s="451">
        <v>66714</v>
      </c>
      <c r="CA114" s="451">
        <v>0</v>
      </c>
      <c r="CB114" s="451">
        <v>1003</v>
      </c>
      <c r="CC114" s="451">
        <v>67717</v>
      </c>
      <c r="CD114" s="451">
        <v>-18131</v>
      </c>
      <c r="CE114" s="451">
        <v>0</v>
      </c>
      <c r="CF114" s="451">
        <v>20</v>
      </c>
      <c r="CG114" s="451">
        <v>-18111</v>
      </c>
      <c r="CH114" s="451">
        <v>225714</v>
      </c>
      <c r="CI114" s="451">
        <v>0</v>
      </c>
      <c r="CJ114" s="451">
        <v>4451</v>
      </c>
      <c r="CK114" s="451">
        <v>230165</v>
      </c>
      <c r="CL114" s="451">
        <v>29790</v>
      </c>
      <c r="CM114" s="451">
        <v>0</v>
      </c>
      <c r="CN114" s="451">
        <v>0</v>
      </c>
      <c r="CO114" s="451">
        <v>29790</v>
      </c>
      <c r="CP114" s="451">
        <v>0</v>
      </c>
      <c r="CQ114" s="451">
        <v>0</v>
      </c>
      <c r="CR114" s="451">
        <v>0</v>
      </c>
      <c r="CS114" s="451">
        <v>0</v>
      </c>
      <c r="CT114" s="451">
        <v>0</v>
      </c>
      <c r="CU114" s="451">
        <v>0</v>
      </c>
      <c r="CV114" s="451">
        <v>0</v>
      </c>
      <c r="CW114" s="451">
        <v>0</v>
      </c>
      <c r="CX114" s="451">
        <v>0</v>
      </c>
      <c r="CY114" s="451">
        <v>0</v>
      </c>
      <c r="CZ114" s="451">
        <v>0</v>
      </c>
      <c r="DA114" s="451">
        <v>0</v>
      </c>
      <c r="DB114" s="451">
        <v>0</v>
      </c>
      <c r="DC114" s="451">
        <v>0</v>
      </c>
      <c r="DD114" s="451">
        <v>0</v>
      </c>
      <c r="DE114" s="451">
        <v>0</v>
      </c>
      <c r="DF114" s="451">
        <v>0</v>
      </c>
      <c r="DG114" s="451">
        <v>0</v>
      </c>
      <c r="DH114" s="451">
        <v>0</v>
      </c>
      <c r="DI114" s="451">
        <v>0</v>
      </c>
      <c r="DJ114" s="451">
        <v>0</v>
      </c>
      <c r="DK114" s="451">
        <v>0</v>
      </c>
      <c r="DL114" s="451">
        <v>0</v>
      </c>
      <c r="DM114" s="451">
        <v>0</v>
      </c>
      <c r="DN114" s="451">
        <v>0</v>
      </c>
      <c r="DO114" s="451">
        <v>0</v>
      </c>
      <c r="DP114" s="451">
        <v>75850</v>
      </c>
      <c r="DQ114" s="451">
        <v>75850</v>
      </c>
      <c r="DR114" s="451">
        <v>0</v>
      </c>
      <c r="DS114" s="451">
        <v>0</v>
      </c>
      <c r="DT114" s="451">
        <v>34565</v>
      </c>
      <c r="DU114" s="451">
        <v>34565</v>
      </c>
      <c r="DV114" s="451">
        <v>110415</v>
      </c>
      <c r="DW114" s="451">
        <v>0</v>
      </c>
      <c r="DX114" s="451">
        <v>0</v>
      </c>
      <c r="DY114" s="451">
        <v>0</v>
      </c>
      <c r="DZ114" s="451">
        <v>0</v>
      </c>
      <c r="EA114" s="451">
        <v>0</v>
      </c>
      <c r="EB114" s="451">
        <v>0</v>
      </c>
      <c r="EC114" s="451">
        <v>0</v>
      </c>
      <c r="ED114" s="451">
        <v>0</v>
      </c>
      <c r="EE114" s="451">
        <v>0</v>
      </c>
      <c r="EF114" s="451">
        <v>0</v>
      </c>
      <c r="EG114" s="451">
        <v>0</v>
      </c>
      <c r="EH114" s="451">
        <v>0</v>
      </c>
      <c r="EI114" s="451">
        <v>0</v>
      </c>
      <c r="EJ114" s="451">
        <v>0</v>
      </c>
      <c r="EK114" s="451">
        <v>0</v>
      </c>
      <c r="EL114" s="451">
        <v>0</v>
      </c>
      <c r="EM114" s="451">
        <v>0</v>
      </c>
    </row>
    <row r="115" spans="1:143" ht="12.75" x14ac:dyDescent="0.2">
      <c r="A115" s="446">
        <v>109</v>
      </c>
      <c r="B115" s="447" t="s">
        <v>101</v>
      </c>
      <c r="C115" s="448" t="s">
        <v>1093</v>
      </c>
      <c r="D115" s="449" t="s">
        <v>1094</v>
      </c>
      <c r="E115" s="450" t="s">
        <v>100</v>
      </c>
      <c r="F115" s="451">
        <v>68514</v>
      </c>
      <c r="G115" s="451">
        <v>0</v>
      </c>
      <c r="H115" s="451">
        <v>0</v>
      </c>
      <c r="I115" s="451">
        <v>68514</v>
      </c>
      <c r="J115" s="451">
        <v>-33747</v>
      </c>
      <c r="K115" s="451">
        <v>0</v>
      </c>
      <c r="L115" s="451">
        <v>0</v>
      </c>
      <c r="M115" s="451">
        <v>-33747</v>
      </c>
      <c r="N115" s="451">
        <v>2718</v>
      </c>
      <c r="O115" s="451">
        <v>0</v>
      </c>
      <c r="P115" s="451">
        <v>0</v>
      </c>
      <c r="Q115" s="451">
        <v>2718</v>
      </c>
      <c r="R115" s="451">
        <v>139878</v>
      </c>
      <c r="S115" s="451">
        <v>0</v>
      </c>
      <c r="T115" s="451">
        <v>0</v>
      </c>
      <c r="U115" s="451">
        <v>139878</v>
      </c>
      <c r="V115" s="451">
        <v>1409046</v>
      </c>
      <c r="W115" s="451">
        <v>0</v>
      </c>
      <c r="X115" s="451">
        <v>0</v>
      </c>
      <c r="Y115" s="451">
        <v>1409046</v>
      </c>
      <c r="Z115" s="451">
        <v>148223</v>
      </c>
      <c r="AA115" s="451">
        <v>0</v>
      </c>
      <c r="AB115" s="451">
        <v>0</v>
      </c>
      <c r="AC115" s="451">
        <v>148223</v>
      </c>
      <c r="AD115" s="451">
        <v>445642</v>
      </c>
      <c r="AE115" s="451">
        <v>0</v>
      </c>
      <c r="AF115" s="451">
        <v>0</v>
      </c>
      <c r="AG115" s="451">
        <v>445642</v>
      </c>
      <c r="AH115" s="451">
        <v>12325</v>
      </c>
      <c r="AI115" s="451">
        <v>0</v>
      </c>
      <c r="AJ115" s="451">
        <v>0</v>
      </c>
      <c r="AK115" s="451">
        <v>12325</v>
      </c>
      <c r="AL115" s="451">
        <v>2250958</v>
      </c>
      <c r="AM115" s="451">
        <v>0</v>
      </c>
      <c r="AN115" s="451">
        <v>0</v>
      </c>
      <c r="AO115" s="451">
        <v>2250958</v>
      </c>
      <c r="AP115" s="451">
        <v>128964</v>
      </c>
      <c r="AQ115" s="451">
        <v>0</v>
      </c>
      <c r="AR115" s="451">
        <v>0</v>
      </c>
      <c r="AS115" s="451">
        <v>128964</v>
      </c>
      <c r="AT115" s="451">
        <v>37218</v>
      </c>
      <c r="AU115" s="451">
        <v>0</v>
      </c>
      <c r="AV115" s="451">
        <v>0</v>
      </c>
      <c r="AW115" s="451">
        <v>37218</v>
      </c>
      <c r="AX115" s="451">
        <v>326</v>
      </c>
      <c r="AY115" s="451">
        <v>0</v>
      </c>
      <c r="AZ115" s="451">
        <v>0</v>
      </c>
      <c r="BA115" s="451">
        <v>326</v>
      </c>
      <c r="BB115" s="451">
        <v>10206</v>
      </c>
      <c r="BC115" s="451">
        <v>0</v>
      </c>
      <c r="BD115" s="451">
        <v>0</v>
      </c>
      <c r="BE115" s="451">
        <v>10206</v>
      </c>
      <c r="BF115" s="451">
        <v>0</v>
      </c>
      <c r="BG115" s="451">
        <v>0</v>
      </c>
      <c r="BH115" s="451">
        <v>0</v>
      </c>
      <c r="BI115" s="451">
        <v>0</v>
      </c>
      <c r="BJ115" s="451">
        <v>0</v>
      </c>
      <c r="BK115" s="451">
        <v>0</v>
      </c>
      <c r="BL115" s="451">
        <v>0</v>
      </c>
      <c r="BM115" s="451">
        <v>0</v>
      </c>
      <c r="BN115" s="451">
        <v>0</v>
      </c>
      <c r="BO115" s="451">
        <v>0</v>
      </c>
      <c r="BP115" s="451">
        <v>0</v>
      </c>
      <c r="BQ115" s="451">
        <v>0</v>
      </c>
      <c r="BR115" s="451">
        <v>869957</v>
      </c>
      <c r="BS115" s="451">
        <v>0</v>
      </c>
      <c r="BT115" s="451">
        <v>0</v>
      </c>
      <c r="BU115" s="451">
        <v>869957</v>
      </c>
      <c r="BV115" s="451">
        <v>37348</v>
      </c>
      <c r="BW115" s="451">
        <v>0</v>
      </c>
      <c r="BX115" s="451">
        <v>0</v>
      </c>
      <c r="BY115" s="451">
        <v>37348</v>
      </c>
      <c r="BZ115" s="451">
        <v>124170</v>
      </c>
      <c r="CA115" s="451">
        <v>0</v>
      </c>
      <c r="CB115" s="451">
        <v>0</v>
      </c>
      <c r="CC115" s="451">
        <v>124170</v>
      </c>
      <c r="CD115" s="451">
        <v>1017</v>
      </c>
      <c r="CE115" s="451">
        <v>0</v>
      </c>
      <c r="CF115" s="451">
        <v>0</v>
      </c>
      <c r="CG115" s="451">
        <v>1017</v>
      </c>
      <c r="CH115" s="451">
        <v>18525</v>
      </c>
      <c r="CI115" s="451">
        <v>0</v>
      </c>
      <c r="CJ115" s="451">
        <v>0</v>
      </c>
      <c r="CK115" s="451">
        <v>18525</v>
      </c>
      <c r="CL115" s="451">
        <v>0</v>
      </c>
      <c r="CM115" s="451">
        <v>0</v>
      </c>
      <c r="CN115" s="451">
        <v>0</v>
      </c>
      <c r="CO115" s="451">
        <v>0</v>
      </c>
      <c r="CP115" s="451">
        <v>214</v>
      </c>
      <c r="CQ115" s="451">
        <v>0</v>
      </c>
      <c r="CR115" s="451">
        <v>0</v>
      </c>
      <c r="CS115" s="451">
        <v>214</v>
      </c>
      <c r="CT115" s="451">
        <v>0</v>
      </c>
      <c r="CU115" s="451">
        <v>0</v>
      </c>
      <c r="CV115" s="451">
        <v>0</v>
      </c>
      <c r="CW115" s="451">
        <v>0</v>
      </c>
      <c r="CX115" s="451">
        <v>2809</v>
      </c>
      <c r="CY115" s="451">
        <v>0</v>
      </c>
      <c r="CZ115" s="451">
        <v>0</v>
      </c>
      <c r="DA115" s="451">
        <v>2809</v>
      </c>
      <c r="DB115" s="451">
        <v>0</v>
      </c>
      <c r="DC115" s="451">
        <v>0</v>
      </c>
      <c r="DD115" s="451">
        <v>0</v>
      </c>
      <c r="DE115" s="451">
        <v>0</v>
      </c>
      <c r="DF115" s="451">
        <v>0</v>
      </c>
      <c r="DG115" s="451">
        <v>0</v>
      </c>
      <c r="DH115" s="451">
        <v>0</v>
      </c>
      <c r="DI115" s="451">
        <v>0</v>
      </c>
      <c r="DJ115" s="451">
        <v>0</v>
      </c>
      <c r="DK115" s="451">
        <v>0</v>
      </c>
      <c r="DL115" s="451">
        <v>0</v>
      </c>
      <c r="DM115" s="451">
        <v>0</v>
      </c>
      <c r="DN115" s="451">
        <v>0</v>
      </c>
      <c r="DO115" s="451">
        <v>0</v>
      </c>
      <c r="DP115" s="451">
        <v>0</v>
      </c>
      <c r="DQ115" s="451">
        <v>0</v>
      </c>
      <c r="DR115" s="451">
        <v>0</v>
      </c>
      <c r="DS115" s="451">
        <v>0</v>
      </c>
      <c r="DT115" s="451">
        <v>0</v>
      </c>
      <c r="DU115" s="451">
        <v>0</v>
      </c>
      <c r="DV115" s="451">
        <v>0</v>
      </c>
      <c r="DW115" s="451">
        <v>0</v>
      </c>
      <c r="DX115" s="451">
        <v>0</v>
      </c>
      <c r="DY115" s="451">
        <v>0</v>
      </c>
      <c r="DZ115" s="451">
        <v>0</v>
      </c>
      <c r="EA115" s="451">
        <v>0</v>
      </c>
      <c r="EB115" s="451">
        <v>0</v>
      </c>
      <c r="EC115" s="451">
        <v>0</v>
      </c>
      <c r="ED115" s="451">
        <v>0</v>
      </c>
      <c r="EE115" s="451">
        <v>0</v>
      </c>
      <c r="EF115" s="451">
        <v>0</v>
      </c>
      <c r="EG115" s="451">
        <v>0</v>
      </c>
      <c r="EH115" s="451">
        <v>0</v>
      </c>
      <c r="EI115" s="451">
        <v>0</v>
      </c>
      <c r="EJ115" s="451">
        <v>0</v>
      </c>
      <c r="EK115" s="451">
        <v>0</v>
      </c>
      <c r="EL115" s="451">
        <v>0</v>
      </c>
      <c r="EM115" s="451">
        <v>0</v>
      </c>
    </row>
    <row r="116" spans="1:143" ht="12.75" x14ac:dyDescent="0.2">
      <c r="A116" s="446">
        <v>110</v>
      </c>
      <c r="B116" s="447" t="s">
        <v>103</v>
      </c>
      <c r="C116" s="448" t="s">
        <v>1093</v>
      </c>
      <c r="D116" s="449" t="s">
        <v>1097</v>
      </c>
      <c r="E116" s="450" t="s">
        <v>102</v>
      </c>
      <c r="F116" s="451">
        <v>655663.38</v>
      </c>
      <c r="G116" s="451">
        <v>0</v>
      </c>
      <c r="H116" s="451">
        <v>0</v>
      </c>
      <c r="I116" s="451">
        <v>655663.38</v>
      </c>
      <c r="J116" s="451">
        <v>-30570.44</v>
      </c>
      <c r="K116" s="451">
        <v>0</v>
      </c>
      <c r="L116" s="451">
        <v>0</v>
      </c>
      <c r="M116" s="451">
        <v>-30570.44</v>
      </c>
      <c r="N116" s="451">
        <v>13963</v>
      </c>
      <c r="O116" s="451">
        <v>0</v>
      </c>
      <c r="P116" s="451">
        <v>-56567.040000000001</v>
      </c>
      <c r="Q116" s="451">
        <v>-42604.04</v>
      </c>
      <c r="R116" s="451">
        <v>-119671.4</v>
      </c>
      <c r="S116" s="451">
        <v>0</v>
      </c>
      <c r="T116" s="451">
        <v>0</v>
      </c>
      <c r="U116" s="451">
        <v>-119671.4</v>
      </c>
      <c r="V116" s="451">
        <v>2476084.71</v>
      </c>
      <c r="W116" s="451">
        <v>0</v>
      </c>
      <c r="X116" s="451">
        <v>0</v>
      </c>
      <c r="Y116" s="451">
        <v>2476084.71</v>
      </c>
      <c r="Z116" s="451">
        <v>138353.60000000001</v>
      </c>
      <c r="AA116" s="451">
        <v>0</v>
      </c>
      <c r="AB116" s="451">
        <v>0</v>
      </c>
      <c r="AC116" s="451">
        <v>138353.60000000001</v>
      </c>
      <c r="AD116" s="451">
        <v>542230.04</v>
      </c>
      <c r="AE116" s="451">
        <v>0</v>
      </c>
      <c r="AF116" s="451">
        <v>5976.94</v>
      </c>
      <c r="AG116" s="451">
        <v>548206.98</v>
      </c>
      <c r="AH116" s="451">
        <v>-11796.86</v>
      </c>
      <c r="AI116" s="451">
        <v>0</v>
      </c>
      <c r="AJ116" s="451">
        <v>26.03</v>
      </c>
      <c r="AK116" s="451">
        <v>-11770.83</v>
      </c>
      <c r="AL116" s="451">
        <v>1523498.5</v>
      </c>
      <c r="AM116" s="451">
        <v>0</v>
      </c>
      <c r="AN116" s="451">
        <v>0</v>
      </c>
      <c r="AO116" s="451">
        <v>1523498.5</v>
      </c>
      <c r="AP116" s="451">
        <v>25645.71</v>
      </c>
      <c r="AQ116" s="451">
        <v>0</v>
      </c>
      <c r="AR116" s="451">
        <v>0</v>
      </c>
      <c r="AS116" s="451">
        <v>25645.71</v>
      </c>
      <c r="AT116" s="451">
        <v>18840</v>
      </c>
      <c r="AU116" s="451">
        <v>0</v>
      </c>
      <c r="AV116" s="451">
        <v>0</v>
      </c>
      <c r="AW116" s="451">
        <v>18840</v>
      </c>
      <c r="AX116" s="451">
        <v>0</v>
      </c>
      <c r="AY116" s="451">
        <v>0</v>
      </c>
      <c r="AZ116" s="451">
        <v>0</v>
      </c>
      <c r="BA116" s="451">
        <v>0</v>
      </c>
      <c r="BB116" s="451">
        <v>1492.4</v>
      </c>
      <c r="BC116" s="451">
        <v>0</v>
      </c>
      <c r="BD116" s="451">
        <v>0</v>
      </c>
      <c r="BE116" s="451">
        <v>1492.4</v>
      </c>
      <c r="BF116" s="451">
        <v>0</v>
      </c>
      <c r="BG116" s="451">
        <v>0</v>
      </c>
      <c r="BH116" s="451">
        <v>0</v>
      </c>
      <c r="BI116" s="451">
        <v>0</v>
      </c>
      <c r="BJ116" s="451">
        <v>0</v>
      </c>
      <c r="BK116" s="451">
        <v>0</v>
      </c>
      <c r="BL116" s="451">
        <v>0</v>
      </c>
      <c r="BM116" s="451">
        <v>0</v>
      </c>
      <c r="BN116" s="451">
        <v>0</v>
      </c>
      <c r="BO116" s="451">
        <v>0</v>
      </c>
      <c r="BP116" s="451">
        <v>0</v>
      </c>
      <c r="BQ116" s="451">
        <v>0</v>
      </c>
      <c r="BR116" s="451">
        <v>1068730.73</v>
      </c>
      <c r="BS116" s="451">
        <v>0</v>
      </c>
      <c r="BT116" s="451">
        <v>173.88</v>
      </c>
      <c r="BU116" s="451">
        <v>1068904.6100000001</v>
      </c>
      <c r="BV116" s="451">
        <v>42184.59</v>
      </c>
      <c r="BW116" s="451">
        <v>0</v>
      </c>
      <c r="BX116" s="451">
        <v>0</v>
      </c>
      <c r="BY116" s="451">
        <v>42184.59</v>
      </c>
      <c r="BZ116" s="451">
        <v>105471.56</v>
      </c>
      <c r="CA116" s="451">
        <v>0</v>
      </c>
      <c r="CB116" s="451">
        <v>0</v>
      </c>
      <c r="CC116" s="451">
        <v>105471.56</v>
      </c>
      <c r="CD116" s="451">
        <v>1028.52</v>
      </c>
      <c r="CE116" s="451">
        <v>0</v>
      </c>
      <c r="CF116" s="451">
        <v>0</v>
      </c>
      <c r="CG116" s="451">
        <v>1028.52</v>
      </c>
      <c r="CH116" s="451">
        <v>37157.279999999999</v>
      </c>
      <c r="CI116" s="451">
        <v>0</v>
      </c>
      <c r="CJ116" s="451">
        <v>0</v>
      </c>
      <c r="CK116" s="451">
        <v>37157.279999999999</v>
      </c>
      <c r="CL116" s="451">
        <v>0</v>
      </c>
      <c r="CM116" s="451">
        <v>0</v>
      </c>
      <c r="CN116" s="451">
        <v>0</v>
      </c>
      <c r="CO116" s="451">
        <v>0</v>
      </c>
      <c r="CP116" s="451">
        <v>0</v>
      </c>
      <c r="CQ116" s="451">
        <v>0</v>
      </c>
      <c r="CR116" s="451">
        <v>0</v>
      </c>
      <c r="CS116" s="451">
        <v>0</v>
      </c>
      <c r="CT116" s="451">
        <v>0</v>
      </c>
      <c r="CU116" s="451">
        <v>0</v>
      </c>
      <c r="CV116" s="451">
        <v>0</v>
      </c>
      <c r="CW116" s="451">
        <v>0</v>
      </c>
      <c r="CX116" s="451">
        <v>765.37</v>
      </c>
      <c r="CY116" s="451">
        <v>0</v>
      </c>
      <c r="CZ116" s="451">
        <v>0</v>
      </c>
      <c r="DA116" s="451">
        <v>765.37</v>
      </c>
      <c r="DB116" s="451">
        <v>0</v>
      </c>
      <c r="DC116" s="451">
        <v>0</v>
      </c>
      <c r="DD116" s="451">
        <v>0</v>
      </c>
      <c r="DE116" s="451">
        <v>0</v>
      </c>
      <c r="DF116" s="451">
        <v>0</v>
      </c>
      <c r="DG116" s="451">
        <v>0</v>
      </c>
      <c r="DH116" s="451">
        <v>0</v>
      </c>
      <c r="DI116" s="451">
        <v>0</v>
      </c>
      <c r="DJ116" s="451">
        <v>0</v>
      </c>
      <c r="DK116" s="451">
        <v>0</v>
      </c>
      <c r="DL116" s="451">
        <v>0</v>
      </c>
      <c r="DM116" s="451">
        <v>0</v>
      </c>
      <c r="DN116" s="451">
        <v>0</v>
      </c>
      <c r="DO116" s="451">
        <v>0</v>
      </c>
      <c r="DP116" s="451">
        <v>290179</v>
      </c>
      <c r="DQ116" s="451">
        <v>290179</v>
      </c>
      <c r="DR116" s="451">
        <v>0</v>
      </c>
      <c r="DS116" s="451">
        <v>0</v>
      </c>
      <c r="DT116" s="451">
        <v>59699</v>
      </c>
      <c r="DU116" s="451">
        <v>59699</v>
      </c>
      <c r="DV116" s="451">
        <v>349878</v>
      </c>
      <c r="DW116" s="451">
        <v>0</v>
      </c>
      <c r="DX116" s="451">
        <v>0</v>
      </c>
      <c r="DY116" s="451">
        <v>0</v>
      </c>
      <c r="DZ116" s="451">
        <v>0</v>
      </c>
      <c r="EA116" s="451">
        <v>0</v>
      </c>
      <c r="EB116" s="451">
        <v>0</v>
      </c>
      <c r="EC116" s="451">
        <v>0</v>
      </c>
      <c r="ED116" s="451">
        <v>0</v>
      </c>
      <c r="EE116" s="451">
        <v>0</v>
      </c>
      <c r="EF116" s="451">
        <v>0</v>
      </c>
      <c r="EG116" s="451">
        <v>0</v>
      </c>
      <c r="EH116" s="451">
        <v>0</v>
      </c>
      <c r="EI116" s="451">
        <v>0</v>
      </c>
      <c r="EJ116" s="451">
        <v>0</v>
      </c>
      <c r="EK116" s="451">
        <v>0</v>
      </c>
      <c r="EL116" s="451">
        <v>0</v>
      </c>
      <c r="EM116" s="451">
        <v>0</v>
      </c>
    </row>
    <row r="117" spans="1:143" ht="12.75" x14ac:dyDescent="0.2">
      <c r="A117" s="446">
        <v>111</v>
      </c>
      <c r="B117" s="447" t="s">
        <v>105</v>
      </c>
      <c r="C117" s="448" t="s">
        <v>1104</v>
      </c>
      <c r="D117" s="449" t="s">
        <v>1099</v>
      </c>
      <c r="E117" s="450" t="s">
        <v>104</v>
      </c>
      <c r="F117" s="451">
        <v>88909.38</v>
      </c>
      <c r="G117" s="451">
        <v>0</v>
      </c>
      <c r="H117" s="451">
        <v>0</v>
      </c>
      <c r="I117" s="451">
        <v>88909.38</v>
      </c>
      <c r="J117" s="451">
        <v>-120166.31</v>
      </c>
      <c r="K117" s="451">
        <v>0</v>
      </c>
      <c r="L117" s="451">
        <v>0</v>
      </c>
      <c r="M117" s="451">
        <v>-120166.31</v>
      </c>
      <c r="N117" s="451">
        <v>84902.86</v>
      </c>
      <c r="O117" s="451">
        <v>0</v>
      </c>
      <c r="P117" s="451">
        <v>0</v>
      </c>
      <c r="Q117" s="451">
        <v>84902.86</v>
      </c>
      <c r="R117" s="451">
        <v>45849.19</v>
      </c>
      <c r="S117" s="451">
        <v>0</v>
      </c>
      <c r="T117" s="451">
        <v>0</v>
      </c>
      <c r="U117" s="451">
        <v>45849.19</v>
      </c>
      <c r="V117" s="451">
        <v>3125252.38</v>
      </c>
      <c r="W117" s="451">
        <v>0</v>
      </c>
      <c r="X117" s="451">
        <v>0</v>
      </c>
      <c r="Y117" s="451">
        <v>3125252.38</v>
      </c>
      <c r="Z117" s="451">
        <v>100847.87</v>
      </c>
      <c r="AA117" s="451">
        <v>0</v>
      </c>
      <c r="AB117" s="451">
        <v>0</v>
      </c>
      <c r="AC117" s="451">
        <v>100847.87</v>
      </c>
      <c r="AD117" s="451">
        <v>1351925.43</v>
      </c>
      <c r="AE117" s="451">
        <v>0</v>
      </c>
      <c r="AF117" s="451">
        <v>0</v>
      </c>
      <c r="AG117" s="451">
        <v>1351925.43</v>
      </c>
      <c r="AH117" s="451">
        <v>29368.12</v>
      </c>
      <c r="AI117" s="451">
        <v>0</v>
      </c>
      <c r="AJ117" s="451">
        <v>0</v>
      </c>
      <c r="AK117" s="451">
        <v>29368.12</v>
      </c>
      <c r="AL117" s="451">
        <v>7047343.54</v>
      </c>
      <c r="AM117" s="451">
        <v>0</v>
      </c>
      <c r="AN117" s="451">
        <v>0</v>
      </c>
      <c r="AO117" s="451">
        <v>7047343.54</v>
      </c>
      <c r="AP117" s="451">
        <v>59061.88</v>
      </c>
      <c r="AQ117" s="451">
        <v>0</v>
      </c>
      <c r="AR117" s="451">
        <v>0</v>
      </c>
      <c r="AS117" s="451">
        <v>59061.88</v>
      </c>
      <c r="AT117" s="451">
        <v>127641.1</v>
      </c>
      <c r="AU117" s="451">
        <v>0</v>
      </c>
      <c r="AV117" s="451">
        <v>0</v>
      </c>
      <c r="AW117" s="451">
        <v>127641.1</v>
      </c>
      <c r="AX117" s="451">
        <v>0</v>
      </c>
      <c r="AY117" s="451">
        <v>0</v>
      </c>
      <c r="AZ117" s="451">
        <v>0</v>
      </c>
      <c r="BA117" s="451">
        <v>0</v>
      </c>
      <c r="BB117" s="451">
        <v>0</v>
      </c>
      <c r="BC117" s="451">
        <v>0</v>
      </c>
      <c r="BD117" s="451">
        <v>0</v>
      </c>
      <c r="BE117" s="451">
        <v>0</v>
      </c>
      <c r="BF117" s="451">
        <v>0</v>
      </c>
      <c r="BG117" s="451">
        <v>0</v>
      </c>
      <c r="BH117" s="451">
        <v>0</v>
      </c>
      <c r="BI117" s="451">
        <v>0</v>
      </c>
      <c r="BJ117" s="451">
        <v>106534.47</v>
      </c>
      <c r="BK117" s="451">
        <v>0</v>
      </c>
      <c r="BL117" s="451">
        <v>0</v>
      </c>
      <c r="BM117" s="451">
        <v>106534.47</v>
      </c>
      <c r="BN117" s="451">
        <v>0</v>
      </c>
      <c r="BO117" s="451">
        <v>0</v>
      </c>
      <c r="BP117" s="451">
        <v>0</v>
      </c>
      <c r="BQ117" s="451">
        <v>0</v>
      </c>
      <c r="BR117" s="451">
        <v>2713627.67</v>
      </c>
      <c r="BS117" s="451">
        <v>0</v>
      </c>
      <c r="BT117" s="451">
        <v>0</v>
      </c>
      <c r="BU117" s="451">
        <v>2713627.67</v>
      </c>
      <c r="BV117" s="451">
        <v>-83165.3</v>
      </c>
      <c r="BW117" s="451">
        <v>0</v>
      </c>
      <c r="BX117" s="451">
        <v>0</v>
      </c>
      <c r="BY117" s="451">
        <v>-83165.3</v>
      </c>
      <c r="BZ117" s="451">
        <v>517590.92</v>
      </c>
      <c r="CA117" s="451">
        <v>0</v>
      </c>
      <c r="CB117" s="451">
        <v>0</v>
      </c>
      <c r="CC117" s="451">
        <v>517590.92</v>
      </c>
      <c r="CD117" s="451">
        <v>186.59</v>
      </c>
      <c r="CE117" s="451">
        <v>0</v>
      </c>
      <c r="CF117" s="451">
        <v>0</v>
      </c>
      <c r="CG117" s="451">
        <v>186.59</v>
      </c>
      <c r="CH117" s="451">
        <v>57196.89</v>
      </c>
      <c r="CI117" s="451">
        <v>0</v>
      </c>
      <c r="CJ117" s="451">
        <v>0</v>
      </c>
      <c r="CK117" s="451">
        <v>57196.89</v>
      </c>
      <c r="CL117" s="451">
        <v>0</v>
      </c>
      <c r="CM117" s="451">
        <v>0</v>
      </c>
      <c r="CN117" s="451">
        <v>0</v>
      </c>
      <c r="CO117" s="451">
        <v>0</v>
      </c>
      <c r="CP117" s="451">
        <v>0</v>
      </c>
      <c r="CQ117" s="451">
        <v>0</v>
      </c>
      <c r="CR117" s="451">
        <v>0</v>
      </c>
      <c r="CS117" s="451">
        <v>0</v>
      </c>
      <c r="CT117" s="451">
        <v>0</v>
      </c>
      <c r="CU117" s="451">
        <v>0</v>
      </c>
      <c r="CV117" s="451">
        <v>0</v>
      </c>
      <c r="CW117" s="451">
        <v>0</v>
      </c>
      <c r="CX117" s="451">
        <v>0</v>
      </c>
      <c r="CY117" s="451">
        <v>0</v>
      </c>
      <c r="CZ117" s="451">
        <v>0</v>
      </c>
      <c r="DA117" s="451">
        <v>0</v>
      </c>
      <c r="DB117" s="451">
        <v>0</v>
      </c>
      <c r="DC117" s="451">
        <v>0</v>
      </c>
      <c r="DD117" s="451">
        <v>0</v>
      </c>
      <c r="DE117" s="451">
        <v>0</v>
      </c>
      <c r="DF117" s="451">
        <v>0</v>
      </c>
      <c r="DG117" s="451">
        <v>0</v>
      </c>
      <c r="DH117" s="451">
        <v>0</v>
      </c>
      <c r="DI117" s="451">
        <v>0</v>
      </c>
      <c r="DJ117" s="451">
        <v>0</v>
      </c>
      <c r="DK117" s="451">
        <v>0</v>
      </c>
      <c r="DL117" s="451">
        <v>0</v>
      </c>
      <c r="DM117" s="451">
        <v>0</v>
      </c>
      <c r="DN117" s="451">
        <v>0</v>
      </c>
      <c r="DO117" s="451">
        <v>0</v>
      </c>
      <c r="DP117" s="451">
        <v>0</v>
      </c>
      <c r="DQ117" s="451">
        <v>0</v>
      </c>
      <c r="DR117" s="451">
        <v>0</v>
      </c>
      <c r="DS117" s="451">
        <v>0</v>
      </c>
      <c r="DT117" s="451">
        <v>0</v>
      </c>
      <c r="DU117" s="451">
        <v>0</v>
      </c>
      <c r="DV117" s="451">
        <v>0</v>
      </c>
      <c r="DW117" s="451">
        <v>0</v>
      </c>
      <c r="DX117" s="451">
        <v>0</v>
      </c>
      <c r="DY117" s="451">
        <v>0</v>
      </c>
      <c r="DZ117" s="451">
        <v>0</v>
      </c>
      <c r="EA117" s="451">
        <v>0</v>
      </c>
      <c r="EB117" s="451">
        <v>0</v>
      </c>
      <c r="EC117" s="451">
        <v>0</v>
      </c>
      <c r="ED117" s="451">
        <v>0</v>
      </c>
      <c r="EE117" s="451">
        <v>0</v>
      </c>
      <c r="EF117" s="451">
        <v>0</v>
      </c>
      <c r="EG117" s="451">
        <v>0</v>
      </c>
      <c r="EH117" s="451">
        <v>0</v>
      </c>
      <c r="EI117" s="451">
        <v>0</v>
      </c>
      <c r="EJ117" s="451">
        <v>115.65</v>
      </c>
      <c r="EK117" s="451">
        <v>0</v>
      </c>
      <c r="EL117" s="451">
        <v>0</v>
      </c>
      <c r="EM117" s="451">
        <v>115.65</v>
      </c>
    </row>
    <row r="118" spans="1:143" ht="12.75" x14ac:dyDescent="0.2">
      <c r="A118" s="446">
        <v>112</v>
      </c>
      <c r="B118" s="447" t="s">
        <v>107</v>
      </c>
      <c r="C118" s="448" t="s">
        <v>1093</v>
      </c>
      <c r="D118" s="449" t="s">
        <v>1094</v>
      </c>
      <c r="E118" s="450" t="s">
        <v>106</v>
      </c>
      <c r="F118" s="451">
        <v>53622</v>
      </c>
      <c r="G118" s="451">
        <v>0</v>
      </c>
      <c r="H118" s="451">
        <v>0</v>
      </c>
      <c r="I118" s="451">
        <v>53622</v>
      </c>
      <c r="J118" s="451">
        <v>-32415</v>
      </c>
      <c r="K118" s="451">
        <v>0</v>
      </c>
      <c r="L118" s="451">
        <v>0</v>
      </c>
      <c r="M118" s="451">
        <v>-32415</v>
      </c>
      <c r="N118" s="451">
        <v>192388</v>
      </c>
      <c r="O118" s="451">
        <v>0</v>
      </c>
      <c r="P118" s="451">
        <v>0</v>
      </c>
      <c r="Q118" s="451">
        <v>192388</v>
      </c>
      <c r="R118" s="451">
        <v>440347</v>
      </c>
      <c r="S118" s="451">
        <v>0</v>
      </c>
      <c r="T118" s="451">
        <v>0</v>
      </c>
      <c r="U118" s="451">
        <v>440347</v>
      </c>
      <c r="V118" s="451">
        <v>1615526</v>
      </c>
      <c r="W118" s="451">
        <v>0</v>
      </c>
      <c r="X118" s="451">
        <v>0</v>
      </c>
      <c r="Y118" s="451">
        <v>1615526</v>
      </c>
      <c r="Z118" s="451">
        <v>114566</v>
      </c>
      <c r="AA118" s="451">
        <v>0</v>
      </c>
      <c r="AB118" s="451">
        <v>0</v>
      </c>
      <c r="AC118" s="451">
        <v>114566</v>
      </c>
      <c r="AD118" s="451">
        <v>1609612</v>
      </c>
      <c r="AE118" s="451">
        <v>0</v>
      </c>
      <c r="AF118" s="451">
        <v>0</v>
      </c>
      <c r="AG118" s="451">
        <v>1609612</v>
      </c>
      <c r="AH118" s="451">
        <v>-32386</v>
      </c>
      <c r="AI118" s="451">
        <v>0</v>
      </c>
      <c r="AJ118" s="451">
        <v>0</v>
      </c>
      <c r="AK118" s="451">
        <v>-32386</v>
      </c>
      <c r="AL118" s="451">
        <v>7211001</v>
      </c>
      <c r="AM118" s="451">
        <v>0</v>
      </c>
      <c r="AN118" s="451">
        <v>0</v>
      </c>
      <c r="AO118" s="451">
        <v>7211001</v>
      </c>
      <c r="AP118" s="451">
        <v>-326590</v>
      </c>
      <c r="AQ118" s="451">
        <v>0</v>
      </c>
      <c r="AR118" s="451">
        <v>0</v>
      </c>
      <c r="AS118" s="451">
        <v>-326590</v>
      </c>
      <c r="AT118" s="451">
        <v>68644</v>
      </c>
      <c r="AU118" s="451">
        <v>0</v>
      </c>
      <c r="AV118" s="451">
        <v>0</v>
      </c>
      <c r="AW118" s="451">
        <v>68644</v>
      </c>
      <c r="AX118" s="451">
        <v>411</v>
      </c>
      <c r="AY118" s="451">
        <v>0</v>
      </c>
      <c r="AZ118" s="451">
        <v>0</v>
      </c>
      <c r="BA118" s="451">
        <v>411</v>
      </c>
      <c r="BB118" s="451">
        <v>20899</v>
      </c>
      <c r="BC118" s="451">
        <v>0</v>
      </c>
      <c r="BD118" s="451">
        <v>0</v>
      </c>
      <c r="BE118" s="451">
        <v>20899</v>
      </c>
      <c r="BF118" s="451">
        <v>0</v>
      </c>
      <c r="BG118" s="451">
        <v>0</v>
      </c>
      <c r="BH118" s="451">
        <v>0</v>
      </c>
      <c r="BI118" s="451">
        <v>0</v>
      </c>
      <c r="BJ118" s="451">
        <v>54992</v>
      </c>
      <c r="BK118" s="451">
        <v>0</v>
      </c>
      <c r="BL118" s="451">
        <v>0</v>
      </c>
      <c r="BM118" s="451">
        <v>54992</v>
      </c>
      <c r="BN118" s="451">
        <v>47145</v>
      </c>
      <c r="BO118" s="451">
        <v>0</v>
      </c>
      <c r="BP118" s="451">
        <v>0</v>
      </c>
      <c r="BQ118" s="451">
        <v>47145</v>
      </c>
      <c r="BR118" s="451">
        <v>2254099</v>
      </c>
      <c r="BS118" s="451">
        <v>0</v>
      </c>
      <c r="BT118" s="451">
        <v>0</v>
      </c>
      <c r="BU118" s="451">
        <v>2254099</v>
      </c>
      <c r="BV118" s="451">
        <v>3197597</v>
      </c>
      <c r="BW118" s="451">
        <v>0</v>
      </c>
      <c r="BX118" s="451">
        <v>0</v>
      </c>
      <c r="BY118" s="451">
        <v>3197597</v>
      </c>
      <c r="BZ118" s="451">
        <v>143825</v>
      </c>
      <c r="CA118" s="451">
        <v>0</v>
      </c>
      <c r="CB118" s="451">
        <v>0</v>
      </c>
      <c r="CC118" s="451">
        <v>143825</v>
      </c>
      <c r="CD118" s="451">
        <v>1852</v>
      </c>
      <c r="CE118" s="451">
        <v>0</v>
      </c>
      <c r="CF118" s="451">
        <v>0</v>
      </c>
      <c r="CG118" s="451">
        <v>1852</v>
      </c>
      <c r="CH118" s="451">
        <v>12406</v>
      </c>
      <c r="CI118" s="451">
        <v>0</v>
      </c>
      <c r="CJ118" s="451">
        <v>0</v>
      </c>
      <c r="CK118" s="451">
        <v>12406</v>
      </c>
      <c r="CL118" s="451">
        <v>0</v>
      </c>
      <c r="CM118" s="451">
        <v>0</v>
      </c>
      <c r="CN118" s="451">
        <v>0</v>
      </c>
      <c r="CO118" s="451">
        <v>0</v>
      </c>
      <c r="CP118" s="451">
        <v>0</v>
      </c>
      <c r="CQ118" s="451">
        <v>0</v>
      </c>
      <c r="CR118" s="451">
        <v>0</v>
      </c>
      <c r="CS118" s="451">
        <v>0</v>
      </c>
      <c r="CT118" s="451">
        <v>0</v>
      </c>
      <c r="CU118" s="451">
        <v>0</v>
      </c>
      <c r="CV118" s="451">
        <v>0</v>
      </c>
      <c r="CW118" s="451">
        <v>0</v>
      </c>
      <c r="CX118" s="451">
        <v>20899</v>
      </c>
      <c r="CY118" s="451">
        <v>0</v>
      </c>
      <c r="CZ118" s="451">
        <v>0</v>
      </c>
      <c r="DA118" s="451">
        <v>20899</v>
      </c>
      <c r="DB118" s="451">
        <v>0</v>
      </c>
      <c r="DC118" s="451">
        <v>0</v>
      </c>
      <c r="DD118" s="451">
        <v>0</v>
      </c>
      <c r="DE118" s="451">
        <v>0</v>
      </c>
      <c r="DF118" s="451">
        <v>20189</v>
      </c>
      <c r="DG118" s="451">
        <v>0</v>
      </c>
      <c r="DH118" s="451">
        <v>0</v>
      </c>
      <c r="DI118" s="451">
        <v>20189</v>
      </c>
      <c r="DJ118" s="451">
        <v>0</v>
      </c>
      <c r="DK118" s="451">
        <v>0</v>
      </c>
      <c r="DL118" s="451">
        <v>0</v>
      </c>
      <c r="DM118" s="451">
        <v>0</v>
      </c>
      <c r="DN118" s="451">
        <v>0</v>
      </c>
      <c r="DO118" s="451">
        <v>0</v>
      </c>
      <c r="DP118" s="451">
        <v>0</v>
      </c>
      <c r="DQ118" s="451">
        <v>0</v>
      </c>
      <c r="DR118" s="451">
        <v>0</v>
      </c>
      <c r="DS118" s="451">
        <v>0</v>
      </c>
      <c r="DT118" s="451">
        <v>0</v>
      </c>
      <c r="DU118" s="451">
        <v>0</v>
      </c>
      <c r="DV118" s="451">
        <v>0</v>
      </c>
      <c r="DW118" s="451">
        <v>0</v>
      </c>
      <c r="DX118" s="451">
        <v>0</v>
      </c>
      <c r="DY118" s="451">
        <v>0</v>
      </c>
      <c r="DZ118" s="451">
        <v>0</v>
      </c>
      <c r="EA118" s="451">
        <v>0</v>
      </c>
      <c r="EB118" s="451">
        <v>0</v>
      </c>
      <c r="EC118" s="451">
        <v>0</v>
      </c>
      <c r="ED118" s="451">
        <v>0</v>
      </c>
      <c r="EE118" s="451">
        <v>0</v>
      </c>
      <c r="EF118" s="451">
        <v>3523</v>
      </c>
      <c r="EG118" s="451">
        <v>0</v>
      </c>
      <c r="EH118" s="451">
        <v>0</v>
      </c>
      <c r="EI118" s="451">
        <v>3523</v>
      </c>
      <c r="EJ118" s="451">
        <v>-1682</v>
      </c>
      <c r="EK118" s="451">
        <v>0</v>
      </c>
      <c r="EL118" s="451">
        <v>0</v>
      </c>
      <c r="EM118" s="451">
        <v>-1682</v>
      </c>
    </row>
    <row r="119" spans="1:143" ht="12.75" x14ac:dyDescent="0.2">
      <c r="A119" s="446">
        <v>113</v>
      </c>
      <c r="B119" s="447" t="s">
        <v>109</v>
      </c>
      <c r="C119" s="448" t="s">
        <v>1104</v>
      </c>
      <c r="D119" s="449" t="s">
        <v>1099</v>
      </c>
      <c r="E119" s="450" t="s">
        <v>108</v>
      </c>
      <c r="F119" s="451">
        <v>1534362</v>
      </c>
      <c r="G119" s="451">
        <v>0</v>
      </c>
      <c r="H119" s="451">
        <v>0</v>
      </c>
      <c r="I119" s="451">
        <v>1534362</v>
      </c>
      <c r="J119" s="451">
        <v>-773096.56</v>
      </c>
      <c r="K119" s="451">
        <v>0</v>
      </c>
      <c r="L119" s="451">
        <v>0</v>
      </c>
      <c r="M119" s="451">
        <v>-773096.56</v>
      </c>
      <c r="N119" s="451">
        <v>60123.49</v>
      </c>
      <c r="O119" s="451">
        <v>0</v>
      </c>
      <c r="P119" s="451">
        <v>0</v>
      </c>
      <c r="Q119" s="451">
        <v>60123.49</v>
      </c>
      <c r="R119" s="451">
        <v>37100.35</v>
      </c>
      <c r="S119" s="451">
        <v>0</v>
      </c>
      <c r="T119" s="451">
        <v>0</v>
      </c>
      <c r="U119" s="451">
        <v>37100.35</v>
      </c>
      <c r="V119" s="451">
        <v>4948115.08</v>
      </c>
      <c r="W119" s="451">
        <v>0</v>
      </c>
      <c r="X119" s="451">
        <v>0</v>
      </c>
      <c r="Y119" s="451">
        <v>4948115.08</v>
      </c>
      <c r="Z119" s="451">
        <v>224912.86</v>
      </c>
      <c r="AA119" s="451">
        <v>0</v>
      </c>
      <c r="AB119" s="451">
        <v>0</v>
      </c>
      <c r="AC119" s="451">
        <v>224912.86</v>
      </c>
      <c r="AD119" s="451">
        <v>1581335.85</v>
      </c>
      <c r="AE119" s="451">
        <v>0</v>
      </c>
      <c r="AF119" s="451">
        <v>0</v>
      </c>
      <c r="AG119" s="451">
        <v>1581335.85</v>
      </c>
      <c r="AH119" s="451">
        <v>-38980.300000000003</v>
      </c>
      <c r="AI119" s="451">
        <v>0</v>
      </c>
      <c r="AJ119" s="451">
        <v>0</v>
      </c>
      <c r="AK119" s="451">
        <v>-38980.300000000003</v>
      </c>
      <c r="AL119" s="451">
        <v>10521134.800000001</v>
      </c>
      <c r="AM119" s="451">
        <v>0</v>
      </c>
      <c r="AN119" s="451">
        <v>0</v>
      </c>
      <c r="AO119" s="451">
        <v>10521134.800000001</v>
      </c>
      <c r="AP119" s="451">
        <v>235302.8</v>
      </c>
      <c r="AQ119" s="451">
        <v>0</v>
      </c>
      <c r="AR119" s="451">
        <v>0</v>
      </c>
      <c r="AS119" s="451">
        <v>235302.8</v>
      </c>
      <c r="AT119" s="451">
        <v>0</v>
      </c>
      <c r="AU119" s="451">
        <v>0</v>
      </c>
      <c r="AV119" s="451">
        <v>0</v>
      </c>
      <c r="AW119" s="451">
        <v>0</v>
      </c>
      <c r="AX119" s="451">
        <v>0</v>
      </c>
      <c r="AY119" s="451">
        <v>0</v>
      </c>
      <c r="AZ119" s="451">
        <v>0</v>
      </c>
      <c r="BA119" s="451">
        <v>0</v>
      </c>
      <c r="BB119" s="451">
        <v>0</v>
      </c>
      <c r="BC119" s="451">
        <v>0</v>
      </c>
      <c r="BD119" s="451">
        <v>0</v>
      </c>
      <c r="BE119" s="451">
        <v>0</v>
      </c>
      <c r="BF119" s="451">
        <v>0</v>
      </c>
      <c r="BG119" s="451">
        <v>0</v>
      </c>
      <c r="BH119" s="451">
        <v>0</v>
      </c>
      <c r="BI119" s="451">
        <v>0</v>
      </c>
      <c r="BJ119" s="451">
        <v>19197.37</v>
      </c>
      <c r="BK119" s="451">
        <v>0</v>
      </c>
      <c r="BL119" s="451">
        <v>0</v>
      </c>
      <c r="BM119" s="451">
        <v>19197.37</v>
      </c>
      <c r="BN119" s="451">
        <v>16380.34</v>
      </c>
      <c r="BO119" s="451">
        <v>0</v>
      </c>
      <c r="BP119" s="451">
        <v>0</v>
      </c>
      <c r="BQ119" s="451">
        <v>16380.34</v>
      </c>
      <c r="BR119" s="451">
        <v>3119661.89</v>
      </c>
      <c r="BS119" s="451">
        <v>0</v>
      </c>
      <c r="BT119" s="451">
        <v>0</v>
      </c>
      <c r="BU119" s="451">
        <v>3119661.89</v>
      </c>
      <c r="BV119" s="451">
        <v>215176.27</v>
      </c>
      <c r="BW119" s="451">
        <v>0</v>
      </c>
      <c r="BX119" s="451">
        <v>0</v>
      </c>
      <c r="BY119" s="451">
        <v>215176.27</v>
      </c>
      <c r="BZ119" s="451">
        <v>215584.2</v>
      </c>
      <c r="CA119" s="451">
        <v>0</v>
      </c>
      <c r="CB119" s="451">
        <v>0</v>
      </c>
      <c r="CC119" s="451">
        <v>215584.2</v>
      </c>
      <c r="CD119" s="451">
        <v>51121.72</v>
      </c>
      <c r="CE119" s="451">
        <v>0</v>
      </c>
      <c r="CF119" s="451">
        <v>0</v>
      </c>
      <c r="CG119" s="451">
        <v>51121.72</v>
      </c>
      <c r="CH119" s="451">
        <v>18936.98</v>
      </c>
      <c r="CI119" s="451">
        <v>0</v>
      </c>
      <c r="CJ119" s="451">
        <v>0</v>
      </c>
      <c r="CK119" s="451">
        <v>18936.98</v>
      </c>
      <c r="CL119" s="451">
        <v>49534.73</v>
      </c>
      <c r="CM119" s="451">
        <v>0</v>
      </c>
      <c r="CN119" s="451">
        <v>0</v>
      </c>
      <c r="CO119" s="451">
        <v>49534.73</v>
      </c>
      <c r="CP119" s="451">
        <v>0</v>
      </c>
      <c r="CQ119" s="451">
        <v>0</v>
      </c>
      <c r="CR119" s="451">
        <v>0</v>
      </c>
      <c r="CS119" s="451">
        <v>0</v>
      </c>
      <c r="CT119" s="451">
        <v>0</v>
      </c>
      <c r="CU119" s="451">
        <v>0</v>
      </c>
      <c r="CV119" s="451">
        <v>0</v>
      </c>
      <c r="CW119" s="451">
        <v>0</v>
      </c>
      <c r="CX119" s="451">
        <v>0</v>
      </c>
      <c r="CY119" s="451">
        <v>0</v>
      </c>
      <c r="CZ119" s="451">
        <v>0</v>
      </c>
      <c r="DA119" s="451">
        <v>0</v>
      </c>
      <c r="DB119" s="451">
        <v>0</v>
      </c>
      <c r="DC119" s="451">
        <v>0</v>
      </c>
      <c r="DD119" s="451">
        <v>0</v>
      </c>
      <c r="DE119" s="451">
        <v>0</v>
      </c>
      <c r="DF119" s="451">
        <v>0</v>
      </c>
      <c r="DG119" s="451">
        <v>0</v>
      </c>
      <c r="DH119" s="451">
        <v>0</v>
      </c>
      <c r="DI119" s="451">
        <v>0</v>
      </c>
      <c r="DJ119" s="451">
        <v>0</v>
      </c>
      <c r="DK119" s="451">
        <v>0</v>
      </c>
      <c r="DL119" s="451">
        <v>0</v>
      </c>
      <c r="DM119" s="451">
        <v>0</v>
      </c>
      <c r="DN119" s="451">
        <v>0</v>
      </c>
      <c r="DO119" s="451">
        <v>0</v>
      </c>
      <c r="DP119" s="451">
        <v>0</v>
      </c>
      <c r="DQ119" s="451">
        <v>0</v>
      </c>
      <c r="DR119" s="451">
        <v>0</v>
      </c>
      <c r="DS119" s="451">
        <v>0</v>
      </c>
      <c r="DT119" s="451">
        <v>0</v>
      </c>
      <c r="DU119" s="451">
        <v>0</v>
      </c>
      <c r="DV119" s="451">
        <v>0</v>
      </c>
      <c r="DW119" s="451">
        <v>0</v>
      </c>
      <c r="DX119" s="451">
        <v>0</v>
      </c>
      <c r="DY119" s="451">
        <v>0</v>
      </c>
      <c r="DZ119" s="451">
        <v>0</v>
      </c>
      <c r="EA119" s="451">
        <v>0</v>
      </c>
      <c r="EB119" s="451">
        <v>0</v>
      </c>
      <c r="EC119" s="451">
        <v>0</v>
      </c>
      <c r="ED119" s="451">
        <v>0</v>
      </c>
      <c r="EE119" s="451">
        <v>0</v>
      </c>
      <c r="EF119" s="451">
        <v>0</v>
      </c>
      <c r="EG119" s="451">
        <v>0</v>
      </c>
      <c r="EH119" s="451">
        <v>0</v>
      </c>
      <c r="EI119" s="451">
        <v>0</v>
      </c>
      <c r="EJ119" s="451">
        <v>25534.98</v>
      </c>
      <c r="EK119" s="451">
        <v>0</v>
      </c>
      <c r="EL119" s="451">
        <v>0</v>
      </c>
      <c r="EM119" s="451">
        <v>25534.98</v>
      </c>
    </row>
    <row r="120" spans="1:143" ht="12.75" x14ac:dyDescent="0.2">
      <c r="A120" s="446">
        <v>114</v>
      </c>
      <c r="B120" s="447" t="s">
        <v>111</v>
      </c>
      <c r="C120" s="448" t="s">
        <v>794</v>
      </c>
      <c r="D120" s="449" t="s">
        <v>1095</v>
      </c>
      <c r="E120" s="450" t="s">
        <v>717</v>
      </c>
      <c r="F120" s="451">
        <v>720563.25</v>
      </c>
      <c r="G120" s="451">
        <v>0</v>
      </c>
      <c r="H120" s="451">
        <v>0</v>
      </c>
      <c r="I120" s="451">
        <v>720563.25</v>
      </c>
      <c r="J120" s="451">
        <v>-240571.14</v>
      </c>
      <c r="K120" s="451">
        <v>0</v>
      </c>
      <c r="L120" s="451">
        <v>0</v>
      </c>
      <c r="M120" s="451">
        <v>-240571.14</v>
      </c>
      <c r="N120" s="451">
        <v>29501.38</v>
      </c>
      <c r="O120" s="451">
        <v>0</v>
      </c>
      <c r="P120" s="451">
        <v>0</v>
      </c>
      <c r="Q120" s="451">
        <v>29501.38</v>
      </c>
      <c r="R120" s="451">
        <v>130157.36</v>
      </c>
      <c r="S120" s="451">
        <v>0</v>
      </c>
      <c r="T120" s="451">
        <v>0</v>
      </c>
      <c r="U120" s="451">
        <v>130157.36</v>
      </c>
      <c r="V120" s="451">
        <v>1754190.79</v>
      </c>
      <c r="W120" s="451">
        <v>0</v>
      </c>
      <c r="X120" s="451">
        <v>0</v>
      </c>
      <c r="Y120" s="451">
        <v>1754190.79</v>
      </c>
      <c r="Z120" s="451">
        <v>83241.63</v>
      </c>
      <c r="AA120" s="451">
        <v>0</v>
      </c>
      <c r="AB120" s="451">
        <v>0</v>
      </c>
      <c r="AC120" s="451">
        <v>83241.63</v>
      </c>
      <c r="AD120" s="451">
        <v>1046871.72</v>
      </c>
      <c r="AE120" s="451">
        <v>0</v>
      </c>
      <c r="AF120" s="451">
        <v>0</v>
      </c>
      <c r="AG120" s="451">
        <v>1046871.72</v>
      </c>
      <c r="AH120" s="451">
        <v>86381.33</v>
      </c>
      <c r="AI120" s="451">
        <v>0</v>
      </c>
      <c r="AJ120" s="451">
        <v>0</v>
      </c>
      <c r="AK120" s="451">
        <v>86381.33</v>
      </c>
      <c r="AL120" s="451">
        <v>1993490.11</v>
      </c>
      <c r="AM120" s="451">
        <v>0</v>
      </c>
      <c r="AN120" s="451">
        <v>0</v>
      </c>
      <c r="AO120" s="451">
        <v>1993490.11</v>
      </c>
      <c r="AP120" s="451">
        <v>-14424.88</v>
      </c>
      <c r="AQ120" s="451">
        <v>0</v>
      </c>
      <c r="AR120" s="451">
        <v>0</v>
      </c>
      <c r="AS120" s="451">
        <v>-14424.88</v>
      </c>
      <c r="AT120" s="451">
        <v>56049</v>
      </c>
      <c r="AU120" s="451">
        <v>0</v>
      </c>
      <c r="AV120" s="451">
        <v>0</v>
      </c>
      <c r="AW120" s="451">
        <v>56049</v>
      </c>
      <c r="AX120" s="451">
        <v>0</v>
      </c>
      <c r="AY120" s="451">
        <v>0</v>
      </c>
      <c r="AZ120" s="451">
        <v>0</v>
      </c>
      <c r="BA120" s="451">
        <v>0</v>
      </c>
      <c r="BB120" s="451">
        <v>1507.2</v>
      </c>
      <c r="BC120" s="451">
        <v>0</v>
      </c>
      <c r="BD120" s="451">
        <v>0</v>
      </c>
      <c r="BE120" s="451">
        <v>1507.2</v>
      </c>
      <c r="BF120" s="451">
        <v>0</v>
      </c>
      <c r="BG120" s="451">
        <v>0</v>
      </c>
      <c r="BH120" s="451">
        <v>0</v>
      </c>
      <c r="BI120" s="451">
        <v>0</v>
      </c>
      <c r="BJ120" s="451">
        <v>0</v>
      </c>
      <c r="BK120" s="451">
        <v>0</v>
      </c>
      <c r="BL120" s="451">
        <v>0</v>
      </c>
      <c r="BM120" s="451">
        <v>0</v>
      </c>
      <c r="BN120" s="451">
        <v>239141.9</v>
      </c>
      <c r="BO120" s="451">
        <v>0</v>
      </c>
      <c r="BP120" s="451">
        <v>0</v>
      </c>
      <c r="BQ120" s="451">
        <v>239141.9</v>
      </c>
      <c r="BR120" s="451">
        <v>2999716.99</v>
      </c>
      <c r="BS120" s="451">
        <v>0</v>
      </c>
      <c r="BT120" s="451">
        <v>0</v>
      </c>
      <c r="BU120" s="451">
        <v>2999716.99</v>
      </c>
      <c r="BV120" s="451">
        <v>429668.13</v>
      </c>
      <c r="BW120" s="451">
        <v>0</v>
      </c>
      <c r="BX120" s="451">
        <v>0</v>
      </c>
      <c r="BY120" s="451">
        <v>429668.13</v>
      </c>
      <c r="BZ120" s="451">
        <v>63921.15</v>
      </c>
      <c r="CA120" s="451">
        <v>0</v>
      </c>
      <c r="CB120" s="451">
        <v>0</v>
      </c>
      <c r="CC120" s="451">
        <v>63921.15</v>
      </c>
      <c r="CD120" s="451">
        <v>-58.19</v>
      </c>
      <c r="CE120" s="451">
        <v>0</v>
      </c>
      <c r="CF120" s="451">
        <v>0</v>
      </c>
      <c r="CG120" s="451">
        <v>-58.19</v>
      </c>
      <c r="CH120" s="451">
        <v>250378.55</v>
      </c>
      <c r="CI120" s="451">
        <v>0</v>
      </c>
      <c r="CJ120" s="451">
        <v>0</v>
      </c>
      <c r="CK120" s="451">
        <v>250378.55</v>
      </c>
      <c r="CL120" s="451">
        <v>-824.39</v>
      </c>
      <c r="CM120" s="451">
        <v>0</v>
      </c>
      <c r="CN120" s="451">
        <v>0</v>
      </c>
      <c r="CO120" s="451">
        <v>-824.39</v>
      </c>
      <c r="CP120" s="451">
        <v>5463.6</v>
      </c>
      <c r="CQ120" s="451">
        <v>0</v>
      </c>
      <c r="CR120" s="451">
        <v>0</v>
      </c>
      <c r="CS120" s="451">
        <v>5463.6</v>
      </c>
      <c r="CT120" s="451">
        <v>0</v>
      </c>
      <c r="CU120" s="451">
        <v>0</v>
      </c>
      <c r="CV120" s="451">
        <v>0</v>
      </c>
      <c r="CW120" s="451">
        <v>0</v>
      </c>
      <c r="CX120" s="451">
        <v>0</v>
      </c>
      <c r="CY120" s="451">
        <v>0</v>
      </c>
      <c r="CZ120" s="451">
        <v>0</v>
      </c>
      <c r="DA120" s="451">
        <v>0</v>
      </c>
      <c r="DB120" s="451">
        <v>0</v>
      </c>
      <c r="DC120" s="451">
        <v>0</v>
      </c>
      <c r="DD120" s="451">
        <v>0</v>
      </c>
      <c r="DE120" s="451">
        <v>0</v>
      </c>
      <c r="DF120" s="451">
        <v>0</v>
      </c>
      <c r="DG120" s="451">
        <v>0</v>
      </c>
      <c r="DH120" s="451">
        <v>0</v>
      </c>
      <c r="DI120" s="451">
        <v>0</v>
      </c>
      <c r="DJ120" s="451">
        <v>0</v>
      </c>
      <c r="DK120" s="451">
        <v>0</v>
      </c>
      <c r="DL120" s="451">
        <v>0</v>
      </c>
      <c r="DM120" s="451">
        <v>0</v>
      </c>
      <c r="DN120" s="451">
        <v>31175</v>
      </c>
      <c r="DO120" s="451">
        <v>0</v>
      </c>
      <c r="DP120" s="451">
        <v>133045</v>
      </c>
      <c r="DQ120" s="451">
        <v>164220</v>
      </c>
      <c r="DR120" s="451">
        <v>0</v>
      </c>
      <c r="DS120" s="451">
        <v>0</v>
      </c>
      <c r="DT120" s="451">
        <v>0</v>
      </c>
      <c r="DU120" s="451">
        <v>0</v>
      </c>
      <c r="DV120" s="451">
        <v>133045.35999999999</v>
      </c>
      <c r="DW120" s="451">
        <v>31175</v>
      </c>
      <c r="DX120" s="451">
        <v>0</v>
      </c>
      <c r="DY120" s="451">
        <v>0</v>
      </c>
      <c r="DZ120" s="451">
        <v>0</v>
      </c>
      <c r="EA120" s="451">
        <v>0</v>
      </c>
      <c r="EB120" s="451">
        <v>0</v>
      </c>
      <c r="EC120" s="451">
        <v>0</v>
      </c>
      <c r="ED120" s="451">
        <v>0</v>
      </c>
      <c r="EE120" s="451">
        <v>0</v>
      </c>
      <c r="EF120" s="451">
        <v>0</v>
      </c>
      <c r="EG120" s="451">
        <v>0</v>
      </c>
      <c r="EH120" s="451">
        <v>0</v>
      </c>
      <c r="EI120" s="451">
        <v>0</v>
      </c>
      <c r="EJ120" s="451">
        <v>0</v>
      </c>
      <c r="EK120" s="451">
        <v>0</v>
      </c>
      <c r="EL120" s="451">
        <v>0</v>
      </c>
      <c r="EM120" s="451">
        <v>0</v>
      </c>
    </row>
    <row r="121" spans="1:143" ht="12.75" x14ac:dyDescent="0.2">
      <c r="A121" s="446">
        <v>115</v>
      </c>
      <c r="B121" s="447" t="s">
        <v>113</v>
      </c>
      <c r="C121" s="448" t="s">
        <v>1093</v>
      </c>
      <c r="D121" s="449" t="s">
        <v>1101</v>
      </c>
      <c r="E121" s="450" t="s">
        <v>112</v>
      </c>
      <c r="F121" s="451">
        <v>63491</v>
      </c>
      <c r="G121" s="451">
        <v>0</v>
      </c>
      <c r="H121" s="451">
        <v>0</v>
      </c>
      <c r="I121" s="451">
        <v>63491</v>
      </c>
      <c r="J121" s="451">
        <v>-76071</v>
      </c>
      <c r="K121" s="451">
        <v>0</v>
      </c>
      <c r="L121" s="451">
        <v>0</v>
      </c>
      <c r="M121" s="451">
        <v>-76071</v>
      </c>
      <c r="N121" s="451">
        <v>4442</v>
      </c>
      <c r="O121" s="451">
        <v>0</v>
      </c>
      <c r="P121" s="451">
        <v>0</v>
      </c>
      <c r="Q121" s="451">
        <v>4442</v>
      </c>
      <c r="R121" s="451">
        <v>59143</v>
      </c>
      <c r="S121" s="451">
        <v>0</v>
      </c>
      <c r="T121" s="451">
        <v>0</v>
      </c>
      <c r="U121" s="451">
        <v>59143</v>
      </c>
      <c r="V121" s="451">
        <v>2375282</v>
      </c>
      <c r="W121" s="451">
        <v>0</v>
      </c>
      <c r="X121" s="451">
        <v>0</v>
      </c>
      <c r="Y121" s="451">
        <v>2375282</v>
      </c>
      <c r="Z121" s="451">
        <v>146145</v>
      </c>
      <c r="AA121" s="451">
        <v>0</v>
      </c>
      <c r="AB121" s="451">
        <v>0</v>
      </c>
      <c r="AC121" s="451">
        <v>146145</v>
      </c>
      <c r="AD121" s="451">
        <v>444861</v>
      </c>
      <c r="AE121" s="451">
        <v>0</v>
      </c>
      <c r="AF121" s="451">
        <v>0</v>
      </c>
      <c r="AG121" s="451">
        <v>444861</v>
      </c>
      <c r="AH121" s="451">
        <v>4972</v>
      </c>
      <c r="AI121" s="451">
        <v>0</v>
      </c>
      <c r="AJ121" s="451">
        <v>0</v>
      </c>
      <c r="AK121" s="451">
        <v>4972</v>
      </c>
      <c r="AL121" s="451">
        <v>754950</v>
      </c>
      <c r="AM121" s="451">
        <v>0</v>
      </c>
      <c r="AN121" s="451">
        <v>0</v>
      </c>
      <c r="AO121" s="451">
        <v>754950</v>
      </c>
      <c r="AP121" s="451">
        <v>-6887</v>
      </c>
      <c r="AQ121" s="451">
        <v>0</v>
      </c>
      <c r="AR121" s="451">
        <v>0</v>
      </c>
      <c r="AS121" s="451">
        <v>-6887</v>
      </c>
      <c r="AT121" s="451">
        <v>94613</v>
      </c>
      <c r="AU121" s="451">
        <v>0</v>
      </c>
      <c r="AV121" s="451">
        <v>0</v>
      </c>
      <c r="AW121" s="451">
        <v>94613</v>
      </c>
      <c r="AX121" s="451">
        <v>0</v>
      </c>
      <c r="AY121" s="451">
        <v>0</v>
      </c>
      <c r="AZ121" s="451">
        <v>0</v>
      </c>
      <c r="BA121" s="451">
        <v>0</v>
      </c>
      <c r="BB121" s="451">
        <v>61137</v>
      </c>
      <c r="BC121" s="451">
        <v>0</v>
      </c>
      <c r="BD121" s="451">
        <v>0</v>
      </c>
      <c r="BE121" s="451">
        <v>61137</v>
      </c>
      <c r="BF121" s="451">
        <v>-354</v>
      </c>
      <c r="BG121" s="451">
        <v>0</v>
      </c>
      <c r="BH121" s="451">
        <v>0</v>
      </c>
      <c r="BI121" s="451">
        <v>-354</v>
      </c>
      <c r="BJ121" s="451">
        <v>0</v>
      </c>
      <c r="BK121" s="451">
        <v>0</v>
      </c>
      <c r="BL121" s="451">
        <v>0</v>
      </c>
      <c r="BM121" s="451">
        <v>0</v>
      </c>
      <c r="BN121" s="451">
        <v>0</v>
      </c>
      <c r="BO121" s="451">
        <v>0</v>
      </c>
      <c r="BP121" s="451">
        <v>0</v>
      </c>
      <c r="BQ121" s="451">
        <v>0</v>
      </c>
      <c r="BR121" s="451">
        <v>453905</v>
      </c>
      <c r="BS121" s="451">
        <v>0</v>
      </c>
      <c r="BT121" s="451">
        <v>0</v>
      </c>
      <c r="BU121" s="451">
        <v>453905</v>
      </c>
      <c r="BV121" s="451">
        <v>-1043</v>
      </c>
      <c r="BW121" s="451">
        <v>0</v>
      </c>
      <c r="BX121" s="451">
        <v>0</v>
      </c>
      <c r="BY121" s="451">
        <v>-1043</v>
      </c>
      <c r="BZ121" s="451">
        <v>67658</v>
      </c>
      <c r="CA121" s="451">
        <v>0</v>
      </c>
      <c r="CB121" s="451">
        <v>0</v>
      </c>
      <c r="CC121" s="451">
        <v>67658</v>
      </c>
      <c r="CD121" s="451">
        <v>-134</v>
      </c>
      <c r="CE121" s="451">
        <v>0</v>
      </c>
      <c r="CF121" s="451">
        <v>0</v>
      </c>
      <c r="CG121" s="451">
        <v>-134</v>
      </c>
      <c r="CH121" s="451">
        <v>23279</v>
      </c>
      <c r="CI121" s="451">
        <v>0</v>
      </c>
      <c r="CJ121" s="451">
        <v>0</v>
      </c>
      <c r="CK121" s="451">
        <v>23279</v>
      </c>
      <c r="CL121" s="451">
        <v>0</v>
      </c>
      <c r="CM121" s="451">
        <v>0</v>
      </c>
      <c r="CN121" s="451">
        <v>0</v>
      </c>
      <c r="CO121" s="451">
        <v>0</v>
      </c>
      <c r="CP121" s="451">
        <v>1283</v>
      </c>
      <c r="CQ121" s="451">
        <v>0</v>
      </c>
      <c r="CR121" s="451">
        <v>0</v>
      </c>
      <c r="CS121" s="451">
        <v>1283</v>
      </c>
      <c r="CT121" s="451">
        <v>0</v>
      </c>
      <c r="CU121" s="451">
        <v>0</v>
      </c>
      <c r="CV121" s="451">
        <v>0</v>
      </c>
      <c r="CW121" s="451">
        <v>0</v>
      </c>
      <c r="CX121" s="451">
        <v>15096</v>
      </c>
      <c r="CY121" s="451">
        <v>0</v>
      </c>
      <c r="CZ121" s="451">
        <v>0</v>
      </c>
      <c r="DA121" s="451">
        <v>15096</v>
      </c>
      <c r="DB121" s="451">
        <v>0</v>
      </c>
      <c r="DC121" s="451">
        <v>0</v>
      </c>
      <c r="DD121" s="451">
        <v>0</v>
      </c>
      <c r="DE121" s="451">
        <v>0</v>
      </c>
      <c r="DF121" s="451">
        <v>357</v>
      </c>
      <c r="DG121" s="451">
        <v>0</v>
      </c>
      <c r="DH121" s="451">
        <v>0</v>
      </c>
      <c r="DI121" s="451">
        <v>357</v>
      </c>
      <c r="DJ121" s="451">
        <v>0</v>
      </c>
      <c r="DK121" s="451">
        <v>0</v>
      </c>
      <c r="DL121" s="451">
        <v>0</v>
      </c>
      <c r="DM121" s="451">
        <v>0</v>
      </c>
      <c r="DN121" s="451">
        <v>0</v>
      </c>
      <c r="DO121" s="451">
        <v>0</v>
      </c>
      <c r="DP121" s="451">
        <v>0</v>
      </c>
      <c r="DQ121" s="451">
        <v>0</v>
      </c>
      <c r="DR121" s="451">
        <v>0</v>
      </c>
      <c r="DS121" s="451">
        <v>0</v>
      </c>
      <c r="DT121" s="451">
        <v>0</v>
      </c>
      <c r="DU121" s="451">
        <v>0</v>
      </c>
      <c r="DV121" s="451">
        <v>0</v>
      </c>
      <c r="DW121" s="451">
        <v>0</v>
      </c>
      <c r="DX121" s="451">
        <v>0</v>
      </c>
      <c r="DY121" s="451">
        <v>0</v>
      </c>
      <c r="DZ121" s="451">
        <v>0</v>
      </c>
      <c r="EA121" s="451">
        <v>0</v>
      </c>
      <c r="EB121" s="451">
        <v>0</v>
      </c>
      <c r="EC121" s="451">
        <v>0</v>
      </c>
      <c r="ED121" s="451">
        <v>0</v>
      </c>
      <c r="EE121" s="451">
        <v>0</v>
      </c>
      <c r="EF121" s="451">
        <v>0</v>
      </c>
      <c r="EG121" s="451">
        <v>0</v>
      </c>
      <c r="EH121" s="451">
        <v>0</v>
      </c>
      <c r="EI121" s="451">
        <v>0</v>
      </c>
      <c r="EJ121" s="451">
        <v>0</v>
      </c>
      <c r="EK121" s="451">
        <v>0</v>
      </c>
      <c r="EL121" s="451">
        <v>0</v>
      </c>
      <c r="EM121" s="451">
        <v>0</v>
      </c>
    </row>
    <row r="122" spans="1:143" ht="12.75" x14ac:dyDescent="0.2">
      <c r="A122" s="446">
        <v>116</v>
      </c>
      <c r="B122" s="447" t="s">
        <v>115</v>
      </c>
      <c r="C122" s="448" t="s">
        <v>1104</v>
      </c>
      <c r="D122" s="449" t="s">
        <v>1099</v>
      </c>
      <c r="E122" s="450" t="s">
        <v>718</v>
      </c>
      <c r="F122" s="451">
        <v>523629</v>
      </c>
      <c r="G122" s="451">
        <v>0</v>
      </c>
      <c r="H122" s="451">
        <v>0</v>
      </c>
      <c r="I122" s="451">
        <v>523629</v>
      </c>
      <c r="J122" s="451">
        <v>385179</v>
      </c>
      <c r="K122" s="451">
        <v>0</v>
      </c>
      <c r="L122" s="451">
        <v>0</v>
      </c>
      <c r="M122" s="451">
        <v>385179</v>
      </c>
      <c r="N122" s="451">
        <v>175899</v>
      </c>
      <c r="O122" s="451">
        <v>0</v>
      </c>
      <c r="P122" s="451">
        <v>0</v>
      </c>
      <c r="Q122" s="451">
        <v>175899</v>
      </c>
      <c r="R122" s="451">
        <v>-772777</v>
      </c>
      <c r="S122" s="451">
        <v>0</v>
      </c>
      <c r="T122" s="451">
        <v>0</v>
      </c>
      <c r="U122" s="451">
        <v>-772777</v>
      </c>
      <c r="V122" s="451">
        <v>2100531</v>
      </c>
      <c r="W122" s="451">
        <v>0</v>
      </c>
      <c r="X122" s="451">
        <v>0</v>
      </c>
      <c r="Y122" s="451">
        <v>2100531</v>
      </c>
      <c r="Z122" s="451">
        <v>243804</v>
      </c>
      <c r="AA122" s="451">
        <v>0</v>
      </c>
      <c r="AB122" s="451">
        <v>0</v>
      </c>
      <c r="AC122" s="451">
        <v>243804</v>
      </c>
      <c r="AD122" s="451">
        <v>3545966</v>
      </c>
      <c r="AE122" s="451">
        <v>0</v>
      </c>
      <c r="AF122" s="451">
        <v>0</v>
      </c>
      <c r="AG122" s="451">
        <v>3545966</v>
      </c>
      <c r="AH122" s="451">
        <v>-107782</v>
      </c>
      <c r="AI122" s="451">
        <v>0</v>
      </c>
      <c r="AJ122" s="451">
        <v>0</v>
      </c>
      <c r="AK122" s="451">
        <v>-107782</v>
      </c>
      <c r="AL122" s="451">
        <v>8019714</v>
      </c>
      <c r="AM122" s="451">
        <v>0</v>
      </c>
      <c r="AN122" s="451">
        <v>0</v>
      </c>
      <c r="AO122" s="451">
        <v>8019714</v>
      </c>
      <c r="AP122" s="451">
        <v>-123812</v>
      </c>
      <c r="AQ122" s="451">
        <v>0</v>
      </c>
      <c r="AR122" s="451">
        <v>0</v>
      </c>
      <c r="AS122" s="451">
        <v>-123812</v>
      </c>
      <c r="AT122" s="451">
        <v>0</v>
      </c>
      <c r="AU122" s="451">
        <v>0</v>
      </c>
      <c r="AV122" s="451">
        <v>0</v>
      </c>
      <c r="AW122" s="451">
        <v>0</v>
      </c>
      <c r="AX122" s="451">
        <v>0</v>
      </c>
      <c r="AY122" s="451">
        <v>0</v>
      </c>
      <c r="AZ122" s="451">
        <v>0</v>
      </c>
      <c r="BA122" s="451">
        <v>0</v>
      </c>
      <c r="BB122" s="451">
        <v>0</v>
      </c>
      <c r="BC122" s="451">
        <v>0</v>
      </c>
      <c r="BD122" s="451">
        <v>0</v>
      </c>
      <c r="BE122" s="451">
        <v>0</v>
      </c>
      <c r="BF122" s="451">
        <v>0</v>
      </c>
      <c r="BG122" s="451">
        <v>0</v>
      </c>
      <c r="BH122" s="451">
        <v>0</v>
      </c>
      <c r="BI122" s="451">
        <v>0</v>
      </c>
      <c r="BJ122" s="451">
        <v>98000</v>
      </c>
      <c r="BK122" s="451">
        <v>0</v>
      </c>
      <c r="BL122" s="451">
        <v>0</v>
      </c>
      <c r="BM122" s="451">
        <v>98000</v>
      </c>
      <c r="BN122" s="451">
        <v>211242</v>
      </c>
      <c r="BO122" s="451">
        <v>0</v>
      </c>
      <c r="BP122" s="451">
        <v>0</v>
      </c>
      <c r="BQ122" s="451">
        <v>211242</v>
      </c>
      <c r="BR122" s="451">
        <v>3748852</v>
      </c>
      <c r="BS122" s="451">
        <v>0</v>
      </c>
      <c r="BT122" s="451">
        <v>0</v>
      </c>
      <c r="BU122" s="451">
        <v>3748852</v>
      </c>
      <c r="BV122" s="451">
        <v>-179461</v>
      </c>
      <c r="BW122" s="451">
        <v>0</v>
      </c>
      <c r="BX122" s="451">
        <v>0</v>
      </c>
      <c r="BY122" s="451">
        <v>-179461</v>
      </c>
      <c r="BZ122" s="451">
        <v>46801</v>
      </c>
      <c r="CA122" s="451">
        <v>0</v>
      </c>
      <c r="CB122" s="451">
        <v>0</v>
      </c>
      <c r="CC122" s="451">
        <v>46801</v>
      </c>
      <c r="CD122" s="451">
        <v>0</v>
      </c>
      <c r="CE122" s="451">
        <v>0</v>
      </c>
      <c r="CF122" s="451">
        <v>0</v>
      </c>
      <c r="CG122" s="451">
        <v>0</v>
      </c>
      <c r="CH122" s="451">
        <v>78776</v>
      </c>
      <c r="CI122" s="451">
        <v>0</v>
      </c>
      <c r="CJ122" s="451">
        <v>0</v>
      </c>
      <c r="CK122" s="451">
        <v>78776</v>
      </c>
      <c r="CL122" s="451">
        <v>-7.67</v>
      </c>
      <c r="CM122" s="451">
        <v>0</v>
      </c>
      <c r="CN122" s="451">
        <v>0</v>
      </c>
      <c r="CO122" s="451">
        <v>-7.67</v>
      </c>
      <c r="CP122" s="451">
        <v>0</v>
      </c>
      <c r="CQ122" s="451">
        <v>0</v>
      </c>
      <c r="CR122" s="451">
        <v>0</v>
      </c>
      <c r="CS122" s="451">
        <v>0</v>
      </c>
      <c r="CT122" s="451">
        <v>0</v>
      </c>
      <c r="CU122" s="451">
        <v>0</v>
      </c>
      <c r="CV122" s="451">
        <v>0</v>
      </c>
      <c r="CW122" s="451">
        <v>0</v>
      </c>
      <c r="CX122" s="451">
        <v>0</v>
      </c>
      <c r="CY122" s="451">
        <v>0</v>
      </c>
      <c r="CZ122" s="451">
        <v>0</v>
      </c>
      <c r="DA122" s="451">
        <v>0</v>
      </c>
      <c r="DB122" s="451">
        <v>0</v>
      </c>
      <c r="DC122" s="451">
        <v>0</v>
      </c>
      <c r="DD122" s="451">
        <v>0</v>
      </c>
      <c r="DE122" s="451">
        <v>0</v>
      </c>
      <c r="DF122" s="451">
        <v>0</v>
      </c>
      <c r="DG122" s="451">
        <v>0</v>
      </c>
      <c r="DH122" s="451">
        <v>0</v>
      </c>
      <c r="DI122" s="451">
        <v>0</v>
      </c>
      <c r="DJ122" s="451">
        <v>0</v>
      </c>
      <c r="DK122" s="451">
        <v>0</v>
      </c>
      <c r="DL122" s="451">
        <v>0</v>
      </c>
      <c r="DM122" s="451">
        <v>0</v>
      </c>
      <c r="DN122" s="451">
        <v>0</v>
      </c>
      <c r="DO122" s="451">
        <v>0</v>
      </c>
      <c r="DP122" s="451">
        <v>0</v>
      </c>
      <c r="DQ122" s="451">
        <v>0</v>
      </c>
      <c r="DR122" s="451">
        <v>0</v>
      </c>
      <c r="DS122" s="451">
        <v>0</v>
      </c>
      <c r="DT122" s="451">
        <v>0</v>
      </c>
      <c r="DU122" s="451">
        <v>0</v>
      </c>
      <c r="DV122" s="451">
        <v>0</v>
      </c>
      <c r="DW122" s="451">
        <v>0</v>
      </c>
      <c r="DX122" s="451">
        <v>0</v>
      </c>
      <c r="DY122" s="451">
        <v>0</v>
      </c>
      <c r="DZ122" s="451">
        <v>0</v>
      </c>
      <c r="EA122" s="451">
        <v>0</v>
      </c>
      <c r="EB122" s="451">
        <v>0</v>
      </c>
      <c r="EC122" s="451">
        <v>0</v>
      </c>
      <c r="ED122" s="451">
        <v>0</v>
      </c>
      <c r="EE122" s="451">
        <v>0</v>
      </c>
      <c r="EF122" s="451">
        <v>0</v>
      </c>
      <c r="EG122" s="451">
        <v>0</v>
      </c>
      <c r="EH122" s="451">
        <v>0</v>
      </c>
      <c r="EI122" s="451">
        <v>0</v>
      </c>
      <c r="EJ122" s="451">
        <v>0</v>
      </c>
      <c r="EK122" s="451">
        <v>0</v>
      </c>
      <c r="EL122" s="451">
        <v>0</v>
      </c>
      <c r="EM122" s="451">
        <v>0</v>
      </c>
    </row>
    <row r="123" spans="1:143" ht="12.75" x14ac:dyDescent="0.2">
      <c r="A123" s="446">
        <v>117</v>
      </c>
      <c r="B123" s="447" t="s">
        <v>117</v>
      </c>
      <c r="C123" s="448" t="s">
        <v>1093</v>
      </c>
      <c r="D123" s="449" t="s">
        <v>1096</v>
      </c>
      <c r="E123" s="450" t="s">
        <v>116</v>
      </c>
      <c r="F123" s="451">
        <v>34499</v>
      </c>
      <c r="G123" s="451">
        <v>0</v>
      </c>
      <c r="H123" s="451">
        <v>0</v>
      </c>
      <c r="I123" s="451">
        <v>34499</v>
      </c>
      <c r="J123" s="451">
        <v>-52496</v>
      </c>
      <c r="K123" s="451">
        <v>0</v>
      </c>
      <c r="L123" s="451">
        <v>0</v>
      </c>
      <c r="M123" s="451">
        <v>-52496</v>
      </c>
      <c r="N123" s="451">
        <v>18258</v>
      </c>
      <c r="O123" s="451">
        <v>0</v>
      </c>
      <c r="P123" s="451">
        <v>0</v>
      </c>
      <c r="Q123" s="451">
        <v>18258</v>
      </c>
      <c r="R123" s="451">
        <v>601</v>
      </c>
      <c r="S123" s="451">
        <v>0</v>
      </c>
      <c r="T123" s="451">
        <v>0</v>
      </c>
      <c r="U123" s="451">
        <v>601</v>
      </c>
      <c r="V123" s="451">
        <v>1558148</v>
      </c>
      <c r="W123" s="451">
        <v>0</v>
      </c>
      <c r="X123" s="451">
        <v>0</v>
      </c>
      <c r="Y123" s="451">
        <v>1558148</v>
      </c>
      <c r="Z123" s="451">
        <v>81382</v>
      </c>
      <c r="AA123" s="451">
        <v>0</v>
      </c>
      <c r="AB123" s="451">
        <v>0</v>
      </c>
      <c r="AC123" s="451">
        <v>81382</v>
      </c>
      <c r="AD123" s="451">
        <v>694386</v>
      </c>
      <c r="AE123" s="451">
        <v>0</v>
      </c>
      <c r="AF123" s="451">
        <v>0</v>
      </c>
      <c r="AG123" s="451">
        <v>694386</v>
      </c>
      <c r="AH123" s="451">
        <v>-3644</v>
      </c>
      <c r="AI123" s="451">
        <v>0</v>
      </c>
      <c r="AJ123" s="451">
        <v>0</v>
      </c>
      <c r="AK123" s="451">
        <v>-3644</v>
      </c>
      <c r="AL123" s="451">
        <v>1496318</v>
      </c>
      <c r="AM123" s="451">
        <v>0</v>
      </c>
      <c r="AN123" s="451">
        <v>0</v>
      </c>
      <c r="AO123" s="451">
        <v>1496318</v>
      </c>
      <c r="AP123" s="451">
        <v>2438</v>
      </c>
      <c r="AQ123" s="451">
        <v>0</v>
      </c>
      <c r="AR123" s="451">
        <v>0</v>
      </c>
      <c r="AS123" s="451">
        <v>2438</v>
      </c>
      <c r="AT123" s="451">
        <v>38820</v>
      </c>
      <c r="AU123" s="451">
        <v>0</v>
      </c>
      <c r="AV123" s="451">
        <v>0</v>
      </c>
      <c r="AW123" s="451">
        <v>38820</v>
      </c>
      <c r="AX123" s="451">
        <v>1811</v>
      </c>
      <c r="AY123" s="451">
        <v>0</v>
      </c>
      <c r="AZ123" s="451">
        <v>0</v>
      </c>
      <c r="BA123" s="451">
        <v>1811</v>
      </c>
      <c r="BB123" s="451">
        <v>31493</v>
      </c>
      <c r="BC123" s="451">
        <v>0</v>
      </c>
      <c r="BD123" s="451">
        <v>0</v>
      </c>
      <c r="BE123" s="451">
        <v>31493</v>
      </c>
      <c r="BF123" s="451">
        <v>0</v>
      </c>
      <c r="BG123" s="451">
        <v>0</v>
      </c>
      <c r="BH123" s="451">
        <v>0</v>
      </c>
      <c r="BI123" s="451">
        <v>0</v>
      </c>
      <c r="BJ123" s="451">
        <v>646397</v>
      </c>
      <c r="BK123" s="451">
        <v>0</v>
      </c>
      <c r="BL123" s="451">
        <v>0</v>
      </c>
      <c r="BM123" s="451">
        <v>646397</v>
      </c>
      <c r="BN123" s="451">
        <v>255694</v>
      </c>
      <c r="BO123" s="451">
        <v>0</v>
      </c>
      <c r="BP123" s="451">
        <v>0</v>
      </c>
      <c r="BQ123" s="451">
        <v>255694</v>
      </c>
      <c r="BR123" s="451">
        <v>817150</v>
      </c>
      <c r="BS123" s="451">
        <v>0</v>
      </c>
      <c r="BT123" s="451">
        <v>0</v>
      </c>
      <c r="BU123" s="451">
        <v>817150</v>
      </c>
      <c r="BV123" s="451">
        <v>-57537</v>
      </c>
      <c r="BW123" s="451">
        <v>0</v>
      </c>
      <c r="BX123" s="451">
        <v>0</v>
      </c>
      <c r="BY123" s="451">
        <v>-57537</v>
      </c>
      <c r="BZ123" s="451">
        <v>21282</v>
      </c>
      <c r="CA123" s="451">
        <v>0</v>
      </c>
      <c r="CB123" s="451">
        <v>0</v>
      </c>
      <c r="CC123" s="451">
        <v>21282</v>
      </c>
      <c r="CD123" s="451">
        <v>66</v>
      </c>
      <c r="CE123" s="451">
        <v>0</v>
      </c>
      <c r="CF123" s="451">
        <v>0</v>
      </c>
      <c r="CG123" s="451">
        <v>66</v>
      </c>
      <c r="CH123" s="451">
        <v>34842</v>
      </c>
      <c r="CI123" s="451">
        <v>0</v>
      </c>
      <c r="CJ123" s="451">
        <v>0</v>
      </c>
      <c r="CK123" s="451">
        <v>34842</v>
      </c>
      <c r="CL123" s="451">
        <v>-1510</v>
      </c>
      <c r="CM123" s="451">
        <v>0</v>
      </c>
      <c r="CN123" s="451">
        <v>0</v>
      </c>
      <c r="CO123" s="451">
        <v>-1510</v>
      </c>
      <c r="CP123" s="451">
        <v>9705</v>
      </c>
      <c r="CQ123" s="451">
        <v>0</v>
      </c>
      <c r="CR123" s="451">
        <v>0</v>
      </c>
      <c r="CS123" s="451">
        <v>9705</v>
      </c>
      <c r="CT123" s="451">
        <v>453</v>
      </c>
      <c r="CU123" s="451">
        <v>0</v>
      </c>
      <c r="CV123" s="451">
        <v>0</v>
      </c>
      <c r="CW123" s="451">
        <v>453</v>
      </c>
      <c r="CX123" s="451">
        <v>31493</v>
      </c>
      <c r="CY123" s="451">
        <v>0</v>
      </c>
      <c r="CZ123" s="451">
        <v>0</v>
      </c>
      <c r="DA123" s="451">
        <v>31493</v>
      </c>
      <c r="DB123" s="451">
        <v>0</v>
      </c>
      <c r="DC123" s="451">
        <v>0</v>
      </c>
      <c r="DD123" s="451">
        <v>0</v>
      </c>
      <c r="DE123" s="451">
        <v>0</v>
      </c>
      <c r="DF123" s="451">
        <v>0</v>
      </c>
      <c r="DG123" s="451">
        <v>0</v>
      </c>
      <c r="DH123" s="451">
        <v>0</v>
      </c>
      <c r="DI123" s="451">
        <v>0</v>
      </c>
      <c r="DJ123" s="451">
        <v>0</v>
      </c>
      <c r="DK123" s="451">
        <v>0</v>
      </c>
      <c r="DL123" s="451">
        <v>0</v>
      </c>
      <c r="DM123" s="451">
        <v>0</v>
      </c>
      <c r="DN123" s="451">
        <v>0</v>
      </c>
      <c r="DO123" s="451">
        <v>0</v>
      </c>
      <c r="DP123" s="451">
        <v>0</v>
      </c>
      <c r="DQ123" s="451">
        <v>0</v>
      </c>
      <c r="DR123" s="451">
        <v>0</v>
      </c>
      <c r="DS123" s="451">
        <v>0</v>
      </c>
      <c r="DT123" s="451">
        <v>0</v>
      </c>
      <c r="DU123" s="451">
        <v>0</v>
      </c>
      <c r="DV123" s="451">
        <v>0</v>
      </c>
      <c r="DW123" s="451">
        <v>0</v>
      </c>
      <c r="DX123" s="451">
        <v>765.16</v>
      </c>
      <c r="DY123" s="451">
        <v>0</v>
      </c>
      <c r="DZ123" s="451">
        <v>0</v>
      </c>
      <c r="EA123" s="451">
        <v>765.16</v>
      </c>
      <c r="EB123" s="451">
        <v>0</v>
      </c>
      <c r="EC123" s="451">
        <v>0</v>
      </c>
      <c r="ED123" s="451">
        <v>0</v>
      </c>
      <c r="EE123" s="451">
        <v>0</v>
      </c>
      <c r="EF123" s="451">
        <v>0</v>
      </c>
      <c r="EG123" s="451">
        <v>0</v>
      </c>
      <c r="EH123" s="451">
        <v>0</v>
      </c>
      <c r="EI123" s="451">
        <v>0</v>
      </c>
      <c r="EJ123" s="451">
        <v>0</v>
      </c>
      <c r="EK123" s="451">
        <v>0</v>
      </c>
      <c r="EL123" s="451">
        <v>0</v>
      </c>
      <c r="EM123" s="451">
        <v>0</v>
      </c>
    </row>
    <row r="124" spans="1:143" ht="12.75" x14ac:dyDescent="0.2">
      <c r="A124" s="446">
        <v>118</v>
      </c>
      <c r="B124" s="447" t="s">
        <v>119</v>
      </c>
      <c r="C124" s="448" t="s">
        <v>1098</v>
      </c>
      <c r="D124" s="449" t="s">
        <v>1099</v>
      </c>
      <c r="E124" s="450" t="s">
        <v>118</v>
      </c>
      <c r="F124" s="451">
        <v>291606</v>
      </c>
      <c r="G124" s="451">
        <v>0</v>
      </c>
      <c r="H124" s="451">
        <v>0</v>
      </c>
      <c r="I124" s="451">
        <v>291606</v>
      </c>
      <c r="J124" s="451">
        <v>-417241</v>
      </c>
      <c r="K124" s="451">
        <v>0</v>
      </c>
      <c r="L124" s="451">
        <v>0</v>
      </c>
      <c r="M124" s="451">
        <v>-417241</v>
      </c>
      <c r="N124" s="451">
        <v>66016</v>
      </c>
      <c r="O124" s="451">
        <v>0</v>
      </c>
      <c r="P124" s="451">
        <v>0</v>
      </c>
      <c r="Q124" s="451">
        <v>66016</v>
      </c>
      <c r="R124" s="451">
        <v>37660</v>
      </c>
      <c r="S124" s="451">
        <v>0</v>
      </c>
      <c r="T124" s="451">
        <v>0</v>
      </c>
      <c r="U124" s="451">
        <v>37660</v>
      </c>
      <c r="V124" s="451">
        <v>3906001</v>
      </c>
      <c r="W124" s="451">
        <v>0</v>
      </c>
      <c r="X124" s="451">
        <v>0</v>
      </c>
      <c r="Y124" s="451">
        <v>3906001</v>
      </c>
      <c r="Z124" s="451">
        <v>190573</v>
      </c>
      <c r="AA124" s="451">
        <v>0</v>
      </c>
      <c r="AB124" s="451">
        <v>0</v>
      </c>
      <c r="AC124" s="451">
        <v>190573</v>
      </c>
      <c r="AD124" s="451">
        <v>1090298</v>
      </c>
      <c r="AE124" s="451">
        <v>0</v>
      </c>
      <c r="AF124" s="451">
        <v>0</v>
      </c>
      <c r="AG124" s="451">
        <v>1090298</v>
      </c>
      <c r="AH124" s="451">
        <v>-1799</v>
      </c>
      <c r="AI124" s="451">
        <v>0</v>
      </c>
      <c r="AJ124" s="451">
        <v>0</v>
      </c>
      <c r="AK124" s="451">
        <v>-1799</v>
      </c>
      <c r="AL124" s="451">
        <v>4805165</v>
      </c>
      <c r="AM124" s="451">
        <v>0</v>
      </c>
      <c r="AN124" s="451">
        <v>0</v>
      </c>
      <c r="AO124" s="451">
        <v>4805165</v>
      </c>
      <c r="AP124" s="451">
        <v>-50702</v>
      </c>
      <c r="AQ124" s="451">
        <v>0</v>
      </c>
      <c r="AR124" s="451">
        <v>0</v>
      </c>
      <c r="AS124" s="451">
        <v>-50702</v>
      </c>
      <c r="AT124" s="451">
        <v>23154</v>
      </c>
      <c r="AU124" s="451">
        <v>0</v>
      </c>
      <c r="AV124" s="451">
        <v>0</v>
      </c>
      <c r="AW124" s="451">
        <v>23154</v>
      </c>
      <c r="AX124" s="451">
        <v>0</v>
      </c>
      <c r="AY124" s="451">
        <v>0</v>
      </c>
      <c r="AZ124" s="451">
        <v>0</v>
      </c>
      <c r="BA124" s="451">
        <v>0</v>
      </c>
      <c r="BB124" s="451">
        <v>0</v>
      </c>
      <c r="BC124" s="451">
        <v>0</v>
      </c>
      <c r="BD124" s="451">
        <v>0</v>
      </c>
      <c r="BE124" s="451">
        <v>0</v>
      </c>
      <c r="BF124" s="451">
        <v>0</v>
      </c>
      <c r="BG124" s="451">
        <v>0</v>
      </c>
      <c r="BH124" s="451">
        <v>0</v>
      </c>
      <c r="BI124" s="451">
        <v>0</v>
      </c>
      <c r="BJ124" s="451">
        <v>29550</v>
      </c>
      <c r="BK124" s="451">
        <v>0</v>
      </c>
      <c r="BL124" s="451">
        <v>0</v>
      </c>
      <c r="BM124" s="451">
        <v>29550</v>
      </c>
      <c r="BN124" s="451">
        <v>3440</v>
      </c>
      <c r="BO124" s="451">
        <v>0</v>
      </c>
      <c r="BP124" s="451">
        <v>0</v>
      </c>
      <c r="BQ124" s="451">
        <v>3440</v>
      </c>
      <c r="BR124" s="451">
        <v>1774827</v>
      </c>
      <c r="BS124" s="451">
        <v>0</v>
      </c>
      <c r="BT124" s="451">
        <v>0</v>
      </c>
      <c r="BU124" s="451">
        <v>1774827</v>
      </c>
      <c r="BV124" s="451">
        <v>-91630</v>
      </c>
      <c r="BW124" s="451">
        <v>0</v>
      </c>
      <c r="BX124" s="451">
        <v>0</v>
      </c>
      <c r="BY124" s="451">
        <v>-91630</v>
      </c>
      <c r="BZ124" s="451">
        <v>438921</v>
      </c>
      <c r="CA124" s="451">
        <v>0</v>
      </c>
      <c r="CB124" s="451">
        <v>0</v>
      </c>
      <c r="CC124" s="451">
        <v>438921</v>
      </c>
      <c r="CD124" s="451">
        <v>-4441</v>
      </c>
      <c r="CE124" s="451">
        <v>0</v>
      </c>
      <c r="CF124" s="451">
        <v>0</v>
      </c>
      <c r="CG124" s="451">
        <v>-4441</v>
      </c>
      <c r="CH124" s="451">
        <v>164583</v>
      </c>
      <c r="CI124" s="451">
        <v>0</v>
      </c>
      <c r="CJ124" s="451">
        <v>0</v>
      </c>
      <c r="CK124" s="451">
        <v>164583</v>
      </c>
      <c r="CL124" s="451">
        <v>2829</v>
      </c>
      <c r="CM124" s="451">
        <v>0</v>
      </c>
      <c r="CN124" s="451">
        <v>0</v>
      </c>
      <c r="CO124" s="451">
        <v>2829</v>
      </c>
      <c r="CP124" s="451">
        <v>0</v>
      </c>
      <c r="CQ124" s="451">
        <v>0</v>
      </c>
      <c r="CR124" s="451">
        <v>0</v>
      </c>
      <c r="CS124" s="451">
        <v>0</v>
      </c>
      <c r="CT124" s="451">
        <v>0</v>
      </c>
      <c r="CU124" s="451">
        <v>0</v>
      </c>
      <c r="CV124" s="451">
        <v>0</v>
      </c>
      <c r="CW124" s="451">
        <v>0</v>
      </c>
      <c r="CX124" s="451">
        <v>0</v>
      </c>
      <c r="CY124" s="451">
        <v>0</v>
      </c>
      <c r="CZ124" s="451">
        <v>0</v>
      </c>
      <c r="DA124" s="451">
        <v>0</v>
      </c>
      <c r="DB124" s="451">
        <v>0</v>
      </c>
      <c r="DC124" s="451">
        <v>0</v>
      </c>
      <c r="DD124" s="451">
        <v>0</v>
      </c>
      <c r="DE124" s="451">
        <v>0</v>
      </c>
      <c r="DF124" s="451">
        <v>0</v>
      </c>
      <c r="DG124" s="451">
        <v>0</v>
      </c>
      <c r="DH124" s="451">
        <v>0</v>
      </c>
      <c r="DI124" s="451">
        <v>0</v>
      </c>
      <c r="DJ124" s="451">
        <v>0</v>
      </c>
      <c r="DK124" s="451">
        <v>0</v>
      </c>
      <c r="DL124" s="451">
        <v>0</v>
      </c>
      <c r="DM124" s="451">
        <v>0</v>
      </c>
      <c r="DN124" s="451">
        <v>0</v>
      </c>
      <c r="DO124" s="451">
        <v>0</v>
      </c>
      <c r="DP124" s="451">
        <v>0</v>
      </c>
      <c r="DQ124" s="451">
        <v>0</v>
      </c>
      <c r="DR124" s="451">
        <v>0</v>
      </c>
      <c r="DS124" s="451">
        <v>0</v>
      </c>
      <c r="DT124" s="451">
        <v>0</v>
      </c>
      <c r="DU124" s="451">
        <v>0</v>
      </c>
      <c r="DV124" s="451">
        <v>0</v>
      </c>
      <c r="DW124" s="451">
        <v>0</v>
      </c>
      <c r="DX124" s="451">
        <v>0</v>
      </c>
      <c r="DY124" s="451">
        <v>0</v>
      </c>
      <c r="DZ124" s="451">
        <v>0</v>
      </c>
      <c r="EA124" s="451">
        <v>0</v>
      </c>
      <c r="EB124" s="451">
        <v>0</v>
      </c>
      <c r="EC124" s="451">
        <v>0</v>
      </c>
      <c r="ED124" s="451">
        <v>0</v>
      </c>
      <c r="EE124" s="451">
        <v>0</v>
      </c>
      <c r="EF124" s="451">
        <v>0</v>
      </c>
      <c r="EG124" s="451">
        <v>0</v>
      </c>
      <c r="EH124" s="451">
        <v>0</v>
      </c>
      <c r="EI124" s="451">
        <v>0</v>
      </c>
      <c r="EJ124" s="451">
        <v>-7315</v>
      </c>
      <c r="EK124" s="451">
        <v>0</v>
      </c>
      <c r="EL124" s="451">
        <v>0</v>
      </c>
      <c r="EM124" s="451">
        <v>-7315</v>
      </c>
    </row>
    <row r="125" spans="1:143" ht="12.75" x14ac:dyDescent="0.2">
      <c r="A125" s="446">
        <v>119</v>
      </c>
      <c r="B125" s="447" t="s">
        <v>121</v>
      </c>
      <c r="C125" s="448" t="s">
        <v>1093</v>
      </c>
      <c r="D125" s="449" t="s">
        <v>1097</v>
      </c>
      <c r="E125" s="450" t="s">
        <v>120</v>
      </c>
      <c r="F125" s="451">
        <v>82522.69</v>
      </c>
      <c r="G125" s="451">
        <v>0</v>
      </c>
      <c r="H125" s="451">
        <v>0</v>
      </c>
      <c r="I125" s="451">
        <v>82522.69</v>
      </c>
      <c r="J125" s="451">
        <v>-15377.44</v>
      </c>
      <c r="K125" s="451">
        <v>0</v>
      </c>
      <c r="L125" s="451">
        <v>-2.71</v>
      </c>
      <c r="M125" s="451">
        <v>-15380.15</v>
      </c>
      <c r="N125" s="451">
        <v>215048.65</v>
      </c>
      <c r="O125" s="451">
        <v>0</v>
      </c>
      <c r="P125" s="451">
        <v>0</v>
      </c>
      <c r="Q125" s="451">
        <v>215048.65</v>
      </c>
      <c r="R125" s="451">
        <v>209997.72</v>
      </c>
      <c r="S125" s="451">
        <v>0</v>
      </c>
      <c r="T125" s="451">
        <v>0</v>
      </c>
      <c r="U125" s="451">
        <v>209997.72</v>
      </c>
      <c r="V125" s="451">
        <v>747678.71999999997</v>
      </c>
      <c r="W125" s="451">
        <v>0</v>
      </c>
      <c r="X125" s="451">
        <v>31314.39</v>
      </c>
      <c r="Y125" s="451">
        <v>778993.11</v>
      </c>
      <c r="Z125" s="451">
        <v>24669.43</v>
      </c>
      <c r="AA125" s="451">
        <v>0</v>
      </c>
      <c r="AB125" s="451">
        <v>430.5</v>
      </c>
      <c r="AC125" s="451">
        <v>25099.93</v>
      </c>
      <c r="AD125" s="451">
        <v>849328.08</v>
      </c>
      <c r="AE125" s="451">
        <v>0</v>
      </c>
      <c r="AF125" s="451">
        <v>71297.259999999995</v>
      </c>
      <c r="AG125" s="451">
        <v>920625.34</v>
      </c>
      <c r="AH125" s="451">
        <v>-16226.45</v>
      </c>
      <c r="AI125" s="451">
        <v>0</v>
      </c>
      <c r="AJ125" s="451">
        <v>-167.86</v>
      </c>
      <c r="AK125" s="451">
        <v>-16394.310000000001</v>
      </c>
      <c r="AL125" s="451">
        <v>2368856.16</v>
      </c>
      <c r="AM125" s="451">
        <v>0</v>
      </c>
      <c r="AN125" s="451">
        <v>0</v>
      </c>
      <c r="AO125" s="451">
        <v>2368856.16</v>
      </c>
      <c r="AP125" s="451">
        <v>1315</v>
      </c>
      <c r="AQ125" s="451">
        <v>0</v>
      </c>
      <c r="AR125" s="451">
        <v>0</v>
      </c>
      <c r="AS125" s="451">
        <v>1315</v>
      </c>
      <c r="AT125" s="451">
        <v>63276.59</v>
      </c>
      <c r="AU125" s="451">
        <v>0</v>
      </c>
      <c r="AV125" s="451">
        <v>0</v>
      </c>
      <c r="AW125" s="451">
        <v>63276.59</v>
      </c>
      <c r="AX125" s="451">
        <v>0</v>
      </c>
      <c r="AY125" s="451">
        <v>0</v>
      </c>
      <c r="AZ125" s="451">
        <v>0</v>
      </c>
      <c r="BA125" s="451">
        <v>0</v>
      </c>
      <c r="BB125" s="451">
        <v>0</v>
      </c>
      <c r="BC125" s="451">
        <v>0</v>
      </c>
      <c r="BD125" s="451">
        <v>0</v>
      </c>
      <c r="BE125" s="451">
        <v>0</v>
      </c>
      <c r="BF125" s="451">
        <v>0</v>
      </c>
      <c r="BG125" s="451">
        <v>0</v>
      </c>
      <c r="BH125" s="451">
        <v>0</v>
      </c>
      <c r="BI125" s="451">
        <v>0</v>
      </c>
      <c r="BJ125" s="451">
        <v>74256.17</v>
      </c>
      <c r="BK125" s="451">
        <v>0</v>
      </c>
      <c r="BL125" s="451">
        <v>0</v>
      </c>
      <c r="BM125" s="451">
        <v>74256.17</v>
      </c>
      <c r="BN125" s="451">
        <v>0</v>
      </c>
      <c r="BO125" s="451">
        <v>0</v>
      </c>
      <c r="BP125" s="451">
        <v>0</v>
      </c>
      <c r="BQ125" s="451">
        <v>0</v>
      </c>
      <c r="BR125" s="451">
        <v>2783471.65</v>
      </c>
      <c r="BS125" s="451">
        <v>0</v>
      </c>
      <c r="BT125" s="451">
        <v>1316726.3999999999</v>
      </c>
      <c r="BU125" s="451">
        <v>4100198.05</v>
      </c>
      <c r="BV125" s="451">
        <v>42007.77</v>
      </c>
      <c r="BW125" s="451">
        <v>0</v>
      </c>
      <c r="BX125" s="451">
        <v>158.78</v>
      </c>
      <c r="BY125" s="451">
        <v>42166.55</v>
      </c>
      <c r="BZ125" s="451">
        <v>29857.08</v>
      </c>
      <c r="CA125" s="451">
        <v>0</v>
      </c>
      <c r="CB125" s="451">
        <v>0</v>
      </c>
      <c r="CC125" s="451">
        <v>29857.08</v>
      </c>
      <c r="CD125" s="451">
        <v>722.01</v>
      </c>
      <c r="CE125" s="451">
        <v>0</v>
      </c>
      <c r="CF125" s="451">
        <v>0</v>
      </c>
      <c r="CG125" s="451">
        <v>722.01</v>
      </c>
      <c r="CH125" s="451">
        <v>3418.8</v>
      </c>
      <c r="CI125" s="451">
        <v>0</v>
      </c>
      <c r="CJ125" s="451">
        <v>0</v>
      </c>
      <c r="CK125" s="451">
        <v>3418.8</v>
      </c>
      <c r="CL125" s="451">
        <v>0</v>
      </c>
      <c r="CM125" s="451">
        <v>0</v>
      </c>
      <c r="CN125" s="451">
        <v>0</v>
      </c>
      <c r="CO125" s="451">
        <v>0</v>
      </c>
      <c r="CP125" s="451">
        <v>0</v>
      </c>
      <c r="CQ125" s="451">
        <v>0</v>
      </c>
      <c r="CR125" s="451">
        <v>0</v>
      </c>
      <c r="CS125" s="451">
        <v>0</v>
      </c>
      <c r="CT125" s="451">
        <v>0</v>
      </c>
      <c r="CU125" s="451">
        <v>0</v>
      </c>
      <c r="CV125" s="451">
        <v>0</v>
      </c>
      <c r="CW125" s="451">
        <v>0</v>
      </c>
      <c r="CX125" s="451">
        <v>0</v>
      </c>
      <c r="CY125" s="451">
        <v>0</v>
      </c>
      <c r="CZ125" s="451">
        <v>0</v>
      </c>
      <c r="DA125" s="451">
        <v>0</v>
      </c>
      <c r="DB125" s="451">
        <v>0</v>
      </c>
      <c r="DC125" s="451">
        <v>0</v>
      </c>
      <c r="DD125" s="451">
        <v>0</v>
      </c>
      <c r="DE125" s="451">
        <v>0</v>
      </c>
      <c r="DF125" s="451">
        <v>0</v>
      </c>
      <c r="DG125" s="451">
        <v>0</v>
      </c>
      <c r="DH125" s="451">
        <v>0</v>
      </c>
      <c r="DI125" s="451">
        <v>0</v>
      </c>
      <c r="DJ125" s="451">
        <v>0</v>
      </c>
      <c r="DK125" s="451">
        <v>0</v>
      </c>
      <c r="DL125" s="451">
        <v>0</v>
      </c>
      <c r="DM125" s="451">
        <v>0</v>
      </c>
      <c r="DN125" s="451">
        <v>0</v>
      </c>
      <c r="DO125" s="451">
        <v>0</v>
      </c>
      <c r="DP125" s="451">
        <v>12599</v>
      </c>
      <c r="DQ125" s="451">
        <v>12599</v>
      </c>
      <c r="DR125" s="451">
        <v>0</v>
      </c>
      <c r="DS125" s="451">
        <v>0</v>
      </c>
      <c r="DT125" s="451">
        <v>0</v>
      </c>
      <c r="DU125" s="451">
        <v>0</v>
      </c>
      <c r="DV125" s="451">
        <v>0</v>
      </c>
      <c r="DW125" s="451">
        <v>0</v>
      </c>
      <c r="DX125" s="451">
        <v>0</v>
      </c>
      <c r="DY125" s="451">
        <v>0</v>
      </c>
      <c r="DZ125" s="451">
        <v>0</v>
      </c>
      <c r="EA125" s="451">
        <v>0</v>
      </c>
      <c r="EB125" s="451">
        <v>0</v>
      </c>
      <c r="EC125" s="451">
        <v>0</v>
      </c>
      <c r="ED125" s="451">
        <v>0</v>
      </c>
      <c r="EE125" s="451">
        <v>0</v>
      </c>
      <c r="EF125" s="451">
        <v>0</v>
      </c>
      <c r="EG125" s="451">
        <v>0</v>
      </c>
      <c r="EH125" s="451">
        <v>0</v>
      </c>
      <c r="EI125" s="451">
        <v>0</v>
      </c>
      <c r="EJ125" s="451">
        <v>0</v>
      </c>
      <c r="EK125" s="451">
        <v>0</v>
      </c>
      <c r="EL125" s="451">
        <v>0</v>
      </c>
      <c r="EM125" s="451">
        <v>0</v>
      </c>
    </row>
    <row r="126" spans="1:143" ht="12.75" x14ac:dyDescent="0.2">
      <c r="A126" s="446">
        <v>120</v>
      </c>
      <c r="B126" s="447" t="s">
        <v>123</v>
      </c>
      <c r="C126" s="448" t="s">
        <v>1093</v>
      </c>
      <c r="D126" s="449" t="s">
        <v>1101</v>
      </c>
      <c r="E126" s="450" t="s">
        <v>122</v>
      </c>
      <c r="F126" s="451">
        <v>74545</v>
      </c>
      <c r="G126" s="451">
        <v>0</v>
      </c>
      <c r="H126" s="451">
        <v>0</v>
      </c>
      <c r="I126" s="451">
        <v>74545</v>
      </c>
      <c r="J126" s="451">
        <v>-186150</v>
      </c>
      <c r="K126" s="451">
        <v>0</v>
      </c>
      <c r="L126" s="451">
        <v>0</v>
      </c>
      <c r="M126" s="451">
        <v>-186150</v>
      </c>
      <c r="N126" s="451">
        <v>17622</v>
      </c>
      <c r="O126" s="451">
        <v>0</v>
      </c>
      <c r="P126" s="451">
        <v>0</v>
      </c>
      <c r="Q126" s="451">
        <v>17622</v>
      </c>
      <c r="R126" s="451">
        <v>65122</v>
      </c>
      <c r="S126" s="451">
        <v>0</v>
      </c>
      <c r="T126" s="451">
        <v>0</v>
      </c>
      <c r="U126" s="451">
        <v>65122</v>
      </c>
      <c r="V126" s="451">
        <v>4317699</v>
      </c>
      <c r="W126" s="451">
        <v>0</v>
      </c>
      <c r="X126" s="451">
        <v>0</v>
      </c>
      <c r="Y126" s="451">
        <v>4317699</v>
      </c>
      <c r="Z126" s="451">
        <v>253189</v>
      </c>
      <c r="AA126" s="451">
        <v>0</v>
      </c>
      <c r="AB126" s="451">
        <v>0</v>
      </c>
      <c r="AC126" s="451">
        <v>253189</v>
      </c>
      <c r="AD126" s="451">
        <v>1228657</v>
      </c>
      <c r="AE126" s="451">
        <v>0</v>
      </c>
      <c r="AF126" s="451">
        <v>0</v>
      </c>
      <c r="AG126" s="451">
        <v>1228657</v>
      </c>
      <c r="AH126" s="451">
        <v>27457</v>
      </c>
      <c r="AI126" s="451">
        <v>0</v>
      </c>
      <c r="AJ126" s="451">
        <v>0</v>
      </c>
      <c r="AK126" s="451">
        <v>27457</v>
      </c>
      <c r="AL126" s="451">
        <v>2912016</v>
      </c>
      <c r="AM126" s="451">
        <v>0</v>
      </c>
      <c r="AN126" s="451">
        <v>0</v>
      </c>
      <c r="AO126" s="451">
        <v>2912016</v>
      </c>
      <c r="AP126" s="451">
        <v>-62656</v>
      </c>
      <c r="AQ126" s="451">
        <v>0</v>
      </c>
      <c r="AR126" s="451">
        <v>0</v>
      </c>
      <c r="AS126" s="451">
        <v>-62656</v>
      </c>
      <c r="AT126" s="451">
        <v>115455</v>
      </c>
      <c r="AU126" s="451">
        <v>0</v>
      </c>
      <c r="AV126" s="451">
        <v>0</v>
      </c>
      <c r="AW126" s="451">
        <v>115455</v>
      </c>
      <c r="AX126" s="451">
        <v>0</v>
      </c>
      <c r="AY126" s="451">
        <v>0</v>
      </c>
      <c r="AZ126" s="451">
        <v>0</v>
      </c>
      <c r="BA126" s="451">
        <v>0</v>
      </c>
      <c r="BB126" s="451">
        <v>56847</v>
      </c>
      <c r="BC126" s="451">
        <v>0</v>
      </c>
      <c r="BD126" s="451">
        <v>0</v>
      </c>
      <c r="BE126" s="451">
        <v>56847</v>
      </c>
      <c r="BF126" s="451">
        <v>624</v>
      </c>
      <c r="BG126" s="451">
        <v>0</v>
      </c>
      <c r="BH126" s="451">
        <v>0</v>
      </c>
      <c r="BI126" s="451">
        <v>624</v>
      </c>
      <c r="BJ126" s="451">
        <v>19328</v>
      </c>
      <c r="BK126" s="451">
        <v>0</v>
      </c>
      <c r="BL126" s="451">
        <v>0</v>
      </c>
      <c r="BM126" s="451">
        <v>19328</v>
      </c>
      <c r="BN126" s="451">
        <v>-4399</v>
      </c>
      <c r="BO126" s="451">
        <v>0</v>
      </c>
      <c r="BP126" s="451">
        <v>0</v>
      </c>
      <c r="BQ126" s="451">
        <v>-4399</v>
      </c>
      <c r="BR126" s="451">
        <v>1809542</v>
      </c>
      <c r="BS126" s="451">
        <v>0</v>
      </c>
      <c r="BT126" s="451">
        <v>0</v>
      </c>
      <c r="BU126" s="451">
        <v>1809542</v>
      </c>
      <c r="BV126" s="451">
        <v>78022</v>
      </c>
      <c r="BW126" s="451">
        <v>0</v>
      </c>
      <c r="BX126" s="451">
        <v>0</v>
      </c>
      <c r="BY126" s="451">
        <v>78022</v>
      </c>
      <c r="BZ126" s="451">
        <v>29841</v>
      </c>
      <c r="CA126" s="451">
        <v>0</v>
      </c>
      <c r="CB126" s="451">
        <v>0</v>
      </c>
      <c r="CC126" s="451">
        <v>29841</v>
      </c>
      <c r="CD126" s="451">
        <v>391</v>
      </c>
      <c r="CE126" s="451">
        <v>0</v>
      </c>
      <c r="CF126" s="451">
        <v>0</v>
      </c>
      <c r="CG126" s="451">
        <v>391</v>
      </c>
      <c r="CH126" s="451">
        <v>134614</v>
      </c>
      <c r="CI126" s="451">
        <v>0</v>
      </c>
      <c r="CJ126" s="451">
        <v>0</v>
      </c>
      <c r="CK126" s="451">
        <v>134614</v>
      </c>
      <c r="CL126" s="451">
        <v>3836</v>
      </c>
      <c r="CM126" s="451">
        <v>0</v>
      </c>
      <c r="CN126" s="451">
        <v>0</v>
      </c>
      <c r="CO126" s="451">
        <v>3836</v>
      </c>
      <c r="CP126" s="451">
        <v>0</v>
      </c>
      <c r="CQ126" s="451">
        <v>0</v>
      </c>
      <c r="CR126" s="451">
        <v>0</v>
      </c>
      <c r="CS126" s="451">
        <v>0</v>
      </c>
      <c r="CT126" s="451">
        <v>0</v>
      </c>
      <c r="CU126" s="451">
        <v>0</v>
      </c>
      <c r="CV126" s="451">
        <v>0</v>
      </c>
      <c r="CW126" s="451">
        <v>0</v>
      </c>
      <c r="CX126" s="451">
        <v>14080</v>
      </c>
      <c r="CY126" s="451">
        <v>0</v>
      </c>
      <c r="CZ126" s="451">
        <v>0</v>
      </c>
      <c r="DA126" s="451">
        <v>14080</v>
      </c>
      <c r="DB126" s="451">
        <v>62</v>
      </c>
      <c r="DC126" s="451">
        <v>0</v>
      </c>
      <c r="DD126" s="451">
        <v>0</v>
      </c>
      <c r="DE126" s="451">
        <v>62</v>
      </c>
      <c r="DF126" s="451">
        <v>33005</v>
      </c>
      <c r="DG126" s="451">
        <v>0</v>
      </c>
      <c r="DH126" s="451">
        <v>0</v>
      </c>
      <c r="DI126" s="451">
        <v>33005</v>
      </c>
      <c r="DJ126" s="451">
        <v>-115</v>
      </c>
      <c r="DK126" s="451">
        <v>0</v>
      </c>
      <c r="DL126" s="451">
        <v>0</v>
      </c>
      <c r="DM126" s="451">
        <v>-115</v>
      </c>
      <c r="DN126" s="451">
        <v>0</v>
      </c>
      <c r="DO126" s="451">
        <v>0</v>
      </c>
      <c r="DP126" s="451">
        <v>0</v>
      </c>
      <c r="DQ126" s="451">
        <v>0</v>
      </c>
      <c r="DR126" s="451">
        <v>0</v>
      </c>
      <c r="DS126" s="451">
        <v>0</v>
      </c>
      <c r="DT126" s="451">
        <v>0</v>
      </c>
      <c r="DU126" s="451">
        <v>0</v>
      </c>
      <c r="DV126" s="451">
        <v>0</v>
      </c>
      <c r="DW126" s="451">
        <v>0</v>
      </c>
      <c r="DX126" s="451">
        <v>0</v>
      </c>
      <c r="DY126" s="451">
        <v>0</v>
      </c>
      <c r="DZ126" s="451">
        <v>0</v>
      </c>
      <c r="EA126" s="451">
        <v>0</v>
      </c>
      <c r="EB126" s="451">
        <v>0</v>
      </c>
      <c r="EC126" s="451">
        <v>0</v>
      </c>
      <c r="ED126" s="451">
        <v>0</v>
      </c>
      <c r="EE126" s="451">
        <v>0</v>
      </c>
      <c r="EF126" s="451">
        <v>3830</v>
      </c>
      <c r="EG126" s="451">
        <v>0</v>
      </c>
      <c r="EH126" s="451">
        <v>0</v>
      </c>
      <c r="EI126" s="451">
        <v>3830</v>
      </c>
      <c r="EJ126" s="451">
        <v>-214</v>
      </c>
      <c r="EK126" s="451">
        <v>0</v>
      </c>
      <c r="EL126" s="451">
        <v>0</v>
      </c>
      <c r="EM126" s="451">
        <v>-214</v>
      </c>
    </row>
    <row r="127" spans="1:143" ht="12.75" x14ac:dyDescent="0.2">
      <c r="A127" s="446">
        <v>121</v>
      </c>
      <c r="B127" s="447" t="s">
        <v>125</v>
      </c>
      <c r="C127" s="448" t="s">
        <v>1098</v>
      </c>
      <c r="D127" s="449" t="s">
        <v>1099</v>
      </c>
      <c r="E127" s="450" t="s">
        <v>124</v>
      </c>
      <c r="F127" s="451">
        <v>94298</v>
      </c>
      <c r="G127" s="451">
        <v>0</v>
      </c>
      <c r="H127" s="451">
        <v>0</v>
      </c>
      <c r="I127" s="451">
        <v>94298</v>
      </c>
      <c r="J127" s="451">
        <v>-44252</v>
      </c>
      <c r="K127" s="451">
        <v>0</v>
      </c>
      <c r="L127" s="451">
        <v>0</v>
      </c>
      <c r="M127" s="451">
        <v>-44252</v>
      </c>
      <c r="N127" s="451">
        <v>37082</v>
      </c>
      <c r="O127" s="451">
        <v>0</v>
      </c>
      <c r="P127" s="451">
        <v>0</v>
      </c>
      <c r="Q127" s="451">
        <v>37082</v>
      </c>
      <c r="R127" s="451">
        <v>174041</v>
      </c>
      <c r="S127" s="451">
        <v>0</v>
      </c>
      <c r="T127" s="451">
        <v>0</v>
      </c>
      <c r="U127" s="451">
        <v>174041</v>
      </c>
      <c r="V127" s="451">
        <v>2729626</v>
      </c>
      <c r="W127" s="451">
        <v>0</v>
      </c>
      <c r="X127" s="451">
        <v>0</v>
      </c>
      <c r="Y127" s="451">
        <v>2729626</v>
      </c>
      <c r="Z127" s="451">
        <v>128786</v>
      </c>
      <c r="AA127" s="451">
        <v>0</v>
      </c>
      <c r="AB127" s="451">
        <v>0</v>
      </c>
      <c r="AC127" s="451">
        <v>128786</v>
      </c>
      <c r="AD127" s="451">
        <v>839633</v>
      </c>
      <c r="AE127" s="451">
        <v>0</v>
      </c>
      <c r="AF127" s="451">
        <v>0</v>
      </c>
      <c r="AG127" s="451">
        <v>839633</v>
      </c>
      <c r="AH127" s="451">
        <v>8183</v>
      </c>
      <c r="AI127" s="451">
        <v>0</v>
      </c>
      <c r="AJ127" s="451">
        <v>0</v>
      </c>
      <c r="AK127" s="451">
        <v>8183</v>
      </c>
      <c r="AL127" s="451">
        <v>4133162</v>
      </c>
      <c r="AM127" s="451">
        <v>0</v>
      </c>
      <c r="AN127" s="451">
        <v>0</v>
      </c>
      <c r="AO127" s="451">
        <v>4133162</v>
      </c>
      <c r="AP127" s="451">
        <v>-8032</v>
      </c>
      <c r="AQ127" s="451">
        <v>0</v>
      </c>
      <c r="AR127" s="451">
        <v>0</v>
      </c>
      <c r="AS127" s="451">
        <v>-8032</v>
      </c>
      <c r="AT127" s="451">
        <v>163277</v>
      </c>
      <c r="AU127" s="451">
        <v>0</v>
      </c>
      <c r="AV127" s="451">
        <v>0</v>
      </c>
      <c r="AW127" s="451">
        <v>163277</v>
      </c>
      <c r="AX127" s="451">
        <v>-8468</v>
      </c>
      <c r="AY127" s="451">
        <v>0</v>
      </c>
      <c r="AZ127" s="451">
        <v>0</v>
      </c>
      <c r="BA127" s="451">
        <v>-8468</v>
      </c>
      <c r="BB127" s="451">
        <v>0</v>
      </c>
      <c r="BC127" s="451">
        <v>0</v>
      </c>
      <c r="BD127" s="451">
        <v>0</v>
      </c>
      <c r="BE127" s="451">
        <v>0</v>
      </c>
      <c r="BF127" s="451">
        <v>0</v>
      </c>
      <c r="BG127" s="451">
        <v>0</v>
      </c>
      <c r="BH127" s="451">
        <v>0</v>
      </c>
      <c r="BI127" s="451">
        <v>0</v>
      </c>
      <c r="BJ127" s="451">
        <v>0</v>
      </c>
      <c r="BK127" s="451">
        <v>0</v>
      </c>
      <c r="BL127" s="451">
        <v>0</v>
      </c>
      <c r="BM127" s="451">
        <v>0</v>
      </c>
      <c r="BN127" s="451">
        <v>3619</v>
      </c>
      <c r="BO127" s="451">
        <v>0</v>
      </c>
      <c r="BP127" s="451">
        <v>0</v>
      </c>
      <c r="BQ127" s="451">
        <v>3619</v>
      </c>
      <c r="BR127" s="451">
        <v>1309175</v>
      </c>
      <c r="BS127" s="451">
        <v>0</v>
      </c>
      <c r="BT127" s="451">
        <v>0</v>
      </c>
      <c r="BU127" s="451">
        <v>1309175</v>
      </c>
      <c r="BV127" s="451">
        <v>166484</v>
      </c>
      <c r="BW127" s="451">
        <v>0</v>
      </c>
      <c r="BX127" s="451">
        <v>0</v>
      </c>
      <c r="BY127" s="451">
        <v>166484</v>
      </c>
      <c r="BZ127" s="451">
        <v>43082</v>
      </c>
      <c r="CA127" s="451">
        <v>0</v>
      </c>
      <c r="CB127" s="451">
        <v>0</v>
      </c>
      <c r="CC127" s="451">
        <v>43082</v>
      </c>
      <c r="CD127" s="451">
        <v>0</v>
      </c>
      <c r="CE127" s="451">
        <v>0</v>
      </c>
      <c r="CF127" s="451">
        <v>0</v>
      </c>
      <c r="CG127" s="451">
        <v>0</v>
      </c>
      <c r="CH127" s="451">
        <v>16239</v>
      </c>
      <c r="CI127" s="451">
        <v>0</v>
      </c>
      <c r="CJ127" s="451">
        <v>0</v>
      </c>
      <c r="CK127" s="451">
        <v>16239</v>
      </c>
      <c r="CL127" s="451">
        <v>-1965</v>
      </c>
      <c r="CM127" s="451">
        <v>0</v>
      </c>
      <c r="CN127" s="451">
        <v>0</v>
      </c>
      <c r="CO127" s="451">
        <v>-1965</v>
      </c>
      <c r="CP127" s="451">
        <v>0</v>
      </c>
      <c r="CQ127" s="451">
        <v>0</v>
      </c>
      <c r="CR127" s="451">
        <v>0</v>
      </c>
      <c r="CS127" s="451">
        <v>0</v>
      </c>
      <c r="CT127" s="451">
        <v>0</v>
      </c>
      <c r="CU127" s="451">
        <v>0</v>
      </c>
      <c r="CV127" s="451">
        <v>0</v>
      </c>
      <c r="CW127" s="451">
        <v>0</v>
      </c>
      <c r="CX127" s="451">
        <v>0</v>
      </c>
      <c r="CY127" s="451">
        <v>0</v>
      </c>
      <c r="CZ127" s="451">
        <v>0</v>
      </c>
      <c r="DA127" s="451">
        <v>0</v>
      </c>
      <c r="DB127" s="451">
        <v>0</v>
      </c>
      <c r="DC127" s="451">
        <v>0</v>
      </c>
      <c r="DD127" s="451">
        <v>0</v>
      </c>
      <c r="DE127" s="451">
        <v>0</v>
      </c>
      <c r="DF127" s="451">
        <v>0</v>
      </c>
      <c r="DG127" s="451">
        <v>0</v>
      </c>
      <c r="DH127" s="451">
        <v>0</v>
      </c>
      <c r="DI127" s="451">
        <v>0</v>
      </c>
      <c r="DJ127" s="451">
        <v>0</v>
      </c>
      <c r="DK127" s="451">
        <v>0</v>
      </c>
      <c r="DL127" s="451">
        <v>0</v>
      </c>
      <c r="DM127" s="451">
        <v>0</v>
      </c>
      <c r="DN127" s="451">
        <v>0</v>
      </c>
      <c r="DO127" s="451">
        <v>0</v>
      </c>
      <c r="DP127" s="451">
        <v>0</v>
      </c>
      <c r="DQ127" s="451">
        <v>0</v>
      </c>
      <c r="DR127" s="451">
        <v>0</v>
      </c>
      <c r="DS127" s="451">
        <v>0</v>
      </c>
      <c r="DT127" s="451">
        <v>0</v>
      </c>
      <c r="DU127" s="451">
        <v>0</v>
      </c>
      <c r="DV127" s="451">
        <v>0</v>
      </c>
      <c r="DW127" s="451">
        <v>0</v>
      </c>
      <c r="DX127" s="451">
        <v>0</v>
      </c>
      <c r="DY127" s="451">
        <v>0</v>
      </c>
      <c r="DZ127" s="451">
        <v>0</v>
      </c>
      <c r="EA127" s="451">
        <v>0</v>
      </c>
      <c r="EB127" s="451">
        <v>0</v>
      </c>
      <c r="EC127" s="451">
        <v>0</v>
      </c>
      <c r="ED127" s="451">
        <v>0</v>
      </c>
      <c r="EE127" s="451">
        <v>0</v>
      </c>
      <c r="EF127" s="451">
        <v>0</v>
      </c>
      <c r="EG127" s="451">
        <v>0</v>
      </c>
      <c r="EH127" s="451">
        <v>0</v>
      </c>
      <c r="EI127" s="451">
        <v>0</v>
      </c>
      <c r="EJ127" s="451">
        <v>0</v>
      </c>
      <c r="EK127" s="451">
        <v>0</v>
      </c>
      <c r="EL127" s="451">
        <v>0</v>
      </c>
      <c r="EM127" s="451">
        <v>0</v>
      </c>
    </row>
    <row r="128" spans="1:143" ht="12.75" x14ac:dyDescent="0.2">
      <c r="A128" s="446">
        <v>122</v>
      </c>
      <c r="B128" s="447" t="s">
        <v>127</v>
      </c>
      <c r="C128" s="448" t="s">
        <v>1093</v>
      </c>
      <c r="D128" s="449" t="s">
        <v>1094</v>
      </c>
      <c r="E128" s="450" t="s">
        <v>126</v>
      </c>
      <c r="F128" s="451">
        <v>80095.09</v>
      </c>
      <c r="G128" s="451">
        <v>0</v>
      </c>
      <c r="H128" s="451">
        <v>0</v>
      </c>
      <c r="I128" s="451">
        <v>80095.09</v>
      </c>
      <c r="J128" s="451">
        <v>-402129.53</v>
      </c>
      <c r="K128" s="451">
        <v>0</v>
      </c>
      <c r="L128" s="451">
        <v>0</v>
      </c>
      <c r="M128" s="451">
        <v>-402129.53</v>
      </c>
      <c r="N128" s="451">
        <v>9859</v>
      </c>
      <c r="O128" s="451">
        <v>0</v>
      </c>
      <c r="P128" s="451">
        <v>0</v>
      </c>
      <c r="Q128" s="451">
        <v>9859</v>
      </c>
      <c r="R128" s="451">
        <v>8662</v>
      </c>
      <c r="S128" s="451">
        <v>0</v>
      </c>
      <c r="T128" s="451">
        <v>0</v>
      </c>
      <c r="U128" s="451">
        <v>8662</v>
      </c>
      <c r="V128" s="451">
        <v>992435.19999999995</v>
      </c>
      <c r="W128" s="451">
        <v>0</v>
      </c>
      <c r="X128" s="451">
        <v>0</v>
      </c>
      <c r="Y128" s="451">
        <v>992435.19999999995</v>
      </c>
      <c r="Z128" s="451">
        <v>76397.95</v>
      </c>
      <c r="AA128" s="451">
        <v>0</v>
      </c>
      <c r="AB128" s="451">
        <v>0</v>
      </c>
      <c r="AC128" s="451">
        <v>76397.95</v>
      </c>
      <c r="AD128" s="451">
        <v>565682.77</v>
      </c>
      <c r="AE128" s="451">
        <v>0</v>
      </c>
      <c r="AF128" s="451">
        <v>0</v>
      </c>
      <c r="AG128" s="451">
        <v>565682.77</v>
      </c>
      <c r="AH128" s="451">
        <v>-4741</v>
      </c>
      <c r="AI128" s="451">
        <v>0</v>
      </c>
      <c r="AJ128" s="451">
        <v>0</v>
      </c>
      <c r="AK128" s="451">
        <v>-4741</v>
      </c>
      <c r="AL128" s="451">
        <v>1283003.44</v>
      </c>
      <c r="AM128" s="451">
        <v>0</v>
      </c>
      <c r="AN128" s="451">
        <v>0</v>
      </c>
      <c r="AO128" s="451">
        <v>1283003.44</v>
      </c>
      <c r="AP128" s="451">
        <v>1218.4100000000001</v>
      </c>
      <c r="AQ128" s="451">
        <v>0</v>
      </c>
      <c r="AR128" s="451">
        <v>0</v>
      </c>
      <c r="AS128" s="451">
        <v>1218.4100000000001</v>
      </c>
      <c r="AT128" s="451">
        <v>34496.04</v>
      </c>
      <c r="AU128" s="451">
        <v>0</v>
      </c>
      <c r="AV128" s="451">
        <v>0</v>
      </c>
      <c r="AW128" s="451">
        <v>34496.04</v>
      </c>
      <c r="AX128" s="451">
        <v>0</v>
      </c>
      <c r="AY128" s="451">
        <v>0</v>
      </c>
      <c r="AZ128" s="451">
        <v>0</v>
      </c>
      <c r="BA128" s="451">
        <v>0</v>
      </c>
      <c r="BB128" s="451">
        <v>2743.58</v>
      </c>
      <c r="BC128" s="451">
        <v>0</v>
      </c>
      <c r="BD128" s="451">
        <v>0</v>
      </c>
      <c r="BE128" s="451">
        <v>2743.58</v>
      </c>
      <c r="BF128" s="451">
        <v>0</v>
      </c>
      <c r="BG128" s="451">
        <v>0</v>
      </c>
      <c r="BH128" s="451">
        <v>0</v>
      </c>
      <c r="BI128" s="451">
        <v>0</v>
      </c>
      <c r="BJ128" s="451">
        <v>0</v>
      </c>
      <c r="BK128" s="451">
        <v>0</v>
      </c>
      <c r="BL128" s="451">
        <v>0</v>
      </c>
      <c r="BM128" s="451">
        <v>0</v>
      </c>
      <c r="BN128" s="451">
        <v>-50951.07</v>
      </c>
      <c r="BO128" s="451">
        <v>0</v>
      </c>
      <c r="BP128" s="451">
        <v>0</v>
      </c>
      <c r="BQ128" s="451">
        <v>-50951.07</v>
      </c>
      <c r="BR128" s="451">
        <v>2044859.33</v>
      </c>
      <c r="BS128" s="451">
        <v>0</v>
      </c>
      <c r="BT128" s="451">
        <v>0</v>
      </c>
      <c r="BU128" s="451">
        <v>2044859.33</v>
      </c>
      <c r="BV128" s="451">
        <v>119113.35</v>
      </c>
      <c r="BW128" s="451">
        <v>0</v>
      </c>
      <c r="BX128" s="451">
        <v>0</v>
      </c>
      <c r="BY128" s="451">
        <v>119113.35</v>
      </c>
      <c r="BZ128" s="451">
        <v>55913.11</v>
      </c>
      <c r="CA128" s="451">
        <v>0</v>
      </c>
      <c r="CB128" s="451">
        <v>0</v>
      </c>
      <c r="CC128" s="451">
        <v>55913.11</v>
      </c>
      <c r="CD128" s="451">
        <v>469.42</v>
      </c>
      <c r="CE128" s="451">
        <v>0</v>
      </c>
      <c r="CF128" s="451">
        <v>0</v>
      </c>
      <c r="CG128" s="451">
        <v>469.42</v>
      </c>
      <c r="CH128" s="451">
        <v>21581.18</v>
      </c>
      <c r="CI128" s="451">
        <v>0</v>
      </c>
      <c r="CJ128" s="451">
        <v>0</v>
      </c>
      <c r="CK128" s="451">
        <v>21581.18</v>
      </c>
      <c r="CL128" s="451">
        <v>0</v>
      </c>
      <c r="CM128" s="451">
        <v>0</v>
      </c>
      <c r="CN128" s="451">
        <v>0</v>
      </c>
      <c r="CO128" s="451">
        <v>0</v>
      </c>
      <c r="CP128" s="451">
        <v>0</v>
      </c>
      <c r="CQ128" s="451">
        <v>0</v>
      </c>
      <c r="CR128" s="451">
        <v>0</v>
      </c>
      <c r="CS128" s="451">
        <v>0</v>
      </c>
      <c r="CT128" s="451">
        <v>0</v>
      </c>
      <c r="CU128" s="451">
        <v>0</v>
      </c>
      <c r="CV128" s="451">
        <v>0</v>
      </c>
      <c r="CW128" s="451">
        <v>0</v>
      </c>
      <c r="CX128" s="451">
        <v>2743.57</v>
      </c>
      <c r="CY128" s="451">
        <v>0</v>
      </c>
      <c r="CZ128" s="451">
        <v>0</v>
      </c>
      <c r="DA128" s="451">
        <v>2743.57</v>
      </c>
      <c r="DB128" s="451">
        <v>0</v>
      </c>
      <c r="DC128" s="451">
        <v>0</v>
      </c>
      <c r="DD128" s="451">
        <v>0</v>
      </c>
      <c r="DE128" s="451">
        <v>0</v>
      </c>
      <c r="DF128" s="451">
        <v>0</v>
      </c>
      <c r="DG128" s="451">
        <v>0</v>
      </c>
      <c r="DH128" s="451">
        <v>0</v>
      </c>
      <c r="DI128" s="451">
        <v>0</v>
      </c>
      <c r="DJ128" s="451">
        <v>0</v>
      </c>
      <c r="DK128" s="451">
        <v>0</v>
      </c>
      <c r="DL128" s="451">
        <v>0</v>
      </c>
      <c r="DM128" s="451">
        <v>0</v>
      </c>
      <c r="DN128" s="451">
        <v>0</v>
      </c>
      <c r="DO128" s="451">
        <v>0</v>
      </c>
      <c r="DP128" s="451">
        <v>0</v>
      </c>
      <c r="DQ128" s="451">
        <v>0</v>
      </c>
      <c r="DR128" s="451">
        <v>0</v>
      </c>
      <c r="DS128" s="451">
        <v>0</v>
      </c>
      <c r="DT128" s="451">
        <v>0</v>
      </c>
      <c r="DU128" s="451">
        <v>0</v>
      </c>
      <c r="DV128" s="451">
        <v>0</v>
      </c>
      <c r="DW128" s="451">
        <v>0</v>
      </c>
      <c r="DX128" s="451">
        <v>0</v>
      </c>
      <c r="DY128" s="451">
        <v>0</v>
      </c>
      <c r="DZ128" s="451">
        <v>0</v>
      </c>
      <c r="EA128" s="451">
        <v>0</v>
      </c>
      <c r="EB128" s="451">
        <v>0</v>
      </c>
      <c r="EC128" s="451">
        <v>0</v>
      </c>
      <c r="ED128" s="451">
        <v>0</v>
      </c>
      <c r="EE128" s="451">
        <v>0</v>
      </c>
      <c r="EF128" s="451">
        <v>0</v>
      </c>
      <c r="EG128" s="451">
        <v>0</v>
      </c>
      <c r="EH128" s="451">
        <v>0</v>
      </c>
      <c r="EI128" s="451">
        <v>0</v>
      </c>
      <c r="EJ128" s="451">
        <v>0</v>
      </c>
      <c r="EK128" s="451">
        <v>0</v>
      </c>
      <c r="EL128" s="451">
        <v>0</v>
      </c>
      <c r="EM128" s="451">
        <v>0</v>
      </c>
    </row>
    <row r="129" spans="1:143" ht="12.75" x14ac:dyDescent="0.2">
      <c r="A129" s="446">
        <v>123</v>
      </c>
      <c r="B129" s="447" t="s">
        <v>129</v>
      </c>
      <c r="C129" s="448" t="s">
        <v>794</v>
      </c>
      <c r="D129" s="449" t="s">
        <v>1105</v>
      </c>
      <c r="E129" s="450" t="s">
        <v>719</v>
      </c>
      <c r="F129" s="451">
        <v>9559741</v>
      </c>
      <c r="G129" s="451">
        <v>0</v>
      </c>
      <c r="H129" s="451">
        <v>0</v>
      </c>
      <c r="I129" s="451">
        <v>9559741</v>
      </c>
      <c r="J129" s="451">
        <v>-153452</v>
      </c>
      <c r="K129" s="451">
        <v>0</v>
      </c>
      <c r="L129" s="451">
        <v>0</v>
      </c>
      <c r="M129" s="451">
        <v>-153452</v>
      </c>
      <c r="N129" s="451">
        <v>27499</v>
      </c>
      <c r="O129" s="451">
        <v>0</v>
      </c>
      <c r="P129" s="451">
        <v>0</v>
      </c>
      <c r="Q129" s="451">
        <v>27499</v>
      </c>
      <c r="R129" s="451">
        <v>118465</v>
      </c>
      <c r="S129" s="451">
        <v>0</v>
      </c>
      <c r="T129" s="451">
        <v>0</v>
      </c>
      <c r="U129" s="451">
        <v>118465</v>
      </c>
      <c r="V129" s="451">
        <v>1818555</v>
      </c>
      <c r="W129" s="451">
        <v>0</v>
      </c>
      <c r="X129" s="451">
        <v>9</v>
      </c>
      <c r="Y129" s="451">
        <v>1818564</v>
      </c>
      <c r="Z129" s="451">
        <v>55551</v>
      </c>
      <c r="AA129" s="451">
        <v>0</v>
      </c>
      <c r="AB129" s="451">
        <v>0</v>
      </c>
      <c r="AC129" s="451">
        <v>55551</v>
      </c>
      <c r="AD129" s="451">
        <v>790474</v>
      </c>
      <c r="AE129" s="451">
        <v>0</v>
      </c>
      <c r="AF129" s="451">
        <v>0</v>
      </c>
      <c r="AG129" s="451">
        <v>790474</v>
      </c>
      <c r="AH129" s="451">
        <v>6374</v>
      </c>
      <c r="AI129" s="451">
        <v>0</v>
      </c>
      <c r="AJ129" s="451">
        <v>0</v>
      </c>
      <c r="AK129" s="451">
        <v>6374</v>
      </c>
      <c r="AL129" s="451">
        <v>1834595</v>
      </c>
      <c r="AM129" s="451">
        <v>0</v>
      </c>
      <c r="AN129" s="451">
        <v>0</v>
      </c>
      <c r="AO129" s="451">
        <v>1834595</v>
      </c>
      <c r="AP129" s="451">
        <v>44839</v>
      </c>
      <c r="AQ129" s="451">
        <v>0</v>
      </c>
      <c r="AR129" s="451">
        <v>0</v>
      </c>
      <c r="AS129" s="451">
        <v>44839</v>
      </c>
      <c r="AT129" s="451">
        <v>46129</v>
      </c>
      <c r="AU129" s="451">
        <v>0</v>
      </c>
      <c r="AV129" s="451">
        <v>0</v>
      </c>
      <c r="AW129" s="451">
        <v>46129</v>
      </c>
      <c r="AX129" s="451">
        <v>0</v>
      </c>
      <c r="AY129" s="451">
        <v>0</v>
      </c>
      <c r="AZ129" s="451">
        <v>0</v>
      </c>
      <c r="BA129" s="451">
        <v>0</v>
      </c>
      <c r="BB129" s="451">
        <v>0</v>
      </c>
      <c r="BC129" s="451">
        <v>0</v>
      </c>
      <c r="BD129" s="451">
        <v>0</v>
      </c>
      <c r="BE129" s="451">
        <v>0</v>
      </c>
      <c r="BF129" s="451">
        <v>0</v>
      </c>
      <c r="BG129" s="451">
        <v>0</v>
      </c>
      <c r="BH129" s="451">
        <v>0</v>
      </c>
      <c r="BI129" s="451">
        <v>0</v>
      </c>
      <c r="BJ129" s="451">
        <v>44396</v>
      </c>
      <c r="BK129" s="451">
        <v>0</v>
      </c>
      <c r="BL129" s="451">
        <v>0</v>
      </c>
      <c r="BM129" s="451">
        <v>44396</v>
      </c>
      <c r="BN129" s="451">
        <v>-52914</v>
      </c>
      <c r="BO129" s="451">
        <v>0</v>
      </c>
      <c r="BP129" s="451">
        <v>0</v>
      </c>
      <c r="BQ129" s="451">
        <v>-52914</v>
      </c>
      <c r="BR129" s="451">
        <v>1602256</v>
      </c>
      <c r="BS129" s="451">
        <v>0</v>
      </c>
      <c r="BT129" s="451">
        <v>0</v>
      </c>
      <c r="BU129" s="451">
        <v>1602256</v>
      </c>
      <c r="BV129" s="451">
        <v>64463</v>
      </c>
      <c r="BW129" s="451">
        <v>0</v>
      </c>
      <c r="BX129" s="451">
        <v>0</v>
      </c>
      <c r="BY129" s="451">
        <v>64463</v>
      </c>
      <c r="BZ129" s="451">
        <v>155381</v>
      </c>
      <c r="CA129" s="451">
        <v>0</v>
      </c>
      <c r="CB129" s="451">
        <v>0</v>
      </c>
      <c r="CC129" s="451">
        <v>155381</v>
      </c>
      <c r="CD129" s="451">
        <v>-184</v>
      </c>
      <c r="CE129" s="451">
        <v>0</v>
      </c>
      <c r="CF129" s="451">
        <v>0</v>
      </c>
      <c r="CG129" s="451">
        <v>-184</v>
      </c>
      <c r="CH129" s="451">
        <v>37761</v>
      </c>
      <c r="CI129" s="451">
        <v>0</v>
      </c>
      <c r="CJ129" s="451">
        <v>0</v>
      </c>
      <c r="CK129" s="451">
        <v>37761</v>
      </c>
      <c r="CL129" s="451">
        <v>-1633</v>
      </c>
      <c r="CM129" s="451">
        <v>0</v>
      </c>
      <c r="CN129" s="451">
        <v>0</v>
      </c>
      <c r="CO129" s="451">
        <v>-1633</v>
      </c>
      <c r="CP129" s="451">
        <v>2896</v>
      </c>
      <c r="CQ129" s="451">
        <v>0</v>
      </c>
      <c r="CR129" s="451">
        <v>0</v>
      </c>
      <c r="CS129" s="451">
        <v>2896</v>
      </c>
      <c r="CT129" s="451">
        <v>0</v>
      </c>
      <c r="CU129" s="451">
        <v>0</v>
      </c>
      <c r="CV129" s="451">
        <v>0</v>
      </c>
      <c r="CW129" s="451">
        <v>0</v>
      </c>
      <c r="CX129" s="451">
        <v>413</v>
      </c>
      <c r="CY129" s="451">
        <v>0</v>
      </c>
      <c r="CZ129" s="451">
        <v>0</v>
      </c>
      <c r="DA129" s="451">
        <v>413</v>
      </c>
      <c r="DB129" s="451">
        <v>0</v>
      </c>
      <c r="DC129" s="451">
        <v>0</v>
      </c>
      <c r="DD129" s="451">
        <v>0</v>
      </c>
      <c r="DE129" s="451">
        <v>0</v>
      </c>
      <c r="DF129" s="451">
        <v>0</v>
      </c>
      <c r="DG129" s="451">
        <v>0</v>
      </c>
      <c r="DH129" s="451">
        <v>0</v>
      </c>
      <c r="DI129" s="451">
        <v>0</v>
      </c>
      <c r="DJ129" s="451">
        <v>0</v>
      </c>
      <c r="DK129" s="451">
        <v>0</v>
      </c>
      <c r="DL129" s="451">
        <v>0</v>
      </c>
      <c r="DM129" s="451">
        <v>0</v>
      </c>
      <c r="DN129" s="451">
        <v>0</v>
      </c>
      <c r="DO129" s="451">
        <v>0</v>
      </c>
      <c r="DP129" s="451">
        <v>65814</v>
      </c>
      <c r="DQ129" s="451">
        <v>65814</v>
      </c>
      <c r="DR129" s="451">
        <v>0</v>
      </c>
      <c r="DS129" s="451">
        <v>0</v>
      </c>
      <c r="DT129" s="451">
        <v>1998</v>
      </c>
      <c r="DU129" s="451">
        <v>1998</v>
      </c>
      <c r="DV129" s="451">
        <v>67812</v>
      </c>
      <c r="DW129" s="451">
        <v>0</v>
      </c>
      <c r="DX129" s="451">
        <v>0</v>
      </c>
      <c r="DY129" s="451">
        <v>0</v>
      </c>
      <c r="DZ129" s="451">
        <v>0</v>
      </c>
      <c r="EA129" s="451">
        <v>0</v>
      </c>
      <c r="EB129" s="451">
        <v>0</v>
      </c>
      <c r="EC129" s="451">
        <v>0</v>
      </c>
      <c r="ED129" s="451">
        <v>0</v>
      </c>
      <c r="EE129" s="451">
        <v>0</v>
      </c>
      <c r="EF129" s="451">
        <v>0</v>
      </c>
      <c r="EG129" s="451">
        <v>0</v>
      </c>
      <c r="EH129" s="451">
        <v>0</v>
      </c>
      <c r="EI129" s="451">
        <v>0</v>
      </c>
      <c r="EJ129" s="451">
        <v>0</v>
      </c>
      <c r="EK129" s="451">
        <v>0</v>
      </c>
      <c r="EL129" s="451">
        <v>0</v>
      </c>
      <c r="EM129" s="451">
        <v>0</v>
      </c>
    </row>
    <row r="130" spans="1:143" ht="12.75" x14ac:dyDescent="0.2">
      <c r="A130" s="446">
        <v>124</v>
      </c>
      <c r="B130" s="447" t="s">
        <v>131</v>
      </c>
      <c r="C130" s="448" t="s">
        <v>1093</v>
      </c>
      <c r="D130" s="449" t="s">
        <v>1094</v>
      </c>
      <c r="E130" s="450" t="s">
        <v>130</v>
      </c>
      <c r="F130" s="451">
        <v>93682</v>
      </c>
      <c r="G130" s="451">
        <v>0</v>
      </c>
      <c r="H130" s="451">
        <v>0</v>
      </c>
      <c r="I130" s="451">
        <v>93682</v>
      </c>
      <c r="J130" s="451">
        <v>-46286</v>
      </c>
      <c r="K130" s="451">
        <v>0</v>
      </c>
      <c r="L130" s="451">
        <v>0</v>
      </c>
      <c r="M130" s="451">
        <v>-46286</v>
      </c>
      <c r="N130" s="451">
        <v>5760</v>
      </c>
      <c r="O130" s="451">
        <v>0</v>
      </c>
      <c r="P130" s="451">
        <v>0</v>
      </c>
      <c r="Q130" s="451">
        <v>5760</v>
      </c>
      <c r="R130" s="451">
        <v>45619</v>
      </c>
      <c r="S130" s="451">
        <v>0</v>
      </c>
      <c r="T130" s="451">
        <v>0</v>
      </c>
      <c r="U130" s="451">
        <v>45619</v>
      </c>
      <c r="V130" s="451">
        <v>2208498</v>
      </c>
      <c r="W130" s="451">
        <v>0</v>
      </c>
      <c r="X130" s="451">
        <v>0</v>
      </c>
      <c r="Y130" s="451">
        <v>2208498</v>
      </c>
      <c r="Z130" s="451">
        <v>86515</v>
      </c>
      <c r="AA130" s="451">
        <v>0</v>
      </c>
      <c r="AB130" s="451">
        <v>0</v>
      </c>
      <c r="AC130" s="451">
        <v>86515</v>
      </c>
      <c r="AD130" s="451">
        <v>397910</v>
      </c>
      <c r="AE130" s="451">
        <v>0</v>
      </c>
      <c r="AF130" s="451">
        <v>0</v>
      </c>
      <c r="AG130" s="451">
        <v>397910</v>
      </c>
      <c r="AH130" s="451">
        <v>0</v>
      </c>
      <c r="AI130" s="451">
        <v>0</v>
      </c>
      <c r="AJ130" s="451">
        <v>0</v>
      </c>
      <c r="AK130" s="451">
        <v>0</v>
      </c>
      <c r="AL130" s="451">
        <v>2049310</v>
      </c>
      <c r="AM130" s="451">
        <v>0</v>
      </c>
      <c r="AN130" s="451">
        <v>0</v>
      </c>
      <c r="AO130" s="451">
        <v>2049310</v>
      </c>
      <c r="AP130" s="451">
        <v>44587</v>
      </c>
      <c r="AQ130" s="451">
        <v>0</v>
      </c>
      <c r="AR130" s="451">
        <v>0</v>
      </c>
      <c r="AS130" s="451">
        <v>44587</v>
      </c>
      <c r="AT130" s="451">
        <v>35075</v>
      </c>
      <c r="AU130" s="451">
        <v>0</v>
      </c>
      <c r="AV130" s="451">
        <v>0</v>
      </c>
      <c r="AW130" s="451">
        <v>35075</v>
      </c>
      <c r="AX130" s="451">
        <v>4121</v>
      </c>
      <c r="AY130" s="451">
        <v>0</v>
      </c>
      <c r="AZ130" s="451">
        <v>0</v>
      </c>
      <c r="BA130" s="451">
        <v>4121</v>
      </c>
      <c r="BB130" s="451">
        <v>0</v>
      </c>
      <c r="BC130" s="451">
        <v>0</v>
      </c>
      <c r="BD130" s="451">
        <v>0</v>
      </c>
      <c r="BE130" s="451">
        <v>0</v>
      </c>
      <c r="BF130" s="451">
        <v>0</v>
      </c>
      <c r="BG130" s="451">
        <v>0</v>
      </c>
      <c r="BH130" s="451">
        <v>0</v>
      </c>
      <c r="BI130" s="451">
        <v>0</v>
      </c>
      <c r="BJ130" s="451">
        <v>0</v>
      </c>
      <c r="BK130" s="451">
        <v>0</v>
      </c>
      <c r="BL130" s="451">
        <v>0</v>
      </c>
      <c r="BM130" s="451">
        <v>0</v>
      </c>
      <c r="BN130" s="451">
        <v>0</v>
      </c>
      <c r="BO130" s="451">
        <v>0</v>
      </c>
      <c r="BP130" s="451">
        <v>0</v>
      </c>
      <c r="BQ130" s="451">
        <v>0</v>
      </c>
      <c r="BR130" s="451">
        <v>562552</v>
      </c>
      <c r="BS130" s="451">
        <v>0</v>
      </c>
      <c r="BT130" s="451">
        <v>0</v>
      </c>
      <c r="BU130" s="451">
        <v>562552</v>
      </c>
      <c r="BV130" s="451">
        <v>-65844</v>
      </c>
      <c r="BW130" s="451">
        <v>0</v>
      </c>
      <c r="BX130" s="451">
        <v>0</v>
      </c>
      <c r="BY130" s="451">
        <v>-65844</v>
      </c>
      <c r="BZ130" s="451">
        <v>124047</v>
      </c>
      <c r="CA130" s="451">
        <v>0</v>
      </c>
      <c r="CB130" s="451">
        <v>0</v>
      </c>
      <c r="CC130" s="451">
        <v>124047</v>
      </c>
      <c r="CD130" s="451">
        <v>2206</v>
      </c>
      <c r="CE130" s="451">
        <v>0</v>
      </c>
      <c r="CF130" s="451">
        <v>0</v>
      </c>
      <c r="CG130" s="451">
        <v>2206</v>
      </c>
      <c r="CH130" s="451">
        <v>121834</v>
      </c>
      <c r="CI130" s="451">
        <v>0</v>
      </c>
      <c r="CJ130" s="451">
        <v>0</v>
      </c>
      <c r="CK130" s="451">
        <v>121834</v>
      </c>
      <c r="CL130" s="451">
        <v>89</v>
      </c>
      <c r="CM130" s="451">
        <v>0</v>
      </c>
      <c r="CN130" s="451">
        <v>0</v>
      </c>
      <c r="CO130" s="451">
        <v>89</v>
      </c>
      <c r="CP130" s="451">
        <v>2249</v>
      </c>
      <c r="CQ130" s="451">
        <v>0</v>
      </c>
      <c r="CR130" s="451">
        <v>0</v>
      </c>
      <c r="CS130" s="451">
        <v>2249</v>
      </c>
      <c r="CT130" s="451">
        <v>0</v>
      </c>
      <c r="CU130" s="451">
        <v>0</v>
      </c>
      <c r="CV130" s="451">
        <v>0</v>
      </c>
      <c r="CW130" s="451">
        <v>0</v>
      </c>
      <c r="CX130" s="451">
        <v>0</v>
      </c>
      <c r="CY130" s="451">
        <v>0</v>
      </c>
      <c r="CZ130" s="451">
        <v>0</v>
      </c>
      <c r="DA130" s="451">
        <v>0</v>
      </c>
      <c r="DB130" s="451">
        <v>0</v>
      </c>
      <c r="DC130" s="451">
        <v>0</v>
      </c>
      <c r="DD130" s="451">
        <v>0</v>
      </c>
      <c r="DE130" s="451">
        <v>0</v>
      </c>
      <c r="DF130" s="451">
        <v>0</v>
      </c>
      <c r="DG130" s="451">
        <v>0</v>
      </c>
      <c r="DH130" s="451">
        <v>0</v>
      </c>
      <c r="DI130" s="451">
        <v>0</v>
      </c>
      <c r="DJ130" s="451">
        <v>0</v>
      </c>
      <c r="DK130" s="451">
        <v>0</v>
      </c>
      <c r="DL130" s="451">
        <v>0</v>
      </c>
      <c r="DM130" s="451">
        <v>0</v>
      </c>
      <c r="DN130" s="451">
        <v>0</v>
      </c>
      <c r="DO130" s="451">
        <v>0</v>
      </c>
      <c r="DP130" s="451">
        <v>0</v>
      </c>
      <c r="DQ130" s="451">
        <v>0</v>
      </c>
      <c r="DR130" s="451">
        <v>0</v>
      </c>
      <c r="DS130" s="451">
        <v>0</v>
      </c>
      <c r="DT130" s="451">
        <v>0</v>
      </c>
      <c r="DU130" s="451">
        <v>0</v>
      </c>
      <c r="DV130" s="451">
        <v>0</v>
      </c>
      <c r="DW130" s="451">
        <v>0</v>
      </c>
      <c r="DX130" s="451">
        <v>0</v>
      </c>
      <c r="DY130" s="451">
        <v>0</v>
      </c>
      <c r="DZ130" s="451">
        <v>0</v>
      </c>
      <c r="EA130" s="451">
        <v>0</v>
      </c>
      <c r="EB130" s="451">
        <v>0</v>
      </c>
      <c r="EC130" s="451">
        <v>0</v>
      </c>
      <c r="ED130" s="451">
        <v>0</v>
      </c>
      <c r="EE130" s="451">
        <v>0</v>
      </c>
      <c r="EF130" s="451">
        <v>0</v>
      </c>
      <c r="EG130" s="451">
        <v>0</v>
      </c>
      <c r="EH130" s="451">
        <v>0</v>
      </c>
      <c r="EI130" s="451">
        <v>0</v>
      </c>
      <c r="EJ130" s="451">
        <v>0</v>
      </c>
      <c r="EK130" s="451">
        <v>0</v>
      </c>
      <c r="EL130" s="451">
        <v>0</v>
      </c>
      <c r="EM130" s="451">
        <v>0</v>
      </c>
    </row>
    <row r="131" spans="1:143" ht="12.75" x14ac:dyDescent="0.2">
      <c r="A131" s="446">
        <v>125</v>
      </c>
      <c r="B131" s="447" t="s">
        <v>133</v>
      </c>
      <c r="C131" s="448" t="s">
        <v>1093</v>
      </c>
      <c r="D131" s="449" t="s">
        <v>1094</v>
      </c>
      <c r="E131" s="450" t="s">
        <v>132</v>
      </c>
      <c r="F131" s="451">
        <v>117410</v>
      </c>
      <c r="G131" s="451">
        <v>0</v>
      </c>
      <c r="H131" s="451">
        <v>0</v>
      </c>
      <c r="I131" s="451">
        <v>117410</v>
      </c>
      <c r="J131" s="451">
        <v>-99652</v>
      </c>
      <c r="K131" s="451">
        <v>0</v>
      </c>
      <c r="L131" s="451">
        <v>0</v>
      </c>
      <c r="M131" s="451">
        <v>-99652</v>
      </c>
      <c r="N131" s="451">
        <v>19477</v>
      </c>
      <c r="O131" s="451">
        <v>0</v>
      </c>
      <c r="P131" s="451">
        <v>0</v>
      </c>
      <c r="Q131" s="451">
        <v>19477</v>
      </c>
      <c r="R131" s="451">
        <v>122116</v>
      </c>
      <c r="S131" s="451">
        <v>0</v>
      </c>
      <c r="T131" s="451">
        <v>0</v>
      </c>
      <c r="U131" s="451">
        <v>122116</v>
      </c>
      <c r="V131" s="451">
        <v>1903661</v>
      </c>
      <c r="W131" s="451">
        <v>0</v>
      </c>
      <c r="X131" s="451">
        <v>0</v>
      </c>
      <c r="Y131" s="451">
        <v>1903661</v>
      </c>
      <c r="Z131" s="451">
        <v>131791</v>
      </c>
      <c r="AA131" s="451">
        <v>0</v>
      </c>
      <c r="AB131" s="451">
        <v>0</v>
      </c>
      <c r="AC131" s="451">
        <v>131791</v>
      </c>
      <c r="AD131" s="451">
        <v>605137</v>
      </c>
      <c r="AE131" s="451">
        <v>0</v>
      </c>
      <c r="AF131" s="451">
        <v>0</v>
      </c>
      <c r="AG131" s="451">
        <v>605137</v>
      </c>
      <c r="AH131" s="451">
        <v>-12123</v>
      </c>
      <c r="AI131" s="451">
        <v>0</v>
      </c>
      <c r="AJ131" s="451">
        <v>0</v>
      </c>
      <c r="AK131" s="451">
        <v>-12123</v>
      </c>
      <c r="AL131" s="451">
        <v>1801641</v>
      </c>
      <c r="AM131" s="451">
        <v>0</v>
      </c>
      <c r="AN131" s="451">
        <v>0</v>
      </c>
      <c r="AO131" s="451">
        <v>1801641</v>
      </c>
      <c r="AP131" s="451">
        <v>-30641</v>
      </c>
      <c r="AQ131" s="451">
        <v>0</v>
      </c>
      <c r="AR131" s="451">
        <v>0</v>
      </c>
      <c r="AS131" s="451">
        <v>-30641</v>
      </c>
      <c r="AT131" s="451">
        <v>2157</v>
      </c>
      <c r="AU131" s="451">
        <v>0</v>
      </c>
      <c r="AV131" s="451">
        <v>0</v>
      </c>
      <c r="AW131" s="451">
        <v>2157</v>
      </c>
      <c r="AX131" s="451">
        <v>0</v>
      </c>
      <c r="AY131" s="451">
        <v>0</v>
      </c>
      <c r="AZ131" s="451">
        <v>0</v>
      </c>
      <c r="BA131" s="451">
        <v>0</v>
      </c>
      <c r="BB131" s="451">
        <v>1884</v>
      </c>
      <c r="BC131" s="451">
        <v>0</v>
      </c>
      <c r="BD131" s="451">
        <v>0</v>
      </c>
      <c r="BE131" s="451">
        <v>1884</v>
      </c>
      <c r="BF131" s="451">
        <v>0</v>
      </c>
      <c r="BG131" s="451">
        <v>0</v>
      </c>
      <c r="BH131" s="451">
        <v>0</v>
      </c>
      <c r="BI131" s="451">
        <v>0</v>
      </c>
      <c r="BJ131" s="451">
        <v>164517</v>
      </c>
      <c r="BK131" s="451">
        <v>0</v>
      </c>
      <c r="BL131" s="451">
        <v>0</v>
      </c>
      <c r="BM131" s="451">
        <v>164517</v>
      </c>
      <c r="BN131" s="451">
        <v>-11821</v>
      </c>
      <c r="BO131" s="451">
        <v>0</v>
      </c>
      <c r="BP131" s="451">
        <v>0</v>
      </c>
      <c r="BQ131" s="451">
        <v>-11821</v>
      </c>
      <c r="BR131" s="451">
        <v>966035</v>
      </c>
      <c r="BS131" s="451">
        <v>0</v>
      </c>
      <c r="BT131" s="451">
        <v>0</v>
      </c>
      <c r="BU131" s="451">
        <v>966035</v>
      </c>
      <c r="BV131" s="451">
        <v>-280771</v>
      </c>
      <c r="BW131" s="451">
        <v>0</v>
      </c>
      <c r="BX131" s="451">
        <v>0</v>
      </c>
      <c r="BY131" s="451">
        <v>-280771</v>
      </c>
      <c r="BZ131" s="451">
        <v>92257</v>
      </c>
      <c r="CA131" s="451">
        <v>0</v>
      </c>
      <c r="CB131" s="451">
        <v>0</v>
      </c>
      <c r="CC131" s="451">
        <v>92257</v>
      </c>
      <c r="CD131" s="451">
        <v>-215</v>
      </c>
      <c r="CE131" s="451">
        <v>0</v>
      </c>
      <c r="CF131" s="451">
        <v>0</v>
      </c>
      <c r="CG131" s="451">
        <v>-215</v>
      </c>
      <c r="CH131" s="451">
        <v>87365</v>
      </c>
      <c r="CI131" s="451">
        <v>0</v>
      </c>
      <c r="CJ131" s="451">
        <v>0</v>
      </c>
      <c r="CK131" s="451">
        <v>87365</v>
      </c>
      <c r="CL131" s="451">
        <v>384</v>
      </c>
      <c r="CM131" s="451">
        <v>0</v>
      </c>
      <c r="CN131" s="451">
        <v>0</v>
      </c>
      <c r="CO131" s="451">
        <v>384</v>
      </c>
      <c r="CP131" s="451">
        <v>0</v>
      </c>
      <c r="CQ131" s="451">
        <v>0</v>
      </c>
      <c r="CR131" s="451">
        <v>0</v>
      </c>
      <c r="CS131" s="451">
        <v>0</v>
      </c>
      <c r="CT131" s="451">
        <v>0</v>
      </c>
      <c r="CU131" s="451">
        <v>0</v>
      </c>
      <c r="CV131" s="451">
        <v>0</v>
      </c>
      <c r="CW131" s="451">
        <v>0</v>
      </c>
      <c r="CX131" s="451">
        <v>1884</v>
      </c>
      <c r="CY131" s="451">
        <v>0</v>
      </c>
      <c r="CZ131" s="451">
        <v>0</v>
      </c>
      <c r="DA131" s="451">
        <v>1884</v>
      </c>
      <c r="DB131" s="451">
        <v>0</v>
      </c>
      <c r="DC131" s="451">
        <v>0</v>
      </c>
      <c r="DD131" s="451">
        <v>0</v>
      </c>
      <c r="DE131" s="451">
        <v>0</v>
      </c>
      <c r="DF131" s="451">
        <v>0</v>
      </c>
      <c r="DG131" s="451">
        <v>0</v>
      </c>
      <c r="DH131" s="451">
        <v>0</v>
      </c>
      <c r="DI131" s="451">
        <v>0</v>
      </c>
      <c r="DJ131" s="451">
        <v>0</v>
      </c>
      <c r="DK131" s="451">
        <v>0</v>
      </c>
      <c r="DL131" s="451">
        <v>0</v>
      </c>
      <c r="DM131" s="451">
        <v>0</v>
      </c>
      <c r="DN131" s="451">
        <v>0</v>
      </c>
      <c r="DO131" s="451">
        <v>0</v>
      </c>
      <c r="DP131" s="451">
        <v>0</v>
      </c>
      <c r="DQ131" s="451">
        <v>0</v>
      </c>
      <c r="DR131" s="451">
        <v>0</v>
      </c>
      <c r="DS131" s="451">
        <v>0</v>
      </c>
      <c r="DT131" s="451">
        <v>0</v>
      </c>
      <c r="DU131" s="451">
        <v>0</v>
      </c>
      <c r="DV131" s="451">
        <v>0</v>
      </c>
      <c r="DW131" s="451">
        <v>0</v>
      </c>
      <c r="DX131" s="451">
        <v>0</v>
      </c>
      <c r="DY131" s="451">
        <v>0</v>
      </c>
      <c r="DZ131" s="451">
        <v>0</v>
      </c>
      <c r="EA131" s="451">
        <v>0</v>
      </c>
      <c r="EB131" s="451">
        <v>0</v>
      </c>
      <c r="EC131" s="451">
        <v>0</v>
      </c>
      <c r="ED131" s="451">
        <v>0</v>
      </c>
      <c r="EE131" s="451">
        <v>0</v>
      </c>
      <c r="EF131" s="451">
        <v>0</v>
      </c>
      <c r="EG131" s="451">
        <v>0</v>
      </c>
      <c r="EH131" s="451">
        <v>0</v>
      </c>
      <c r="EI131" s="451">
        <v>0</v>
      </c>
      <c r="EJ131" s="451">
        <v>0</v>
      </c>
      <c r="EK131" s="451">
        <v>0</v>
      </c>
      <c r="EL131" s="451">
        <v>0</v>
      </c>
      <c r="EM131" s="451">
        <v>0</v>
      </c>
    </row>
    <row r="132" spans="1:143" ht="12.75" x14ac:dyDescent="0.2">
      <c r="A132" s="446">
        <v>126</v>
      </c>
      <c r="B132" s="447" t="s">
        <v>135</v>
      </c>
      <c r="C132" s="448" t="s">
        <v>1098</v>
      </c>
      <c r="D132" s="449" t="s">
        <v>1099</v>
      </c>
      <c r="E132" s="450" t="s">
        <v>134</v>
      </c>
      <c r="F132" s="451">
        <v>157658.70000000001</v>
      </c>
      <c r="G132" s="451">
        <v>0</v>
      </c>
      <c r="H132" s="451">
        <v>0</v>
      </c>
      <c r="I132" s="451">
        <v>157658.70000000001</v>
      </c>
      <c r="J132" s="451">
        <v>-247610.43</v>
      </c>
      <c r="K132" s="451">
        <v>0</v>
      </c>
      <c r="L132" s="451">
        <v>0</v>
      </c>
      <c r="M132" s="451">
        <v>-247610.43</v>
      </c>
      <c r="N132" s="451">
        <v>27027.29</v>
      </c>
      <c r="O132" s="451">
        <v>0</v>
      </c>
      <c r="P132" s="451">
        <v>0</v>
      </c>
      <c r="Q132" s="451">
        <v>27027.29</v>
      </c>
      <c r="R132" s="451">
        <v>324441.71999999997</v>
      </c>
      <c r="S132" s="451">
        <v>0</v>
      </c>
      <c r="T132" s="451">
        <v>0</v>
      </c>
      <c r="U132" s="451">
        <v>324441.71999999997</v>
      </c>
      <c r="V132" s="451">
        <v>3138430.23</v>
      </c>
      <c r="W132" s="451">
        <v>0</v>
      </c>
      <c r="X132" s="451">
        <v>0</v>
      </c>
      <c r="Y132" s="451">
        <v>3138430.23</v>
      </c>
      <c r="Z132" s="451">
        <v>164834.37</v>
      </c>
      <c r="AA132" s="451">
        <v>0</v>
      </c>
      <c r="AB132" s="451">
        <v>0</v>
      </c>
      <c r="AC132" s="451">
        <v>164834.37</v>
      </c>
      <c r="AD132" s="451">
        <v>1358590.21</v>
      </c>
      <c r="AE132" s="451">
        <v>0</v>
      </c>
      <c r="AF132" s="451">
        <v>0</v>
      </c>
      <c r="AG132" s="451">
        <v>1358590.21</v>
      </c>
      <c r="AH132" s="451">
        <v>-42031.27</v>
      </c>
      <c r="AI132" s="451">
        <v>0</v>
      </c>
      <c r="AJ132" s="451">
        <v>0</v>
      </c>
      <c r="AK132" s="451">
        <v>-42031.27</v>
      </c>
      <c r="AL132" s="451">
        <v>4236816.7</v>
      </c>
      <c r="AM132" s="451">
        <v>0</v>
      </c>
      <c r="AN132" s="451">
        <v>0</v>
      </c>
      <c r="AO132" s="451">
        <v>4236816.7</v>
      </c>
      <c r="AP132" s="451">
        <v>118021.29</v>
      </c>
      <c r="AQ132" s="451">
        <v>0</v>
      </c>
      <c r="AR132" s="451">
        <v>0</v>
      </c>
      <c r="AS132" s="451">
        <v>118021.29</v>
      </c>
      <c r="AT132" s="451">
        <v>315645.36</v>
      </c>
      <c r="AU132" s="451">
        <v>0</v>
      </c>
      <c r="AV132" s="451">
        <v>0</v>
      </c>
      <c r="AW132" s="451">
        <v>315645.36</v>
      </c>
      <c r="AX132" s="451">
        <v>-3816.28</v>
      </c>
      <c r="AY132" s="451">
        <v>0</v>
      </c>
      <c r="AZ132" s="451">
        <v>0</v>
      </c>
      <c r="BA132" s="451">
        <v>-3816.28</v>
      </c>
      <c r="BB132" s="451">
        <v>0</v>
      </c>
      <c r="BC132" s="451">
        <v>0</v>
      </c>
      <c r="BD132" s="451">
        <v>0</v>
      </c>
      <c r="BE132" s="451">
        <v>0</v>
      </c>
      <c r="BF132" s="451">
        <v>0</v>
      </c>
      <c r="BG132" s="451">
        <v>0</v>
      </c>
      <c r="BH132" s="451">
        <v>0</v>
      </c>
      <c r="BI132" s="451">
        <v>0</v>
      </c>
      <c r="BJ132" s="451">
        <v>0</v>
      </c>
      <c r="BK132" s="451">
        <v>0</v>
      </c>
      <c r="BL132" s="451">
        <v>0</v>
      </c>
      <c r="BM132" s="451">
        <v>0</v>
      </c>
      <c r="BN132" s="451">
        <v>16635.29</v>
      </c>
      <c r="BO132" s="451">
        <v>0</v>
      </c>
      <c r="BP132" s="451">
        <v>0</v>
      </c>
      <c r="BQ132" s="451">
        <v>16635.29</v>
      </c>
      <c r="BR132" s="451">
        <v>3611037.75</v>
      </c>
      <c r="BS132" s="451">
        <v>0</v>
      </c>
      <c r="BT132" s="451">
        <v>0</v>
      </c>
      <c r="BU132" s="451">
        <v>3611037.75</v>
      </c>
      <c r="BV132" s="451">
        <v>41905.1</v>
      </c>
      <c r="BW132" s="451">
        <v>0</v>
      </c>
      <c r="BX132" s="451">
        <v>0</v>
      </c>
      <c r="BY132" s="451">
        <v>41905.1</v>
      </c>
      <c r="BZ132" s="451">
        <v>143427.6</v>
      </c>
      <c r="CA132" s="451">
        <v>0</v>
      </c>
      <c r="CB132" s="451">
        <v>0</v>
      </c>
      <c r="CC132" s="451">
        <v>143427.6</v>
      </c>
      <c r="CD132" s="451">
        <v>5836.25</v>
      </c>
      <c r="CE132" s="451">
        <v>0</v>
      </c>
      <c r="CF132" s="451">
        <v>0</v>
      </c>
      <c r="CG132" s="451">
        <v>5836.25</v>
      </c>
      <c r="CH132" s="451">
        <v>9772.4</v>
      </c>
      <c r="CI132" s="451">
        <v>0</v>
      </c>
      <c r="CJ132" s="451">
        <v>0</v>
      </c>
      <c r="CK132" s="451">
        <v>9772.4</v>
      </c>
      <c r="CL132" s="451">
        <v>1540.31</v>
      </c>
      <c r="CM132" s="451">
        <v>0</v>
      </c>
      <c r="CN132" s="451">
        <v>0</v>
      </c>
      <c r="CO132" s="451">
        <v>1540.31</v>
      </c>
      <c r="CP132" s="451">
        <v>70602.899999999994</v>
      </c>
      <c r="CQ132" s="451">
        <v>0</v>
      </c>
      <c r="CR132" s="451">
        <v>0</v>
      </c>
      <c r="CS132" s="451">
        <v>70602.899999999994</v>
      </c>
      <c r="CT132" s="451">
        <v>-693.08</v>
      </c>
      <c r="CU132" s="451">
        <v>0</v>
      </c>
      <c r="CV132" s="451">
        <v>0</v>
      </c>
      <c r="CW132" s="451">
        <v>-693.08</v>
      </c>
      <c r="CX132" s="451">
        <v>0</v>
      </c>
      <c r="CY132" s="451">
        <v>0</v>
      </c>
      <c r="CZ132" s="451">
        <v>0</v>
      </c>
      <c r="DA132" s="451">
        <v>0</v>
      </c>
      <c r="DB132" s="451">
        <v>0</v>
      </c>
      <c r="DC132" s="451">
        <v>0</v>
      </c>
      <c r="DD132" s="451">
        <v>0</v>
      </c>
      <c r="DE132" s="451">
        <v>0</v>
      </c>
      <c r="DF132" s="451">
        <v>0</v>
      </c>
      <c r="DG132" s="451">
        <v>0</v>
      </c>
      <c r="DH132" s="451">
        <v>0</v>
      </c>
      <c r="DI132" s="451">
        <v>0</v>
      </c>
      <c r="DJ132" s="451">
        <v>0</v>
      </c>
      <c r="DK132" s="451">
        <v>0</v>
      </c>
      <c r="DL132" s="451">
        <v>0</v>
      </c>
      <c r="DM132" s="451">
        <v>0</v>
      </c>
      <c r="DN132" s="451">
        <v>0</v>
      </c>
      <c r="DO132" s="451">
        <v>0</v>
      </c>
      <c r="DP132" s="451">
        <v>0</v>
      </c>
      <c r="DQ132" s="451">
        <v>0</v>
      </c>
      <c r="DR132" s="451">
        <v>0</v>
      </c>
      <c r="DS132" s="451">
        <v>0</v>
      </c>
      <c r="DT132" s="451">
        <v>0</v>
      </c>
      <c r="DU132" s="451">
        <v>0</v>
      </c>
      <c r="DV132" s="451">
        <v>0</v>
      </c>
      <c r="DW132" s="451">
        <v>0</v>
      </c>
      <c r="DX132" s="451">
        <v>0</v>
      </c>
      <c r="DY132" s="451">
        <v>0</v>
      </c>
      <c r="DZ132" s="451">
        <v>0</v>
      </c>
      <c r="EA132" s="451">
        <v>0</v>
      </c>
      <c r="EB132" s="451">
        <v>0</v>
      </c>
      <c r="EC132" s="451">
        <v>0</v>
      </c>
      <c r="ED132" s="451">
        <v>0</v>
      </c>
      <c r="EE132" s="451">
        <v>0</v>
      </c>
      <c r="EF132" s="451">
        <v>0</v>
      </c>
      <c r="EG132" s="451">
        <v>0</v>
      </c>
      <c r="EH132" s="451">
        <v>0</v>
      </c>
      <c r="EI132" s="451">
        <v>0</v>
      </c>
      <c r="EJ132" s="451">
        <v>0</v>
      </c>
      <c r="EK132" s="451">
        <v>0</v>
      </c>
      <c r="EL132" s="451">
        <v>0</v>
      </c>
      <c r="EM132" s="451">
        <v>0</v>
      </c>
    </row>
    <row r="133" spans="1:143" ht="12.75" x14ac:dyDescent="0.2">
      <c r="A133" s="446">
        <v>127</v>
      </c>
      <c r="B133" s="447" t="s">
        <v>137</v>
      </c>
      <c r="C133" s="448" t="s">
        <v>794</v>
      </c>
      <c r="D133" s="449" t="s">
        <v>1103</v>
      </c>
      <c r="E133" s="450" t="s">
        <v>720</v>
      </c>
      <c r="F133" s="451">
        <v>175817.76</v>
      </c>
      <c r="G133" s="451">
        <v>0</v>
      </c>
      <c r="H133" s="451">
        <v>0</v>
      </c>
      <c r="I133" s="451">
        <v>175817.76</v>
      </c>
      <c r="J133" s="451">
        <v>-135541.62</v>
      </c>
      <c r="K133" s="451">
        <v>0</v>
      </c>
      <c r="L133" s="451">
        <v>-7424.16</v>
      </c>
      <c r="M133" s="451">
        <v>-142965.78</v>
      </c>
      <c r="N133" s="451">
        <v>82275.789999999994</v>
      </c>
      <c r="O133" s="451">
        <v>0</v>
      </c>
      <c r="P133" s="451">
        <v>0</v>
      </c>
      <c r="Q133" s="451">
        <v>82275.789999999994</v>
      </c>
      <c r="R133" s="451">
        <v>131386.68</v>
      </c>
      <c r="S133" s="451">
        <v>0</v>
      </c>
      <c r="T133" s="451">
        <v>0</v>
      </c>
      <c r="U133" s="451">
        <v>131386.68</v>
      </c>
      <c r="V133" s="451">
        <v>4936525.42</v>
      </c>
      <c r="W133" s="451">
        <v>0</v>
      </c>
      <c r="X133" s="451">
        <v>28486.41</v>
      </c>
      <c r="Y133" s="451">
        <v>4965011.83</v>
      </c>
      <c r="Z133" s="451">
        <v>291620.57</v>
      </c>
      <c r="AA133" s="451">
        <v>0</v>
      </c>
      <c r="AB133" s="451">
        <v>-2910.06</v>
      </c>
      <c r="AC133" s="451">
        <v>288710.51</v>
      </c>
      <c r="AD133" s="451">
        <v>856889.29</v>
      </c>
      <c r="AE133" s="451">
        <v>0</v>
      </c>
      <c r="AF133" s="451">
        <v>460.65</v>
      </c>
      <c r="AG133" s="451">
        <v>857349.94</v>
      </c>
      <c r="AH133" s="451">
        <v>-23603.3</v>
      </c>
      <c r="AI133" s="451">
        <v>0</v>
      </c>
      <c r="AJ133" s="451">
        <v>-192.89</v>
      </c>
      <c r="AK133" s="451">
        <v>-23796.19</v>
      </c>
      <c r="AL133" s="451">
        <v>4042649.86</v>
      </c>
      <c r="AM133" s="451">
        <v>0</v>
      </c>
      <c r="AN133" s="451">
        <v>638.91</v>
      </c>
      <c r="AO133" s="451">
        <v>4043288.77</v>
      </c>
      <c r="AP133" s="451">
        <v>-48238.5</v>
      </c>
      <c r="AQ133" s="451">
        <v>0</v>
      </c>
      <c r="AR133" s="451">
        <v>-740.86</v>
      </c>
      <c r="AS133" s="451">
        <v>-48979.360000000001</v>
      </c>
      <c r="AT133" s="451">
        <v>69583.48</v>
      </c>
      <c r="AU133" s="451">
        <v>0</v>
      </c>
      <c r="AV133" s="451">
        <v>0</v>
      </c>
      <c r="AW133" s="451">
        <v>69583.48</v>
      </c>
      <c r="AX133" s="451">
        <v>0</v>
      </c>
      <c r="AY133" s="451">
        <v>0</v>
      </c>
      <c r="AZ133" s="451">
        <v>0</v>
      </c>
      <c r="BA133" s="451">
        <v>0</v>
      </c>
      <c r="BB133" s="451">
        <v>88735.52</v>
      </c>
      <c r="BC133" s="451">
        <v>0</v>
      </c>
      <c r="BD133" s="451">
        <v>0</v>
      </c>
      <c r="BE133" s="451">
        <v>88735.52</v>
      </c>
      <c r="BF133" s="451">
        <v>-5026.2299999999996</v>
      </c>
      <c r="BG133" s="451">
        <v>0</v>
      </c>
      <c r="BH133" s="451">
        <v>0</v>
      </c>
      <c r="BI133" s="451">
        <v>-5026.2299999999996</v>
      </c>
      <c r="BJ133" s="451">
        <v>4164.22</v>
      </c>
      <c r="BK133" s="451">
        <v>0</v>
      </c>
      <c r="BL133" s="451">
        <v>0</v>
      </c>
      <c r="BM133" s="451">
        <v>4164.22</v>
      </c>
      <c r="BN133" s="451">
        <v>15751.76</v>
      </c>
      <c r="BO133" s="451">
        <v>0</v>
      </c>
      <c r="BP133" s="451">
        <v>0</v>
      </c>
      <c r="BQ133" s="451">
        <v>15751.76</v>
      </c>
      <c r="BR133" s="451">
        <v>2023704.61</v>
      </c>
      <c r="BS133" s="451">
        <v>0</v>
      </c>
      <c r="BT133" s="451">
        <v>2638.37</v>
      </c>
      <c r="BU133" s="451">
        <v>2026342.98</v>
      </c>
      <c r="BV133" s="451">
        <v>-56567.35</v>
      </c>
      <c r="BW133" s="451">
        <v>0</v>
      </c>
      <c r="BX133" s="451">
        <v>-1100.18</v>
      </c>
      <c r="BY133" s="451">
        <v>-57667.53</v>
      </c>
      <c r="BZ133" s="451">
        <v>433388.84</v>
      </c>
      <c r="CA133" s="451">
        <v>0</v>
      </c>
      <c r="CB133" s="451">
        <v>0</v>
      </c>
      <c r="CC133" s="451">
        <v>433388.84</v>
      </c>
      <c r="CD133" s="451">
        <v>903.94</v>
      </c>
      <c r="CE133" s="451">
        <v>0</v>
      </c>
      <c r="CF133" s="451">
        <v>-185.23</v>
      </c>
      <c r="CG133" s="451">
        <v>718.71</v>
      </c>
      <c r="CH133" s="451">
        <v>126063</v>
      </c>
      <c r="CI133" s="451">
        <v>0</v>
      </c>
      <c r="CJ133" s="451">
        <v>0</v>
      </c>
      <c r="CK133" s="451">
        <v>126063</v>
      </c>
      <c r="CL133" s="451">
        <v>-500.38</v>
      </c>
      <c r="CM133" s="451">
        <v>0</v>
      </c>
      <c r="CN133" s="451">
        <v>0</v>
      </c>
      <c r="CO133" s="451">
        <v>-500.38</v>
      </c>
      <c r="CP133" s="451">
        <v>12158.36</v>
      </c>
      <c r="CQ133" s="451">
        <v>0</v>
      </c>
      <c r="CR133" s="451">
        <v>0</v>
      </c>
      <c r="CS133" s="451">
        <v>12158.36</v>
      </c>
      <c r="CT133" s="451">
        <v>0</v>
      </c>
      <c r="CU133" s="451">
        <v>0</v>
      </c>
      <c r="CV133" s="451">
        <v>0</v>
      </c>
      <c r="CW133" s="451">
        <v>0</v>
      </c>
      <c r="CX133" s="451">
        <v>58773.35</v>
      </c>
      <c r="CY133" s="451">
        <v>0</v>
      </c>
      <c r="CZ133" s="451">
        <v>0</v>
      </c>
      <c r="DA133" s="451">
        <v>58773.35</v>
      </c>
      <c r="DB133" s="451">
        <v>-3062.42</v>
      </c>
      <c r="DC133" s="451">
        <v>0</v>
      </c>
      <c r="DD133" s="451">
        <v>0</v>
      </c>
      <c r="DE133" s="451">
        <v>-3062.42</v>
      </c>
      <c r="DF133" s="451">
        <v>0</v>
      </c>
      <c r="DG133" s="451">
        <v>0</v>
      </c>
      <c r="DH133" s="451">
        <v>0</v>
      </c>
      <c r="DI133" s="451">
        <v>0</v>
      </c>
      <c r="DJ133" s="451">
        <v>0</v>
      </c>
      <c r="DK133" s="451">
        <v>0</v>
      </c>
      <c r="DL133" s="451">
        <v>0</v>
      </c>
      <c r="DM133" s="451">
        <v>0</v>
      </c>
      <c r="DN133" s="451">
        <v>0</v>
      </c>
      <c r="DO133" s="451">
        <v>0</v>
      </c>
      <c r="DP133" s="451">
        <v>64227.02</v>
      </c>
      <c r="DQ133" s="451">
        <v>64227.02</v>
      </c>
      <c r="DR133" s="451">
        <v>0</v>
      </c>
      <c r="DS133" s="451">
        <v>0</v>
      </c>
      <c r="DT133" s="451">
        <v>-3678.65</v>
      </c>
      <c r="DU133" s="451">
        <v>-3678.65</v>
      </c>
      <c r="DV133" s="451">
        <v>60548.37</v>
      </c>
      <c r="DW133" s="451">
        <v>0</v>
      </c>
      <c r="DX133" s="451">
        <v>0</v>
      </c>
      <c r="DY133" s="451">
        <v>0</v>
      </c>
      <c r="DZ133" s="451">
        <v>0</v>
      </c>
      <c r="EA133" s="451">
        <v>0</v>
      </c>
      <c r="EB133" s="451">
        <v>0</v>
      </c>
      <c r="EC133" s="451">
        <v>0</v>
      </c>
      <c r="ED133" s="451">
        <v>0</v>
      </c>
      <c r="EE133" s="451">
        <v>0</v>
      </c>
      <c r="EF133" s="451">
        <v>0</v>
      </c>
      <c r="EG133" s="451">
        <v>0</v>
      </c>
      <c r="EH133" s="451">
        <v>0</v>
      </c>
      <c r="EI133" s="451">
        <v>0</v>
      </c>
      <c r="EJ133" s="451">
        <v>0</v>
      </c>
      <c r="EK133" s="451">
        <v>0</v>
      </c>
      <c r="EL133" s="451">
        <v>0</v>
      </c>
      <c r="EM133" s="451">
        <v>0</v>
      </c>
    </row>
    <row r="134" spans="1:143" ht="12.75" x14ac:dyDescent="0.2">
      <c r="A134" s="446">
        <v>128</v>
      </c>
      <c r="B134" s="447" t="s">
        <v>139</v>
      </c>
      <c r="C134" s="448" t="s">
        <v>1093</v>
      </c>
      <c r="D134" s="449" t="s">
        <v>1097</v>
      </c>
      <c r="E134" s="450" t="s">
        <v>138</v>
      </c>
      <c r="F134" s="451">
        <v>35255.040000000001</v>
      </c>
      <c r="G134" s="451">
        <v>0</v>
      </c>
      <c r="H134" s="451">
        <v>0</v>
      </c>
      <c r="I134" s="451">
        <v>35255.040000000001</v>
      </c>
      <c r="J134" s="451">
        <v>-137501.16</v>
      </c>
      <c r="K134" s="451">
        <v>0</v>
      </c>
      <c r="L134" s="451">
        <v>0</v>
      </c>
      <c r="M134" s="451">
        <v>-137501.16</v>
      </c>
      <c r="N134" s="451">
        <v>84551.98</v>
      </c>
      <c r="O134" s="451">
        <v>0</v>
      </c>
      <c r="P134" s="451">
        <v>0</v>
      </c>
      <c r="Q134" s="451">
        <v>84551.98</v>
      </c>
      <c r="R134" s="451">
        <v>193884.88</v>
      </c>
      <c r="S134" s="451">
        <v>0</v>
      </c>
      <c r="T134" s="451">
        <v>0</v>
      </c>
      <c r="U134" s="451">
        <v>193884.88</v>
      </c>
      <c r="V134" s="451">
        <v>1459858.33</v>
      </c>
      <c r="W134" s="451">
        <v>0</v>
      </c>
      <c r="X134" s="451">
        <v>0</v>
      </c>
      <c r="Y134" s="451">
        <v>1459858.33</v>
      </c>
      <c r="Z134" s="451">
        <v>172481.57</v>
      </c>
      <c r="AA134" s="451">
        <v>0</v>
      </c>
      <c r="AB134" s="451">
        <v>0</v>
      </c>
      <c r="AC134" s="451">
        <v>172481.57</v>
      </c>
      <c r="AD134" s="451">
        <v>901941.94</v>
      </c>
      <c r="AE134" s="451">
        <v>0</v>
      </c>
      <c r="AF134" s="451">
        <v>0</v>
      </c>
      <c r="AG134" s="451">
        <v>901941.94</v>
      </c>
      <c r="AH134" s="451">
        <v>-24228.11</v>
      </c>
      <c r="AI134" s="451">
        <v>0</v>
      </c>
      <c r="AJ134" s="451">
        <v>0</v>
      </c>
      <c r="AK134" s="451">
        <v>-24228.11</v>
      </c>
      <c r="AL134" s="451">
        <v>4428903.7699999996</v>
      </c>
      <c r="AM134" s="451">
        <v>0</v>
      </c>
      <c r="AN134" s="451">
        <v>0</v>
      </c>
      <c r="AO134" s="451">
        <v>4428903.7699999996</v>
      </c>
      <c r="AP134" s="451">
        <v>-44371.55</v>
      </c>
      <c r="AQ134" s="451">
        <v>0</v>
      </c>
      <c r="AR134" s="451">
        <v>0</v>
      </c>
      <c r="AS134" s="451">
        <v>-44371.55</v>
      </c>
      <c r="AT134" s="451">
        <v>49605.72</v>
      </c>
      <c r="AU134" s="451">
        <v>0</v>
      </c>
      <c r="AV134" s="451">
        <v>0</v>
      </c>
      <c r="AW134" s="451">
        <v>49605.72</v>
      </c>
      <c r="AX134" s="451">
        <v>-21189.81</v>
      </c>
      <c r="AY134" s="451">
        <v>0</v>
      </c>
      <c r="AZ134" s="451">
        <v>0</v>
      </c>
      <c r="BA134" s="451">
        <v>-21189.81</v>
      </c>
      <c r="BB134" s="451">
        <v>0</v>
      </c>
      <c r="BC134" s="451">
        <v>0</v>
      </c>
      <c r="BD134" s="451">
        <v>0</v>
      </c>
      <c r="BE134" s="451">
        <v>0</v>
      </c>
      <c r="BF134" s="451">
        <v>0</v>
      </c>
      <c r="BG134" s="451">
        <v>0</v>
      </c>
      <c r="BH134" s="451">
        <v>0</v>
      </c>
      <c r="BI134" s="451">
        <v>0</v>
      </c>
      <c r="BJ134" s="451">
        <v>114981.78</v>
      </c>
      <c r="BK134" s="451">
        <v>0</v>
      </c>
      <c r="BL134" s="451">
        <v>0</v>
      </c>
      <c r="BM134" s="451">
        <v>114981.78</v>
      </c>
      <c r="BN134" s="451">
        <v>-10923.92</v>
      </c>
      <c r="BO134" s="451">
        <v>0</v>
      </c>
      <c r="BP134" s="451">
        <v>0</v>
      </c>
      <c r="BQ134" s="451">
        <v>-10923.92</v>
      </c>
      <c r="BR134" s="451">
        <v>1303146.8899999999</v>
      </c>
      <c r="BS134" s="451">
        <v>0</v>
      </c>
      <c r="BT134" s="451">
        <v>0</v>
      </c>
      <c r="BU134" s="451">
        <v>1303146.8899999999</v>
      </c>
      <c r="BV134" s="451">
        <v>-205323.48</v>
      </c>
      <c r="BW134" s="451">
        <v>0</v>
      </c>
      <c r="BX134" s="451">
        <v>0</v>
      </c>
      <c r="BY134" s="451">
        <v>-205323.48</v>
      </c>
      <c r="BZ134" s="451">
        <v>101997.27</v>
      </c>
      <c r="CA134" s="451">
        <v>0</v>
      </c>
      <c r="CB134" s="451">
        <v>0</v>
      </c>
      <c r="CC134" s="451">
        <v>101997.27</v>
      </c>
      <c r="CD134" s="451">
        <v>21800.81</v>
      </c>
      <c r="CE134" s="451">
        <v>0</v>
      </c>
      <c r="CF134" s="451">
        <v>0</v>
      </c>
      <c r="CG134" s="451">
        <v>21800.81</v>
      </c>
      <c r="CH134" s="451">
        <v>38438.879999999997</v>
      </c>
      <c r="CI134" s="451">
        <v>0</v>
      </c>
      <c r="CJ134" s="451">
        <v>0</v>
      </c>
      <c r="CK134" s="451">
        <v>38438.879999999997</v>
      </c>
      <c r="CL134" s="451">
        <v>7195.81</v>
      </c>
      <c r="CM134" s="451">
        <v>0</v>
      </c>
      <c r="CN134" s="451">
        <v>0</v>
      </c>
      <c r="CO134" s="451">
        <v>7195.81</v>
      </c>
      <c r="CP134" s="451">
        <v>0</v>
      </c>
      <c r="CQ134" s="451">
        <v>0</v>
      </c>
      <c r="CR134" s="451">
        <v>0</v>
      </c>
      <c r="CS134" s="451">
        <v>0</v>
      </c>
      <c r="CT134" s="451">
        <v>0</v>
      </c>
      <c r="CU134" s="451">
        <v>0</v>
      </c>
      <c r="CV134" s="451">
        <v>0</v>
      </c>
      <c r="CW134" s="451">
        <v>0</v>
      </c>
      <c r="CX134" s="451">
        <v>0</v>
      </c>
      <c r="CY134" s="451">
        <v>0</v>
      </c>
      <c r="CZ134" s="451">
        <v>0</v>
      </c>
      <c r="DA134" s="451">
        <v>0</v>
      </c>
      <c r="DB134" s="451">
        <v>0</v>
      </c>
      <c r="DC134" s="451">
        <v>0</v>
      </c>
      <c r="DD134" s="451">
        <v>0</v>
      </c>
      <c r="DE134" s="451">
        <v>0</v>
      </c>
      <c r="DF134" s="451">
        <v>0</v>
      </c>
      <c r="DG134" s="451">
        <v>0</v>
      </c>
      <c r="DH134" s="451">
        <v>0</v>
      </c>
      <c r="DI134" s="451">
        <v>0</v>
      </c>
      <c r="DJ134" s="451">
        <v>0</v>
      </c>
      <c r="DK134" s="451">
        <v>0</v>
      </c>
      <c r="DL134" s="451">
        <v>0</v>
      </c>
      <c r="DM134" s="451">
        <v>0</v>
      </c>
      <c r="DN134" s="451">
        <v>0</v>
      </c>
      <c r="DO134" s="451">
        <v>0</v>
      </c>
      <c r="DP134" s="451">
        <v>0</v>
      </c>
      <c r="DQ134" s="451">
        <v>0</v>
      </c>
      <c r="DR134" s="451">
        <v>0</v>
      </c>
      <c r="DS134" s="451">
        <v>0</v>
      </c>
      <c r="DT134" s="451">
        <v>0</v>
      </c>
      <c r="DU134" s="451">
        <v>0</v>
      </c>
      <c r="DV134" s="451">
        <v>0</v>
      </c>
      <c r="DW134" s="451">
        <v>0</v>
      </c>
      <c r="DX134" s="451">
        <v>0</v>
      </c>
      <c r="DY134" s="451">
        <v>0</v>
      </c>
      <c r="DZ134" s="451">
        <v>0</v>
      </c>
      <c r="EA134" s="451">
        <v>0</v>
      </c>
      <c r="EB134" s="451">
        <v>0</v>
      </c>
      <c r="EC134" s="451">
        <v>0</v>
      </c>
      <c r="ED134" s="451">
        <v>0</v>
      </c>
      <c r="EE134" s="451">
        <v>0</v>
      </c>
      <c r="EF134" s="451">
        <v>0</v>
      </c>
      <c r="EG134" s="451">
        <v>0</v>
      </c>
      <c r="EH134" s="451">
        <v>0</v>
      </c>
      <c r="EI134" s="451">
        <v>0</v>
      </c>
      <c r="EJ134" s="451">
        <v>0</v>
      </c>
      <c r="EK134" s="451">
        <v>0</v>
      </c>
      <c r="EL134" s="451">
        <v>0</v>
      </c>
      <c r="EM134" s="451">
        <v>0</v>
      </c>
    </row>
    <row r="135" spans="1:143" ht="12.75" x14ac:dyDescent="0.2">
      <c r="A135" s="446">
        <v>129</v>
      </c>
      <c r="B135" s="447" t="s">
        <v>141</v>
      </c>
      <c r="C135" s="448" t="s">
        <v>1093</v>
      </c>
      <c r="D135" s="449" t="s">
        <v>1096</v>
      </c>
      <c r="E135" s="450" t="s">
        <v>140</v>
      </c>
      <c r="F135" s="451">
        <v>124698</v>
      </c>
      <c r="G135" s="451">
        <v>0</v>
      </c>
      <c r="H135" s="451">
        <v>0</v>
      </c>
      <c r="I135" s="451">
        <v>124698</v>
      </c>
      <c r="J135" s="451">
        <v>1332</v>
      </c>
      <c r="K135" s="451">
        <v>0</v>
      </c>
      <c r="L135" s="451">
        <v>0</v>
      </c>
      <c r="M135" s="451">
        <v>1332</v>
      </c>
      <c r="N135" s="451">
        <v>40157</v>
      </c>
      <c r="O135" s="451">
        <v>0</v>
      </c>
      <c r="P135" s="451">
        <v>0</v>
      </c>
      <c r="Q135" s="451">
        <v>40157</v>
      </c>
      <c r="R135" s="451">
        <v>66596</v>
      </c>
      <c r="S135" s="451">
        <v>0</v>
      </c>
      <c r="T135" s="451">
        <v>0</v>
      </c>
      <c r="U135" s="451">
        <v>66596</v>
      </c>
      <c r="V135" s="451">
        <v>2407139</v>
      </c>
      <c r="W135" s="451">
        <v>0</v>
      </c>
      <c r="X135" s="451">
        <v>0</v>
      </c>
      <c r="Y135" s="451">
        <v>2407139</v>
      </c>
      <c r="Z135" s="451">
        <v>84926</v>
      </c>
      <c r="AA135" s="451">
        <v>0</v>
      </c>
      <c r="AB135" s="451">
        <v>0</v>
      </c>
      <c r="AC135" s="451">
        <v>84926</v>
      </c>
      <c r="AD135" s="451">
        <v>429371</v>
      </c>
      <c r="AE135" s="451">
        <v>0</v>
      </c>
      <c r="AF135" s="451">
        <v>0</v>
      </c>
      <c r="AG135" s="451">
        <v>429371</v>
      </c>
      <c r="AH135" s="451">
        <v>-11358</v>
      </c>
      <c r="AI135" s="451">
        <v>0</v>
      </c>
      <c r="AJ135" s="451">
        <v>0</v>
      </c>
      <c r="AK135" s="451">
        <v>-11358</v>
      </c>
      <c r="AL135" s="451">
        <v>902574</v>
      </c>
      <c r="AM135" s="451">
        <v>0</v>
      </c>
      <c r="AN135" s="451">
        <v>0</v>
      </c>
      <c r="AO135" s="451">
        <v>902574</v>
      </c>
      <c r="AP135" s="451">
        <v>22013</v>
      </c>
      <c r="AQ135" s="451">
        <v>0</v>
      </c>
      <c r="AR135" s="451">
        <v>0</v>
      </c>
      <c r="AS135" s="451">
        <v>22013</v>
      </c>
      <c r="AT135" s="451">
        <v>68345</v>
      </c>
      <c r="AU135" s="451">
        <v>0</v>
      </c>
      <c r="AV135" s="451">
        <v>0</v>
      </c>
      <c r="AW135" s="451">
        <v>68345</v>
      </c>
      <c r="AX135" s="451">
        <v>0</v>
      </c>
      <c r="AY135" s="451">
        <v>0</v>
      </c>
      <c r="AZ135" s="451">
        <v>0</v>
      </c>
      <c r="BA135" s="451">
        <v>0</v>
      </c>
      <c r="BB135" s="451">
        <v>15401</v>
      </c>
      <c r="BC135" s="451">
        <v>0</v>
      </c>
      <c r="BD135" s="451">
        <v>0</v>
      </c>
      <c r="BE135" s="451">
        <v>15401</v>
      </c>
      <c r="BF135" s="451">
        <v>-389</v>
      </c>
      <c r="BG135" s="451">
        <v>0</v>
      </c>
      <c r="BH135" s="451">
        <v>0</v>
      </c>
      <c r="BI135" s="451">
        <v>-389</v>
      </c>
      <c r="BJ135" s="451">
        <v>5429</v>
      </c>
      <c r="BK135" s="451">
        <v>0</v>
      </c>
      <c r="BL135" s="451">
        <v>0</v>
      </c>
      <c r="BM135" s="451">
        <v>5429</v>
      </c>
      <c r="BN135" s="451">
        <v>96116</v>
      </c>
      <c r="BO135" s="451">
        <v>0</v>
      </c>
      <c r="BP135" s="451">
        <v>0</v>
      </c>
      <c r="BQ135" s="451">
        <v>96116</v>
      </c>
      <c r="BR135" s="451">
        <v>600475</v>
      </c>
      <c r="BS135" s="451">
        <v>0</v>
      </c>
      <c r="BT135" s="451">
        <v>0</v>
      </c>
      <c r="BU135" s="451">
        <v>600475</v>
      </c>
      <c r="BV135" s="451">
        <v>230819</v>
      </c>
      <c r="BW135" s="451">
        <v>0</v>
      </c>
      <c r="BX135" s="451">
        <v>0</v>
      </c>
      <c r="BY135" s="451">
        <v>230819</v>
      </c>
      <c r="BZ135" s="451">
        <v>24693</v>
      </c>
      <c r="CA135" s="451">
        <v>0</v>
      </c>
      <c r="CB135" s="451">
        <v>0</v>
      </c>
      <c r="CC135" s="451">
        <v>24693</v>
      </c>
      <c r="CD135" s="451">
        <v>4101</v>
      </c>
      <c r="CE135" s="451">
        <v>0</v>
      </c>
      <c r="CF135" s="451">
        <v>0</v>
      </c>
      <c r="CG135" s="451">
        <v>4101</v>
      </c>
      <c r="CH135" s="451">
        <v>143525</v>
      </c>
      <c r="CI135" s="451">
        <v>0</v>
      </c>
      <c r="CJ135" s="451">
        <v>0</v>
      </c>
      <c r="CK135" s="451">
        <v>143525</v>
      </c>
      <c r="CL135" s="451">
        <v>15635</v>
      </c>
      <c r="CM135" s="451">
        <v>0</v>
      </c>
      <c r="CN135" s="451">
        <v>0</v>
      </c>
      <c r="CO135" s="451">
        <v>15635</v>
      </c>
      <c r="CP135" s="451">
        <v>5633</v>
      </c>
      <c r="CQ135" s="451">
        <v>0</v>
      </c>
      <c r="CR135" s="451">
        <v>0</v>
      </c>
      <c r="CS135" s="451">
        <v>5633</v>
      </c>
      <c r="CT135" s="451">
        <v>614</v>
      </c>
      <c r="CU135" s="451">
        <v>0</v>
      </c>
      <c r="CV135" s="451">
        <v>0</v>
      </c>
      <c r="CW135" s="451">
        <v>614</v>
      </c>
      <c r="CX135" s="451">
        <v>4331</v>
      </c>
      <c r="CY135" s="451">
        <v>0</v>
      </c>
      <c r="CZ135" s="451">
        <v>0</v>
      </c>
      <c r="DA135" s="451">
        <v>4331</v>
      </c>
      <c r="DB135" s="451">
        <v>0</v>
      </c>
      <c r="DC135" s="451">
        <v>0</v>
      </c>
      <c r="DD135" s="451">
        <v>0</v>
      </c>
      <c r="DE135" s="451">
        <v>0</v>
      </c>
      <c r="DF135" s="451">
        <v>0</v>
      </c>
      <c r="DG135" s="451">
        <v>0</v>
      </c>
      <c r="DH135" s="451">
        <v>0</v>
      </c>
      <c r="DI135" s="451">
        <v>0</v>
      </c>
      <c r="DJ135" s="451">
        <v>0</v>
      </c>
      <c r="DK135" s="451">
        <v>0</v>
      </c>
      <c r="DL135" s="451">
        <v>0</v>
      </c>
      <c r="DM135" s="451">
        <v>0</v>
      </c>
      <c r="DN135" s="451">
        <v>0</v>
      </c>
      <c r="DO135" s="451">
        <v>0</v>
      </c>
      <c r="DP135" s="451">
        <v>0</v>
      </c>
      <c r="DQ135" s="451">
        <v>0</v>
      </c>
      <c r="DR135" s="451">
        <v>0</v>
      </c>
      <c r="DS135" s="451">
        <v>0</v>
      </c>
      <c r="DT135" s="451">
        <v>0</v>
      </c>
      <c r="DU135" s="451">
        <v>0</v>
      </c>
      <c r="DV135" s="451">
        <v>0</v>
      </c>
      <c r="DW135" s="451">
        <v>0</v>
      </c>
      <c r="DX135" s="451">
        <v>0</v>
      </c>
      <c r="DY135" s="451">
        <v>0</v>
      </c>
      <c r="DZ135" s="451">
        <v>0</v>
      </c>
      <c r="EA135" s="451">
        <v>0</v>
      </c>
      <c r="EB135" s="451">
        <v>0</v>
      </c>
      <c r="EC135" s="451">
        <v>0</v>
      </c>
      <c r="ED135" s="451">
        <v>0</v>
      </c>
      <c r="EE135" s="451">
        <v>0</v>
      </c>
      <c r="EF135" s="451">
        <v>45</v>
      </c>
      <c r="EG135" s="451">
        <v>0</v>
      </c>
      <c r="EH135" s="451">
        <v>0</v>
      </c>
      <c r="EI135" s="451">
        <v>45</v>
      </c>
      <c r="EJ135" s="451">
        <v>5760</v>
      </c>
      <c r="EK135" s="451">
        <v>0</v>
      </c>
      <c r="EL135" s="451">
        <v>0</v>
      </c>
      <c r="EM135" s="451">
        <v>5760</v>
      </c>
    </row>
    <row r="136" spans="1:143" ht="12.75" x14ac:dyDescent="0.2">
      <c r="A136" s="446">
        <v>130</v>
      </c>
      <c r="B136" s="447" t="s">
        <v>143</v>
      </c>
      <c r="C136" s="448" t="s">
        <v>1098</v>
      </c>
      <c r="D136" s="449" t="s">
        <v>1099</v>
      </c>
      <c r="E136" s="450" t="s">
        <v>142</v>
      </c>
      <c r="F136" s="451">
        <v>260056</v>
      </c>
      <c r="G136" s="451">
        <v>0</v>
      </c>
      <c r="H136" s="451">
        <v>0</v>
      </c>
      <c r="I136" s="451">
        <v>260056</v>
      </c>
      <c r="J136" s="451">
        <v>-269219.64</v>
      </c>
      <c r="K136" s="451">
        <v>0</v>
      </c>
      <c r="L136" s="451">
        <v>0</v>
      </c>
      <c r="M136" s="451">
        <v>-269219.64</v>
      </c>
      <c r="N136" s="451">
        <v>168357</v>
      </c>
      <c r="O136" s="451">
        <v>0</v>
      </c>
      <c r="P136" s="451">
        <v>0</v>
      </c>
      <c r="Q136" s="451">
        <v>168357</v>
      </c>
      <c r="R136" s="451">
        <v>-526031</v>
      </c>
      <c r="S136" s="451">
        <v>0</v>
      </c>
      <c r="T136" s="451">
        <v>0</v>
      </c>
      <c r="U136" s="451">
        <v>-526031</v>
      </c>
      <c r="V136" s="451">
        <v>2943614</v>
      </c>
      <c r="W136" s="451">
        <v>0</v>
      </c>
      <c r="X136" s="451">
        <v>0</v>
      </c>
      <c r="Y136" s="451">
        <v>2943614</v>
      </c>
      <c r="Z136" s="451">
        <v>360007</v>
      </c>
      <c r="AA136" s="451">
        <v>0</v>
      </c>
      <c r="AB136" s="451">
        <v>0</v>
      </c>
      <c r="AC136" s="451">
        <v>360007</v>
      </c>
      <c r="AD136" s="451">
        <v>6581055</v>
      </c>
      <c r="AE136" s="451">
        <v>0</v>
      </c>
      <c r="AF136" s="451">
        <v>0</v>
      </c>
      <c r="AG136" s="451">
        <v>6581055</v>
      </c>
      <c r="AH136" s="451">
        <v>13593</v>
      </c>
      <c r="AI136" s="451">
        <v>0</v>
      </c>
      <c r="AJ136" s="451">
        <v>0</v>
      </c>
      <c r="AK136" s="451">
        <v>13593</v>
      </c>
      <c r="AL136" s="451">
        <v>7033831</v>
      </c>
      <c r="AM136" s="451">
        <v>0</v>
      </c>
      <c r="AN136" s="451">
        <v>0</v>
      </c>
      <c r="AO136" s="451">
        <v>7033831</v>
      </c>
      <c r="AP136" s="451">
        <v>-29740</v>
      </c>
      <c r="AQ136" s="451">
        <v>0</v>
      </c>
      <c r="AR136" s="451">
        <v>0</v>
      </c>
      <c r="AS136" s="451">
        <v>-29740</v>
      </c>
      <c r="AT136" s="451">
        <v>45288</v>
      </c>
      <c r="AU136" s="451">
        <v>0</v>
      </c>
      <c r="AV136" s="451">
        <v>0</v>
      </c>
      <c r="AW136" s="451">
        <v>45288</v>
      </c>
      <c r="AX136" s="451">
        <v>135</v>
      </c>
      <c r="AY136" s="451">
        <v>0</v>
      </c>
      <c r="AZ136" s="451">
        <v>0</v>
      </c>
      <c r="BA136" s="451">
        <v>135</v>
      </c>
      <c r="BB136" s="451">
        <v>0</v>
      </c>
      <c r="BC136" s="451">
        <v>0</v>
      </c>
      <c r="BD136" s="451">
        <v>0</v>
      </c>
      <c r="BE136" s="451">
        <v>0</v>
      </c>
      <c r="BF136" s="451">
        <v>0</v>
      </c>
      <c r="BG136" s="451">
        <v>0</v>
      </c>
      <c r="BH136" s="451">
        <v>0</v>
      </c>
      <c r="BI136" s="451">
        <v>0</v>
      </c>
      <c r="BJ136" s="451">
        <v>213188</v>
      </c>
      <c r="BK136" s="451">
        <v>0</v>
      </c>
      <c r="BL136" s="451">
        <v>0</v>
      </c>
      <c r="BM136" s="451">
        <v>213188</v>
      </c>
      <c r="BN136" s="451">
        <v>397750</v>
      </c>
      <c r="BO136" s="451">
        <v>0</v>
      </c>
      <c r="BP136" s="451">
        <v>0</v>
      </c>
      <c r="BQ136" s="451">
        <v>397750</v>
      </c>
      <c r="BR136" s="451">
        <v>12436389</v>
      </c>
      <c r="BS136" s="451">
        <v>0</v>
      </c>
      <c r="BT136" s="451">
        <v>0</v>
      </c>
      <c r="BU136" s="451">
        <v>12436389</v>
      </c>
      <c r="BV136" s="451">
        <v>-195515</v>
      </c>
      <c r="BW136" s="451">
        <v>0</v>
      </c>
      <c r="BX136" s="451">
        <v>0</v>
      </c>
      <c r="BY136" s="451">
        <v>-195515</v>
      </c>
      <c r="BZ136" s="451">
        <v>207629</v>
      </c>
      <c r="CA136" s="451">
        <v>0</v>
      </c>
      <c r="CB136" s="451">
        <v>0</v>
      </c>
      <c r="CC136" s="451">
        <v>207629</v>
      </c>
      <c r="CD136" s="451">
        <v>-11745</v>
      </c>
      <c r="CE136" s="451">
        <v>0</v>
      </c>
      <c r="CF136" s="451">
        <v>0</v>
      </c>
      <c r="CG136" s="451">
        <v>-11745</v>
      </c>
      <c r="CH136" s="451">
        <v>18128</v>
      </c>
      <c r="CI136" s="451">
        <v>0</v>
      </c>
      <c r="CJ136" s="451">
        <v>0</v>
      </c>
      <c r="CK136" s="451">
        <v>18128</v>
      </c>
      <c r="CL136" s="451">
        <v>978</v>
      </c>
      <c r="CM136" s="451">
        <v>0</v>
      </c>
      <c r="CN136" s="451">
        <v>0</v>
      </c>
      <c r="CO136" s="451">
        <v>978</v>
      </c>
      <c r="CP136" s="451">
        <v>0</v>
      </c>
      <c r="CQ136" s="451">
        <v>0</v>
      </c>
      <c r="CR136" s="451">
        <v>0</v>
      </c>
      <c r="CS136" s="451">
        <v>0</v>
      </c>
      <c r="CT136" s="451">
        <v>0</v>
      </c>
      <c r="CU136" s="451">
        <v>0</v>
      </c>
      <c r="CV136" s="451">
        <v>0</v>
      </c>
      <c r="CW136" s="451">
        <v>0</v>
      </c>
      <c r="CX136" s="451">
        <v>0</v>
      </c>
      <c r="CY136" s="451">
        <v>0</v>
      </c>
      <c r="CZ136" s="451">
        <v>0</v>
      </c>
      <c r="DA136" s="451">
        <v>0</v>
      </c>
      <c r="DB136" s="451">
        <v>0</v>
      </c>
      <c r="DC136" s="451">
        <v>0</v>
      </c>
      <c r="DD136" s="451">
        <v>0</v>
      </c>
      <c r="DE136" s="451">
        <v>0</v>
      </c>
      <c r="DF136" s="451">
        <v>0</v>
      </c>
      <c r="DG136" s="451">
        <v>0</v>
      </c>
      <c r="DH136" s="451">
        <v>0</v>
      </c>
      <c r="DI136" s="451">
        <v>0</v>
      </c>
      <c r="DJ136" s="451">
        <v>0</v>
      </c>
      <c r="DK136" s="451">
        <v>0</v>
      </c>
      <c r="DL136" s="451">
        <v>0</v>
      </c>
      <c r="DM136" s="451">
        <v>0</v>
      </c>
      <c r="DN136" s="451">
        <v>0</v>
      </c>
      <c r="DO136" s="451">
        <v>0</v>
      </c>
      <c r="DP136" s="451">
        <v>0</v>
      </c>
      <c r="DQ136" s="451">
        <v>0</v>
      </c>
      <c r="DR136" s="451">
        <v>0</v>
      </c>
      <c r="DS136" s="451">
        <v>0</v>
      </c>
      <c r="DT136" s="451">
        <v>0</v>
      </c>
      <c r="DU136" s="451">
        <v>0</v>
      </c>
      <c r="DV136" s="451">
        <v>0</v>
      </c>
      <c r="DW136" s="451">
        <v>0</v>
      </c>
      <c r="DX136" s="451">
        <v>0</v>
      </c>
      <c r="DY136" s="451">
        <v>0</v>
      </c>
      <c r="DZ136" s="451">
        <v>0</v>
      </c>
      <c r="EA136" s="451">
        <v>0</v>
      </c>
      <c r="EB136" s="451">
        <v>0</v>
      </c>
      <c r="EC136" s="451">
        <v>0</v>
      </c>
      <c r="ED136" s="451">
        <v>0</v>
      </c>
      <c r="EE136" s="451">
        <v>0</v>
      </c>
      <c r="EF136" s="451">
        <v>0</v>
      </c>
      <c r="EG136" s="451">
        <v>0</v>
      </c>
      <c r="EH136" s="451">
        <v>0</v>
      </c>
      <c r="EI136" s="451">
        <v>0</v>
      </c>
      <c r="EJ136" s="451">
        <v>103221</v>
      </c>
      <c r="EK136" s="451">
        <v>0</v>
      </c>
      <c r="EL136" s="451">
        <v>0</v>
      </c>
      <c r="EM136" s="451">
        <v>103221</v>
      </c>
    </row>
    <row r="137" spans="1:143" ht="12.75" x14ac:dyDescent="0.2">
      <c r="A137" s="446">
        <v>131</v>
      </c>
      <c r="B137" s="447" t="s">
        <v>145</v>
      </c>
      <c r="C137" s="448" t="s">
        <v>1093</v>
      </c>
      <c r="D137" s="449" t="s">
        <v>1096</v>
      </c>
      <c r="E137" s="450" t="s">
        <v>721</v>
      </c>
      <c r="F137" s="451">
        <v>18071.2</v>
      </c>
      <c r="G137" s="451">
        <v>0</v>
      </c>
      <c r="H137" s="451">
        <v>0</v>
      </c>
      <c r="I137" s="451">
        <v>18071.2</v>
      </c>
      <c r="J137" s="451">
        <v>-99900</v>
      </c>
      <c r="K137" s="451">
        <v>0</v>
      </c>
      <c r="L137" s="451">
        <v>0</v>
      </c>
      <c r="M137" s="451">
        <v>-99900</v>
      </c>
      <c r="N137" s="451">
        <v>9733</v>
      </c>
      <c r="O137" s="451">
        <v>0</v>
      </c>
      <c r="P137" s="451">
        <v>0</v>
      </c>
      <c r="Q137" s="451">
        <v>9733</v>
      </c>
      <c r="R137" s="451">
        <v>-44539</v>
      </c>
      <c r="S137" s="451">
        <v>0</v>
      </c>
      <c r="T137" s="451">
        <v>0</v>
      </c>
      <c r="U137" s="451">
        <v>-44539</v>
      </c>
      <c r="V137" s="451">
        <v>2120491</v>
      </c>
      <c r="W137" s="451">
        <v>0</v>
      </c>
      <c r="X137" s="451">
        <v>0</v>
      </c>
      <c r="Y137" s="451">
        <v>2120491</v>
      </c>
      <c r="Z137" s="451">
        <v>96597</v>
      </c>
      <c r="AA137" s="451">
        <v>0</v>
      </c>
      <c r="AB137" s="451">
        <v>0</v>
      </c>
      <c r="AC137" s="451">
        <v>96597</v>
      </c>
      <c r="AD137" s="451">
        <v>535694.41</v>
      </c>
      <c r="AE137" s="451">
        <v>0</v>
      </c>
      <c r="AF137" s="451">
        <v>0</v>
      </c>
      <c r="AG137" s="451">
        <v>535694.41</v>
      </c>
      <c r="AH137" s="451">
        <v>-13921.21</v>
      </c>
      <c r="AI137" s="451">
        <v>0</v>
      </c>
      <c r="AJ137" s="451">
        <v>0</v>
      </c>
      <c r="AK137" s="451">
        <v>-13921.21</v>
      </c>
      <c r="AL137" s="451">
        <v>1643190</v>
      </c>
      <c r="AM137" s="451">
        <v>0</v>
      </c>
      <c r="AN137" s="451">
        <v>0</v>
      </c>
      <c r="AO137" s="451">
        <v>1643190</v>
      </c>
      <c r="AP137" s="451">
        <v>-17330.57</v>
      </c>
      <c r="AQ137" s="451">
        <v>0</v>
      </c>
      <c r="AR137" s="451">
        <v>0</v>
      </c>
      <c r="AS137" s="451">
        <v>-17330.57</v>
      </c>
      <c r="AT137" s="451">
        <v>5878</v>
      </c>
      <c r="AU137" s="451">
        <v>0</v>
      </c>
      <c r="AV137" s="451">
        <v>0</v>
      </c>
      <c r="AW137" s="451">
        <v>5878</v>
      </c>
      <c r="AX137" s="451">
        <v>0</v>
      </c>
      <c r="AY137" s="451">
        <v>0</v>
      </c>
      <c r="AZ137" s="451">
        <v>0</v>
      </c>
      <c r="BA137" s="451">
        <v>0</v>
      </c>
      <c r="BB137" s="451">
        <v>8277</v>
      </c>
      <c r="BC137" s="451">
        <v>0</v>
      </c>
      <c r="BD137" s="451">
        <v>0</v>
      </c>
      <c r="BE137" s="451">
        <v>8277</v>
      </c>
      <c r="BF137" s="451">
        <v>-1564</v>
      </c>
      <c r="BG137" s="451">
        <v>0</v>
      </c>
      <c r="BH137" s="451">
        <v>0</v>
      </c>
      <c r="BI137" s="451">
        <v>-1564</v>
      </c>
      <c r="BJ137" s="451">
        <v>153823.07999999999</v>
      </c>
      <c r="BK137" s="451">
        <v>0</v>
      </c>
      <c r="BL137" s="451">
        <v>0</v>
      </c>
      <c r="BM137" s="451">
        <v>153823.07999999999</v>
      </c>
      <c r="BN137" s="451">
        <v>68640.22</v>
      </c>
      <c r="BO137" s="451">
        <v>0</v>
      </c>
      <c r="BP137" s="451">
        <v>0</v>
      </c>
      <c r="BQ137" s="451">
        <v>68640.22</v>
      </c>
      <c r="BR137" s="451">
        <v>558730</v>
      </c>
      <c r="BS137" s="451">
        <v>0</v>
      </c>
      <c r="BT137" s="451">
        <v>0</v>
      </c>
      <c r="BU137" s="451">
        <v>558730</v>
      </c>
      <c r="BV137" s="451">
        <v>55645</v>
      </c>
      <c r="BW137" s="451">
        <v>0</v>
      </c>
      <c r="BX137" s="451">
        <v>0</v>
      </c>
      <c r="BY137" s="451">
        <v>55645</v>
      </c>
      <c r="BZ137" s="451">
        <v>69757</v>
      </c>
      <c r="CA137" s="451">
        <v>0</v>
      </c>
      <c r="CB137" s="451">
        <v>0</v>
      </c>
      <c r="CC137" s="451">
        <v>69757</v>
      </c>
      <c r="CD137" s="451">
        <v>-4578</v>
      </c>
      <c r="CE137" s="451">
        <v>0</v>
      </c>
      <c r="CF137" s="451">
        <v>0</v>
      </c>
      <c r="CG137" s="451">
        <v>-4578</v>
      </c>
      <c r="CH137" s="451">
        <v>83268</v>
      </c>
      <c r="CI137" s="451">
        <v>0</v>
      </c>
      <c r="CJ137" s="451">
        <v>0</v>
      </c>
      <c r="CK137" s="451">
        <v>83268</v>
      </c>
      <c r="CL137" s="451">
        <v>0</v>
      </c>
      <c r="CM137" s="451">
        <v>0</v>
      </c>
      <c r="CN137" s="451">
        <v>0</v>
      </c>
      <c r="CO137" s="451">
        <v>0</v>
      </c>
      <c r="CP137" s="451">
        <v>1469.52</v>
      </c>
      <c r="CQ137" s="451">
        <v>0</v>
      </c>
      <c r="CR137" s="451">
        <v>0</v>
      </c>
      <c r="CS137" s="451">
        <v>1469.52</v>
      </c>
      <c r="CT137" s="451">
        <v>0</v>
      </c>
      <c r="CU137" s="451">
        <v>0</v>
      </c>
      <c r="CV137" s="451">
        <v>0</v>
      </c>
      <c r="CW137" s="451">
        <v>0</v>
      </c>
      <c r="CX137" s="451">
        <v>0</v>
      </c>
      <c r="CY137" s="451">
        <v>0</v>
      </c>
      <c r="CZ137" s="451">
        <v>0</v>
      </c>
      <c r="DA137" s="451">
        <v>0</v>
      </c>
      <c r="DB137" s="451">
        <v>0</v>
      </c>
      <c r="DC137" s="451">
        <v>0</v>
      </c>
      <c r="DD137" s="451">
        <v>0</v>
      </c>
      <c r="DE137" s="451">
        <v>0</v>
      </c>
      <c r="DF137" s="451">
        <v>0</v>
      </c>
      <c r="DG137" s="451">
        <v>0</v>
      </c>
      <c r="DH137" s="451">
        <v>0</v>
      </c>
      <c r="DI137" s="451">
        <v>0</v>
      </c>
      <c r="DJ137" s="451">
        <v>0</v>
      </c>
      <c r="DK137" s="451">
        <v>0</v>
      </c>
      <c r="DL137" s="451">
        <v>0</v>
      </c>
      <c r="DM137" s="451">
        <v>0</v>
      </c>
      <c r="DN137" s="451">
        <v>0</v>
      </c>
      <c r="DO137" s="451">
        <v>0</v>
      </c>
      <c r="DP137" s="451">
        <v>0</v>
      </c>
      <c r="DQ137" s="451">
        <v>0</v>
      </c>
      <c r="DR137" s="451">
        <v>0</v>
      </c>
      <c r="DS137" s="451">
        <v>0</v>
      </c>
      <c r="DT137" s="451">
        <v>0</v>
      </c>
      <c r="DU137" s="451">
        <v>0</v>
      </c>
      <c r="DV137" s="451">
        <v>0</v>
      </c>
      <c r="DW137" s="451">
        <v>0</v>
      </c>
      <c r="DX137" s="451">
        <v>625.98</v>
      </c>
      <c r="DY137" s="451">
        <v>0</v>
      </c>
      <c r="DZ137" s="451">
        <v>0</v>
      </c>
      <c r="EA137" s="451">
        <v>625.98</v>
      </c>
      <c r="EB137" s="451">
        <v>0</v>
      </c>
      <c r="EC137" s="451">
        <v>0</v>
      </c>
      <c r="ED137" s="451">
        <v>0</v>
      </c>
      <c r="EE137" s="451">
        <v>0</v>
      </c>
      <c r="EF137" s="451">
        <v>0</v>
      </c>
      <c r="EG137" s="451">
        <v>0</v>
      </c>
      <c r="EH137" s="451">
        <v>0</v>
      </c>
      <c r="EI137" s="451">
        <v>0</v>
      </c>
      <c r="EJ137" s="451">
        <v>0</v>
      </c>
      <c r="EK137" s="451">
        <v>0</v>
      </c>
      <c r="EL137" s="451">
        <v>0</v>
      </c>
      <c r="EM137" s="451">
        <v>0</v>
      </c>
    </row>
    <row r="138" spans="1:143" ht="12.75" x14ac:dyDescent="0.2">
      <c r="A138" s="446">
        <v>132</v>
      </c>
      <c r="B138" s="447" t="s">
        <v>147</v>
      </c>
      <c r="C138" s="448" t="s">
        <v>1093</v>
      </c>
      <c r="D138" s="449" t="s">
        <v>1094</v>
      </c>
      <c r="E138" s="450" t="s">
        <v>146</v>
      </c>
      <c r="F138" s="451">
        <v>68376</v>
      </c>
      <c r="G138" s="451">
        <v>0</v>
      </c>
      <c r="H138" s="451">
        <v>0</v>
      </c>
      <c r="I138" s="451">
        <v>68376</v>
      </c>
      <c r="J138" s="451">
        <v>-55756</v>
      </c>
      <c r="K138" s="451">
        <v>0</v>
      </c>
      <c r="L138" s="451">
        <v>0</v>
      </c>
      <c r="M138" s="451">
        <v>-55756</v>
      </c>
      <c r="N138" s="451">
        <v>103351</v>
      </c>
      <c r="O138" s="451">
        <v>0</v>
      </c>
      <c r="P138" s="451">
        <v>0</v>
      </c>
      <c r="Q138" s="451">
        <v>103351</v>
      </c>
      <c r="R138" s="451">
        <v>-137054</v>
      </c>
      <c r="S138" s="451">
        <v>0</v>
      </c>
      <c r="T138" s="451">
        <v>0</v>
      </c>
      <c r="U138" s="451">
        <v>-137054</v>
      </c>
      <c r="V138" s="451">
        <v>2438772</v>
      </c>
      <c r="W138" s="451">
        <v>0</v>
      </c>
      <c r="X138" s="451">
        <v>0</v>
      </c>
      <c r="Y138" s="451">
        <v>2438772</v>
      </c>
      <c r="Z138" s="451">
        <v>201383</v>
      </c>
      <c r="AA138" s="451">
        <v>0</v>
      </c>
      <c r="AB138" s="451">
        <v>0</v>
      </c>
      <c r="AC138" s="451">
        <v>201383</v>
      </c>
      <c r="AD138" s="451">
        <v>743920</v>
      </c>
      <c r="AE138" s="451">
        <v>0</v>
      </c>
      <c r="AF138" s="451">
        <v>0</v>
      </c>
      <c r="AG138" s="451">
        <v>743920</v>
      </c>
      <c r="AH138" s="451">
        <v>1421</v>
      </c>
      <c r="AI138" s="451">
        <v>0</v>
      </c>
      <c r="AJ138" s="451">
        <v>0</v>
      </c>
      <c r="AK138" s="451">
        <v>1421</v>
      </c>
      <c r="AL138" s="451">
        <v>2653103</v>
      </c>
      <c r="AM138" s="451">
        <v>0</v>
      </c>
      <c r="AN138" s="451">
        <v>0</v>
      </c>
      <c r="AO138" s="451">
        <v>2653103</v>
      </c>
      <c r="AP138" s="451">
        <v>69837</v>
      </c>
      <c r="AQ138" s="451">
        <v>0</v>
      </c>
      <c r="AR138" s="451">
        <v>0</v>
      </c>
      <c r="AS138" s="451">
        <v>69837</v>
      </c>
      <c r="AT138" s="451">
        <v>49474</v>
      </c>
      <c r="AU138" s="451">
        <v>0</v>
      </c>
      <c r="AV138" s="451">
        <v>0</v>
      </c>
      <c r="AW138" s="451">
        <v>49474</v>
      </c>
      <c r="AX138" s="451">
        <v>0</v>
      </c>
      <c r="AY138" s="451">
        <v>0</v>
      </c>
      <c r="AZ138" s="451">
        <v>0</v>
      </c>
      <c r="BA138" s="451">
        <v>0</v>
      </c>
      <c r="BB138" s="451">
        <v>18422</v>
      </c>
      <c r="BC138" s="451">
        <v>0</v>
      </c>
      <c r="BD138" s="451">
        <v>0</v>
      </c>
      <c r="BE138" s="451">
        <v>18422</v>
      </c>
      <c r="BF138" s="451">
        <v>1537</v>
      </c>
      <c r="BG138" s="451">
        <v>0</v>
      </c>
      <c r="BH138" s="451">
        <v>0</v>
      </c>
      <c r="BI138" s="451">
        <v>1537</v>
      </c>
      <c r="BJ138" s="451">
        <v>23497</v>
      </c>
      <c r="BK138" s="451">
        <v>0</v>
      </c>
      <c r="BL138" s="451">
        <v>0</v>
      </c>
      <c r="BM138" s="451">
        <v>23497</v>
      </c>
      <c r="BN138" s="451">
        <v>15778</v>
      </c>
      <c r="BO138" s="451">
        <v>0</v>
      </c>
      <c r="BP138" s="451">
        <v>0</v>
      </c>
      <c r="BQ138" s="451">
        <v>15778</v>
      </c>
      <c r="BR138" s="451">
        <v>873230</v>
      </c>
      <c r="BS138" s="451">
        <v>0</v>
      </c>
      <c r="BT138" s="451">
        <v>0</v>
      </c>
      <c r="BU138" s="451">
        <v>873230</v>
      </c>
      <c r="BV138" s="451">
        <v>49945</v>
      </c>
      <c r="BW138" s="451">
        <v>0</v>
      </c>
      <c r="BX138" s="451">
        <v>0</v>
      </c>
      <c r="BY138" s="451">
        <v>49945</v>
      </c>
      <c r="BZ138" s="451">
        <v>69645</v>
      </c>
      <c r="CA138" s="451">
        <v>0</v>
      </c>
      <c r="CB138" s="451">
        <v>0</v>
      </c>
      <c r="CC138" s="451">
        <v>69645</v>
      </c>
      <c r="CD138" s="451">
        <v>2516</v>
      </c>
      <c r="CE138" s="451">
        <v>0</v>
      </c>
      <c r="CF138" s="451">
        <v>0</v>
      </c>
      <c r="CG138" s="451">
        <v>2516</v>
      </c>
      <c r="CH138" s="451">
        <v>436042</v>
      </c>
      <c r="CI138" s="451">
        <v>0</v>
      </c>
      <c r="CJ138" s="451">
        <v>0</v>
      </c>
      <c r="CK138" s="451">
        <v>436042</v>
      </c>
      <c r="CL138" s="451">
        <v>0</v>
      </c>
      <c r="CM138" s="451">
        <v>0</v>
      </c>
      <c r="CN138" s="451">
        <v>0</v>
      </c>
      <c r="CO138" s="451">
        <v>0</v>
      </c>
      <c r="CP138" s="451">
        <v>3318</v>
      </c>
      <c r="CQ138" s="451">
        <v>0</v>
      </c>
      <c r="CR138" s="451">
        <v>0</v>
      </c>
      <c r="CS138" s="451">
        <v>3318</v>
      </c>
      <c r="CT138" s="451">
        <v>0</v>
      </c>
      <c r="CU138" s="451">
        <v>0</v>
      </c>
      <c r="CV138" s="451">
        <v>0</v>
      </c>
      <c r="CW138" s="451">
        <v>0</v>
      </c>
      <c r="CX138" s="451">
        <v>4121</v>
      </c>
      <c r="CY138" s="451">
        <v>0</v>
      </c>
      <c r="CZ138" s="451">
        <v>0</v>
      </c>
      <c r="DA138" s="451">
        <v>4121</v>
      </c>
      <c r="DB138" s="451">
        <v>-252</v>
      </c>
      <c r="DC138" s="451">
        <v>0</v>
      </c>
      <c r="DD138" s="451">
        <v>0</v>
      </c>
      <c r="DE138" s="451">
        <v>-252</v>
      </c>
      <c r="DF138" s="451">
        <v>0</v>
      </c>
      <c r="DG138" s="451">
        <v>0</v>
      </c>
      <c r="DH138" s="451">
        <v>0</v>
      </c>
      <c r="DI138" s="451">
        <v>0</v>
      </c>
      <c r="DJ138" s="451">
        <v>0</v>
      </c>
      <c r="DK138" s="451">
        <v>0</v>
      </c>
      <c r="DL138" s="451">
        <v>0</v>
      </c>
      <c r="DM138" s="451">
        <v>0</v>
      </c>
      <c r="DN138" s="451">
        <v>0</v>
      </c>
      <c r="DO138" s="451">
        <v>0</v>
      </c>
      <c r="DP138" s="451">
        <v>0</v>
      </c>
      <c r="DQ138" s="451">
        <v>0</v>
      </c>
      <c r="DR138" s="451">
        <v>0</v>
      </c>
      <c r="DS138" s="451">
        <v>0</v>
      </c>
      <c r="DT138" s="451">
        <v>0</v>
      </c>
      <c r="DU138" s="451">
        <v>0</v>
      </c>
      <c r="DV138" s="451">
        <v>0</v>
      </c>
      <c r="DW138" s="451">
        <v>0</v>
      </c>
      <c r="DX138" s="451">
        <v>0</v>
      </c>
      <c r="DY138" s="451">
        <v>0</v>
      </c>
      <c r="DZ138" s="451">
        <v>0</v>
      </c>
      <c r="EA138" s="451">
        <v>0</v>
      </c>
      <c r="EB138" s="451">
        <v>5982</v>
      </c>
      <c r="EC138" s="451">
        <v>0</v>
      </c>
      <c r="ED138" s="451">
        <v>0</v>
      </c>
      <c r="EE138" s="451">
        <v>5982</v>
      </c>
      <c r="EF138" s="451">
        <v>0</v>
      </c>
      <c r="EG138" s="451">
        <v>0</v>
      </c>
      <c r="EH138" s="451">
        <v>0</v>
      </c>
      <c r="EI138" s="451">
        <v>0</v>
      </c>
      <c r="EJ138" s="451">
        <v>-2682</v>
      </c>
      <c r="EK138" s="451">
        <v>0</v>
      </c>
      <c r="EL138" s="451">
        <v>0</v>
      </c>
      <c r="EM138" s="451">
        <v>-2682</v>
      </c>
    </row>
    <row r="139" spans="1:143" ht="12.75" x14ac:dyDescent="0.2">
      <c r="A139" s="446">
        <v>133</v>
      </c>
      <c r="B139" s="447" t="s">
        <v>149</v>
      </c>
      <c r="C139" s="448" t="s">
        <v>1098</v>
      </c>
      <c r="D139" s="449" t="s">
        <v>1099</v>
      </c>
      <c r="E139" s="450" t="s">
        <v>148</v>
      </c>
      <c r="F139" s="451">
        <v>541916.89</v>
      </c>
      <c r="G139" s="451">
        <v>0</v>
      </c>
      <c r="H139" s="451">
        <v>0</v>
      </c>
      <c r="I139" s="451">
        <v>541916.89</v>
      </c>
      <c r="J139" s="451">
        <v>-652157.06999999995</v>
      </c>
      <c r="K139" s="451">
        <v>0</v>
      </c>
      <c r="L139" s="451">
        <v>0</v>
      </c>
      <c r="M139" s="451">
        <v>-652157.06999999995</v>
      </c>
      <c r="N139" s="451">
        <v>156545.01999999999</v>
      </c>
      <c r="O139" s="451">
        <v>0</v>
      </c>
      <c r="P139" s="451">
        <v>0</v>
      </c>
      <c r="Q139" s="451">
        <v>156545.01999999999</v>
      </c>
      <c r="R139" s="451">
        <v>719219.83</v>
      </c>
      <c r="S139" s="451">
        <v>0</v>
      </c>
      <c r="T139" s="451">
        <v>0</v>
      </c>
      <c r="U139" s="451">
        <v>719219.83</v>
      </c>
      <c r="V139" s="451">
        <v>2535697.4500000002</v>
      </c>
      <c r="W139" s="451">
        <v>0</v>
      </c>
      <c r="X139" s="451">
        <v>0</v>
      </c>
      <c r="Y139" s="451">
        <v>2535697.4500000002</v>
      </c>
      <c r="Z139" s="451">
        <v>134946.59</v>
      </c>
      <c r="AA139" s="451">
        <v>0</v>
      </c>
      <c r="AB139" s="451">
        <v>0</v>
      </c>
      <c r="AC139" s="451">
        <v>134946.59</v>
      </c>
      <c r="AD139" s="451">
        <v>2901434.69</v>
      </c>
      <c r="AE139" s="451">
        <v>0</v>
      </c>
      <c r="AF139" s="451">
        <v>0</v>
      </c>
      <c r="AG139" s="451">
        <v>2901434.69</v>
      </c>
      <c r="AH139" s="451">
        <v>-131790.68</v>
      </c>
      <c r="AI139" s="451">
        <v>0</v>
      </c>
      <c r="AJ139" s="451">
        <v>0</v>
      </c>
      <c r="AK139" s="451">
        <v>-131790.68</v>
      </c>
      <c r="AL139" s="451">
        <v>4727487.54</v>
      </c>
      <c r="AM139" s="451">
        <v>0</v>
      </c>
      <c r="AN139" s="451">
        <v>0</v>
      </c>
      <c r="AO139" s="451">
        <v>4727487.54</v>
      </c>
      <c r="AP139" s="451">
        <v>-146216.41</v>
      </c>
      <c r="AQ139" s="451">
        <v>0</v>
      </c>
      <c r="AR139" s="451">
        <v>0</v>
      </c>
      <c r="AS139" s="451">
        <v>-146216.41</v>
      </c>
      <c r="AT139" s="451">
        <v>41108.879999999997</v>
      </c>
      <c r="AU139" s="451">
        <v>0</v>
      </c>
      <c r="AV139" s="451">
        <v>0</v>
      </c>
      <c r="AW139" s="451">
        <v>41108.879999999997</v>
      </c>
      <c r="AX139" s="451">
        <v>0</v>
      </c>
      <c r="AY139" s="451">
        <v>0</v>
      </c>
      <c r="AZ139" s="451">
        <v>0</v>
      </c>
      <c r="BA139" s="451">
        <v>0</v>
      </c>
      <c r="BB139" s="451">
        <v>0</v>
      </c>
      <c r="BC139" s="451">
        <v>0</v>
      </c>
      <c r="BD139" s="451">
        <v>0</v>
      </c>
      <c r="BE139" s="451">
        <v>0</v>
      </c>
      <c r="BF139" s="451">
        <v>0</v>
      </c>
      <c r="BG139" s="451">
        <v>0</v>
      </c>
      <c r="BH139" s="451">
        <v>0</v>
      </c>
      <c r="BI139" s="451">
        <v>0</v>
      </c>
      <c r="BJ139" s="451">
        <v>2500.4</v>
      </c>
      <c r="BK139" s="451">
        <v>0</v>
      </c>
      <c r="BL139" s="451">
        <v>0</v>
      </c>
      <c r="BM139" s="451">
        <v>2500.4</v>
      </c>
      <c r="BN139" s="451">
        <v>127279.27</v>
      </c>
      <c r="BO139" s="451">
        <v>0</v>
      </c>
      <c r="BP139" s="451">
        <v>0</v>
      </c>
      <c r="BQ139" s="451">
        <v>127279.27</v>
      </c>
      <c r="BR139" s="451">
        <v>5360342.07</v>
      </c>
      <c r="BS139" s="451">
        <v>0</v>
      </c>
      <c r="BT139" s="451">
        <v>0</v>
      </c>
      <c r="BU139" s="451">
        <v>5360342.07</v>
      </c>
      <c r="BV139" s="451">
        <v>-634887.92000000004</v>
      </c>
      <c r="BW139" s="451">
        <v>0</v>
      </c>
      <c r="BX139" s="451">
        <v>0</v>
      </c>
      <c r="BY139" s="451">
        <v>-634887.92000000004</v>
      </c>
      <c r="BZ139" s="451">
        <v>304456.56</v>
      </c>
      <c r="CA139" s="451">
        <v>0</v>
      </c>
      <c r="CB139" s="451">
        <v>0</v>
      </c>
      <c r="CC139" s="451">
        <v>304456.56</v>
      </c>
      <c r="CD139" s="451">
        <v>-6031</v>
      </c>
      <c r="CE139" s="451">
        <v>0</v>
      </c>
      <c r="CF139" s="451">
        <v>0</v>
      </c>
      <c r="CG139" s="451">
        <v>-6031</v>
      </c>
      <c r="CH139" s="451">
        <v>486311.1</v>
      </c>
      <c r="CI139" s="451">
        <v>0</v>
      </c>
      <c r="CJ139" s="451">
        <v>0</v>
      </c>
      <c r="CK139" s="451">
        <v>486311.1</v>
      </c>
      <c r="CL139" s="451">
        <v>-22155.17</v>
      </c>
      <c r="CM139" s="451">
        <v>0</v>
      </c>
      <c r="CN139" s="451">
        <v>0</v>
      </c>
      <c r="CO139" s="451">
        <v>-22155.17</v>
      </c>
      <c r="CP139" s="451">
        <v>1460.1</v>
      </c>
      <c r="CQ139" s="451">
        <v>0</v>
      </c>
      <c r="CR139" s="451">
        <v>0</v>
      </c>
      <c r="CS139" s="451">
        <v>1460.1</v>
      </c>
      <c r="CT139" s="451">
        <v>0</v>
      </c>
      <c r="CU139" s="451">
        <v>0</v>
      </c>
      <c r="CV139" s="451">
        <v>0</v>
      </c>
      <c r="CW139" s="451">
        <v>0</v>
      </c>
      <c r="CX139" s="451">
        <v>0</v>
      </c>
      <c r="CY139" s="451">
        <v>0</v>
      </c>
      <c r="CZ139" s="451">
        <v>0</v>
      </c>
      <c r="DA139" s="451">
        <v>0</v>
      </c>
      <c r="DB139" s="451">
        <v>0</v>
      </c>
      <c r="DC139" s="451">
        <v>0</v>
      </c>
      <c r="DD139" s="451">
        <v>0</v>
      </c>
      <c r="DE139" s="451">
        <v>0</v>
      </c>
      <c r="DF139" s="451">
        <v>0</v>
      </c>
      <c r="DG139" s="451">
        <v>0</v>
      </c>
      <c r="DH139" s="451">
        <v>0</v>
      </c>
      <c r="DI139" s="451">
        <v>0</v>
      </c>
      <c r="DJ139" s="451">
        <v>0</v>
      </c>
      <c r="DK139" s="451">
        <v>0</v>
      </c>
      <c r="DL139" s="451">
        <v>0</v>
      </c>
      <c r="DM139" s="451">
        <v>0</v>
      </c>
      <c r="DN139" s="451">
        <v>0</v>
      </c>
      <c r="DO139" s="451">
        <v>0</v>
      </c>
      <c r="DP139" s="451">
        <v>0</v>
      </c>
      <c r="DQ139" s="451">
        <v>0</v>
      </c>
      <c r="DR139" s="451">
        <v>0</v>
      </c>
      <c r="DS139" s="451">
        <v>0</v>
      </c>
      <c r="DT139" s="451">
        <v>0</v>
      </c>
      <c r="DU139" s="451">
        <v>0</v>
      </c>
      <c r="DV139" s="451">
        <v>0</v>
      </c>
      <c r="DW139" s="451">
        <v>0</v>
      </c>
      <c r="DX139" s="451">
        <v>0</v>
      </c>
      <c r="DY139" s="451">
        <v>0</v>
      </c>
      <c r="DZ139" s="451">
        <v>0</v>
      </c>
      <c r="EA139" s="451">
        <v>0</v>
      </c>
      <c r="EB139" s="451">
        <v>0</v>
      </c>
      <c r="EC139" s="451">
        <v>0</v>
      </c>
      <c r="ED139" s="451">
        <v>0</v>
      </c>
      <c r="EE139" s="451">
        <v>0</v>
      </c>
      <c r="EF139" s="451">
        <v>0</v>
      </c>
      <c r="EG139" s="451">
        <v>0</v>
      </c>
      <c r="EH139" s="451">
        <v>0</v>
      </c>
      <c r="EI139" s="451">
        <v>0</v>
      </c>
      <c r="EJ139" s="451">
        <v>0</v>
      </c>
      <c r="EK139" s="451">
        <v>0</v>
      </c>
      <c r="EL139" s="451">
        <v>0</v>
      </c>
      <c r="EM139" s="451">
        <v>0</v>
      </c>
    </row>
    <row r="140" spans="1:143" ht="12.75" x14ac:dyDescent="0.2">
      <c r="A140" s="446">
        <v>134</v>
      </c>
      <c r="B140" s="447" t="s">
        <v>151</v>
      </c>
      <c r="C140" s="448" t="s">
        <v>1093</v>
      </c>
      <c r="D140" s="449" t="s">
        <v>1097</v>
      </c>
      <c r="E140" s="450" t="s">
        <v>1113</v>
      </c>
      <c r="F140" s="451">
        <v>200481</v>
      </c>
      <c r="G140" s="451">
        <v>0</v>
      </c>
      <c r="H140" s="451">
        <v>0</v>
      </c>
      <c r="I140" s="451">
        <v>200481</v>
      </c>
      <c r="J140" s="451">
        <v>-34709</v>
      </c>
      <c r="K140" s="451">
        <v>0</v>
      </c>
      <c r="L140" s="451">
        <v>0</v>
      </c>
      <c r="M140" s="451">
        <v>-34709</v>
      </c>
      <c r="N140" s="451">
        <v>76013</v>
      </c>
      <c r="O140" s="451">
        <v>0</v>
      </c>
      <c r="P140" s="451">
        <v>0</v>
      </c>
      <c r="Q140" s="451">
        <v>76013</v>
      </c>
      <c r="R140" s="451">
        <v>18950</v>
      </c>
      <c r="S140" s="451">
        <v>0</v>
      </c>
      <c r="T140" s="451">
        <v>584</v>
      </c>
      <c r="U140" s="451">
        <v>19534</v>
      </c>
      <c r="V140" s="451">
        <v>2698614</v>
      </c>
      <c r="W140" s="451">
        <v>0</v>
      </c>
      <c r="X140" s="451">
        <v>4855</v>
      </c>
      <c r="Y140" s="451">
        <v>2703469</v>
      </c>
      <c r="Z140" s="451">
        <v>85787</v>
      </c>
      <c r="AA140" s="451">
        <v>0</v>
      </c>
      <c r="AB140" s="451">
        <v>-168</v>
      </c>
      <c r="AC140" s="451">
        <v>85619</v>
      </c>
      <c r="AD140" s="451">
        <v>1089194</v>
      </c>
      <c r="AE140" s="451">
        <v>0</v>
      </c>
      <c r="AF140" s="451">
        <v>0</v>
      </c>
      <c r="AG140" s="451">
        <v>1089194</v>
      </c>
      <c r="AH140" s="451">
        <v>-10179</v>
      </c>
      <c r="AI140" s="451">
        <v>0</v>
      </c>
      <c r="AJ140" s="451">
        <v>0</v>
      </c>
      <c r="AK140" s="451">
        <v>-10179</v>
      </c>
      <c r="AL140" s="451">
        <v>2454244</v>
      </c>
      <c r="AM140" s="451">
        <v>0</v>
      </c>
      <c r="AN140" s="451">
        <v>2798</v>
      </c>
      <c r="AO140" s="451">
        <v>2457042</v>
      </c>
      <c r="AP140" s="451">
        <v>3253</v>
      </c>
      <c r="AQ140" s="451">
        <v>0</v>
      </c>
      <c r="AR140" s="451">
        <v>0</v>
      </c>
      <c r="AS140" s="451">
        <v>3253</v>
      </c>
      <c r="AT140" s="451">
        <v>183943</v>
      </c>
      <c r="AU140" s="451">
        <v>0</v>
      </c>
      <c r="AV140" s="451">
        <v>0</v>
      </c>
      <c r="AW140" s="451">
        <v>183943</v>
      </c>
      <c r="AX140" s="451">
        <v>0</v>
      </c>
      <c r="AY140" s="451">
        <v>0</v>
      </c>
      <c r="AZ140" s="451">
        <v>0</v>
      </c>
      <c r="BA140" s="451">
        <v>0</v>
      </c>
      <c r="BB140" s="451">
        <v>46917</v>
      </c>
      <c r="BC140" s="451">
        <v>0</v>
      </c>
      <c r="BD140" s="451">
        <v>0</v>
      </c>
      <c r="BE140" s="451">
        <v>46917</v>
      </c>
      <c r="BF140" s="451">
        <v>-1521</v>
      </c>
      <c r="BG140" s="451">
        <v>0</v>
      </c>
      <c r="BH140" s="451">
        <v>0</v>
      </c>
      <c r="BI140" s="451">
        <v>-1521</v>
      </c>
      <c r="BJ140" s="451">
        <v>93048</v>
      </c>
      <c r="BK140" s="451">
        <v>0</v>
      </c>
      <c r="BL140" s="451">
        <v>0</v>
      </c>
      <c r="BM140" s="451">
        <v>93048</v>
      </c>
      <c r="BN140" s="451">
        <v>-20684</v>
      </c>
      <c r="BO140" s="451">
        <v>0</v>
      </c>
      <c r="BP140" s="451">
        <v>0</v>
      </c>
      <c r="BQ140" s="451">
        <v>-20684</v>
      </c>
      <c r="BR140" s="451">
        <v>2807529</v>
      </c>
      <c r="BS140" s="451">
        <v>0</v>
      </c>
      <c r="BT140" s="451">
        <v>50990</v>
      </c>
      <c r="BU140" s="451">
        <v>2858519</v>
      </c>
      <c r="BV140" s="451">
        <v>61131</v>
      </c>
      <c r="BW140" s="451">
        <v>0</v>
      </c>
      <c r="BX140" s="451">
        <v>11019</v>
      </c>
      <c r="BY140" s="451">
        <v>72150</v>
      </c>
      <c r="BZ140" s="451">
        <v>452</v>
      </c>
      <c r="CA140" s="451">
        <v>0</v>
      </c>
      <c r="CB140" s="451">
        <v>0</v>
      </c>
      <c r="CC140" s="451">
        <v>452</v>
      </c>
      <c r="CD140" s="451">
        <v>0</v>
      </c>
      <c r="CE140" s="451">
        <v>0</v>
      </c>
      <c r="CF140" s="451">
        <v>0</v>
      </c>
      <c r="CG140" s="451">
        <v>0</v>
      </c>
      <c r="CH140" s="451">
        <v>61951</v>
      </c>
      <c r="CI140" s="451">
        <v>0</v>
      </c>
      <c r="CJ140" s="451">
        <v>0</v>
      </c>
      <c r="CK140" s="451">
        <v>61951</v>
      </c>
      <c r="CL140" s="451">
        <v>0</v>
      </c>
      <c r="CM140" s="451">
        <v>0</v>
      </c>
      <c r="CN140" s="451">
        <v>0</v>
      </c>
      <c r="CO140" s="451">
        <v>0</v>
      </c>
      <c r="CP140" s="451">
        <v>0</v>
      </c>
      <c r="CQ140" s="451">
        <v>0</v>
      </c>
      <c r="CR140" s="451">
        <v>0</v>
      </c>
      <c r="CS140" s="451">
        <v>0</v>
      </c>
      <c r="CT140" s="451">
        <v>0</v>
      </c>
      <c r="CU140" s="451">
        <v>0</v>
      </c>
      <c r="CV140" s="451">
        <v>0</v>
      </c>
      <c r="CW140" s="451">
        <v>0</v>
      </c>
      <c r="CX140" s="451">
        <v>23355</v>
      </c>
      <c r="CY140" s="451">
        <v>0</v>
      </c>
      <c r="CZ140" s="451">
        <v>0</v>
      </c>
      <c r="DA140" s="451">
        <v>23355</v>
      </c>
      <c r="DB140" s="451">
        <v>-1057</v>
      </c>
      <c r="DC140" s="451">
        <v>0</v>
      </c>
      <c r="DD140" s="451">
        <v>0</v>
      </c>
      <c r="DE140" s="451">
        <v>-1057</v>
      </c>
      <c r="DF140" s="451">
        <v>389</v>
      </c>
      <c r="DG140" s="451">
        <v>0</v>
      </c>
      <c r="DH140" s="451">
        <v>0</v>
      </c>
      <c r="DI140" s="451">
        <v>389</v>
      </c>
      <c r="DJ140" s="451">
        <v>0</v>
      </c>
      <c r="DK140" s="451">
        <v>0</v>
      </c>
      <c r="DL140" s="451">
        <v>0</v>
      </c>
      <c r="DM140" s="451">
        <v>0</v>
      </c>
      <c r="DN140" s="451">
        <v>0</v>
      </c>
      <c r="DO140" s="451">
        <v>0</v>
      </c>
      <c r="DP140" s="451">
        <v>478674</v>
      </c>
      <c r="DQ140" s="451">
        <v>478674</v>
      </c>
      <c r="DR140" s="451">
        <v>0</v>
      </c>
      <c r="DS140" s="451">
        <v>0</v>
      </c>
      <c r="DT140" s="451">
        <v>33519</v>
      </c>
      <c r="DU140" s="451">
        <v>33519</v>
      </c>
      <c r="DV140" s="451">
        <v>512193</v>
      </c>
      <c r="DW140" s="451">
        <v>0</v>
      </c>
      <c r="DX140" s="451">
        <v>0</v>
      </c>
      <c r="DY140" s="451">
        <v>0</v>
      </c>
      <c r="DZ140" s="451">
        <v>0</v>
      </c>
      <c r="EA140" s="451">
        <v>0</v>
      </c>
      <c r="EB140" s="451">
        <v>0</v>
      </c>
      <c r="EC140" s="451">
        <v>0</v>
      </c>
      <c r="ED140" s="451">
        <v>0</v>
      </c>
      <c r="EE140" s="451">
        <v>0</v>
      </c>
      <c r="EF140" s="451">
        <v>12755</v>
      </c>
      <c r="EG140" s="451">
        <v>0</v>
      </c>
      <c r="EH140" s="451">
        <v>0</v>
      </c>
      <c r="EI140" s="451">
        <v>12755</v>
      </c>
      <c r="EJ140" s="451">
        <v>0</v>
      </c>
      <c r="EK140" s="451">
        <v>0</v>
      </c>
      <c r="EL140" s="451">
        <v>0</v>
      </c>
      <c r="EM140" s="451">
        <v>0</v>
      </c>
    </row>
    <row r="141" spans="1:143" ht="12.75" x14ac:dyDescent="0.2">
      <c r="A141" s="446">
        <v>135</v>
      </c>
      <c r="B141" s="447" t="s">
        <v>153</v>
      </c>
      <c r="C141" s="448" t="s">
        <v>1093</v>
      </c>
      <c r="D141" s="449" t="s">
        <v>1095</v>
      </c>
      <c r="E141" s="450" t="s">
        <v>152</v>
      </c>
      <c r="F141" s="451">
        <v>147547</v>
      </c>
      <c r="G141" s="451">
        <v>0</v>
      </c>
      <c r="H141" s="451">
        <v>0</v>
      </c>
      <c r="I141" s="451">
        <v>147547</v>
      </c>
      <c r="J141" s="451">
        <v>-44865</v>
      </c>
      <c r="K141" s="451">
        <v>0</v>
      </c>
      <c r="L141" s="451">
        <v>0</v>
      </c>
      <c r="M141" s="451">
        <v>-44865</v>
      </c>
      <c r="N141" s="451">
        <v>5955</v>
      </c>
      <c r="O141" s="451">
        <v>0</v>
      </c>
      <c r="P141" s="451">
        <v>0</v>
      </c>
      <c r="Q141" s="451">
        <v>5955</v>
      </c>
      <c r="R141" s="451">
        <v>192489</v>
      </c>
      <c r="S141" s="451">
        <v>0</v>
      </c>
      <c r="T141" s="451">
        <v>0</v>
      </c>
      <c r="U141" s="451">
        <v>192489</v>
      </c>
      <c r="V141" s="451">
        <v>2191598</v>
      </c>
      <c r="W141" s="451">
        <v>0</v>
      </c>
      <c r="X141" s="451">
        <v>0</v>
      </c>
      <c r="Y141" s="451">
        <v>2191598</v>
      </c>
      <c r="Z141" s="451">
        <v>122906.9</v>
      </c>
      <c r="AA141" s="451">
        <v>0</v>
      </c>
      <c r="AB141" s="451">
        <v>0</v>
      </c>
      <c r="AC141" s="451">
        <v>122906.9</v>
      </c>
      <c r="AD141" s="451">
        <v>433287</v>
      </c>
      <c r="AE141" s="451">
        <v>0</v>
      </c>
      <c r="AF141" s="451">
        <v>0</v>
      </c>
      <c r="AG141" s="451">
        <v>433287</v>
      </c>
      <c r="AH141" s="451">
        <v>-19265</v>
      </c>
      <c r="AI141" s="451">
        <v>0</v>
      </c>
      <c r="AJ141" s="451">
        <v>0</v>
      </c>
      <c r="AK141" s="451">
        <v>-19265</v>
      </c>
      <c r="AL141" s="451">
        <v>1151975.6499999999</v>
      </c>
      <c r="AM141" s="451">
        <v>0</v>
      </c>
      <c r="AN141" s="451">
        <v>0</v>
      </c>
      <c r="AO141" s="451">
        <v>1151975.6499999999</v>
      </c>
      <c r="AP141" s="451">
        <v>16856</v>
      </c>
      <c r="AQ141" s="451">
        <v>0</v>
      </c>
      <c r="AR141" s="451">
        <v>0</v>
      </c>
      <c r="AS141" s="451">
        <v>16856</v>
      </c>
      <c r="AT141" s="451">
        <v>35304.35</v>
      </c>
      <c r="AU141" s="451">
        <v>0</v>
      </c>
      <c r="AV141" s="451">
        <v>0</v>
      </c>
      <c r="AW141" s="451">
        <v>35304.35</v>
      </c>
      <c r="AX141" s="451">
        <v>0</v>
      </c>
      <c r="AY141" s="451">
        <v>0</v>
      </c>
      <c r="AZ141" s="451">
        <v>0</v>
      </c>
      <c r="BA141" s="451">
        <v>0</v>
      </c>
      <c r="BB141" s="451">
        <v>0</v>
      </c>
      <c r="BC141" s="451">
        <v>0</v>
      </c>
      <c r="BD141" s="451">
        <v>0</v>
      </c>
      <c r="BE141" s="451">
        <v>0</v>
      </c>
      <c r="BF141" s="451">
        <v>0</v>
      </c>
      <c r="BG141" s="451">
        <v>0</v>
      </c>
      <c r="BH141" s="451">
        <v>0</v>
      </c>
      <c r="BI141" s="451">
        <v>0</v>
      </c>
      <c r="BJ141" s="451">
        <v>113267</v>
      </c>
      <c r="BK141" s="451">
        <v>0</v>
      </c>
      <c r="BL141" s="451">
        <v>0</v>
      </c>
      <c r="BM141" s="451">
        <v>113267</v>
      </c>
      <c r="BN141" s="451">
        <v>32922</v>
      </c>
      <c r="BO141" s="451">
        <v>0</v>
      </c>
      <c r="BP141" s="451">
        <v>0</v>
      </c>
      <c r="BQ141" s="451">
        <v>32922</v>
      </c>
      <c r="BR141" s="451">
        <v>2279093</v>
      </c>
      <c r="BS141" s="451">
        <v>0</v>
      </c>
      <c r="BT141" s="451">
        <v>0</v>
      </c>
      <c r="BU141" s="451">
        <v>2279093</v>
      </c>
      <c r="BV141" s="451">
        <v>-193814</v>
      </c>
      <c r="BW141" s="451">
        <v>0</v>
      </c>
      <c r="BX141" s="451">
        <v>0</v>
      </c>
      <c r="BY141" s="451">
        <v>-193814</v>
      </c>
      <c r="BZ141" s="451">
        <v>106881</v>
      </c>
      <c r="CA141" s="451">
        <v>0</v>
      </c>
      <c r="CB141" s="451">
        <v>0</v>
      </c>
      <c r="CC141" s="451">
        <v>106881</v>
      </c>
      <c r="CD141" s="451">
        <v>-158</v>
      </c>
      <c r="CE141" s="451">
        <v>0</v>
      </c>
      <c r="CF141" s="451">
        <v>0</v>
      </c>
      <c r="CG141" s="451">
        <v>-158</v>
      </c>
      <c r="CH141" s="451">
        <v>111111</v>
      </c>
      <c r="CI141" s="451">
        <v>0</v>
      </c>
      <c r="CJ141" s="451">
        <v>0</v>
      </c>
      <c r="CK141" s="451">
        <v>111111</v>
      </c>
      <c r="CL141" s="451">
        <v>-797</v>
      </c>
      <c r="CM141" s="451">
        <v>0</v>
      </c>
      <c r="CN141" s="451">
        <v>0</v>
      </c>
      <c r="CO141" s="451">
        <v>-797</v>
      </c>
      <c r="CP141" s="451">
        <v>0</v>
      </c>
      <c r="CQ141" s="451">
        <v>0</v>
      </c>
      <c r="CR141" s="451">
        <v>0</v>
      </c>
      <c r="CS141" s="451">
        <v>0</v>
      </c>
      <c r="CT141" s="451">
        <v>0</v>
      </c>
      <c r="CU141" s="451">
        <v>0</v>
      </c>
      <c r="CV141" s="451">
        <v>0</v>
      </c>
      <c r="CW141" s="451">
        <v>0</v>
      </c>
      <c r="CX141" s="451">
        <v>0</v>
      </c>
      <c r="CY141" s="451">
        <v>0</v>
      </c>
      <c r="CZ141" s="451">
        <v>0</v>
      </c>
      <c r="DA141" s="451">
        <v>0</v>
      </c>
      <c r="DB141" s="451">
        <v>0</v>
      </c>
      <c r="DC141" s="451">
        <v>0</v>
      </c>
      <c r="DD141" s="451">
        <v>0</v>
      </c>
      <c r="DE141" s="451">
        <v>0</v>
      </c>
      <c r="DF141" s="451">
        <v>0</v>
      </c>
      <c r="DG141" s="451">
        <v>0</v>
      </c>
      <c r="DH141" s="451">
        <v>0</v>
      </c>
      <c r="DI141" s="451">
        <v>0</v>
      </c>
      <c r="DJ141" s="451">
        <v>0</v>
      </c>
      <c r="DK141" s="451">
        <v>0</v>
      </c>
      <c r="DL141" s="451">
        <v>0</v>
      </c>
      <c r="DM141" s="451">
        <v>0</v>
      </c>
      <c r="DN141" s="451">
        <v>0</v>
      </c>
      <c r="DO141" s="451">
        <v>0</v>
      </c>
      <c r="DP141" s="451">
        <v>0</v>
      </c>
      <c r="DQ141" s="451">
        <v>0</v>
      </c>
      <c r="DR141" s="451">
        <v>0</v>
      </c>
      <c r="DS141" s="451">
        <v>0</v>
      </c>
      <c r="DT141" s="451">
        <v>0</v>
      </c>
      <c r="DU141" s="451">
        <v>0</v>
      </c>
      <c r="DV141" s="451">
        <v>0</v>
      </c>
      <c r="DW141" s="451">
        <v>0</v>
      </c>
      <c r="DX141" s="451">
        <v>0</v>
      </c>
      <c r="DY141" s="451">
        <v>0</v>
      </c>
      <c r="DZ141" s="451">
        <v>0</v>
      </c>
      <c r="EA141" s="451">
        <v>0</v>
      </c>
      <c r="EB141" s="451">
        <v>0</v>
      </c>
      <c r="EC141" s="451">
        <v>0</v>
      </c>
      <c r="ED141" s="451">
        <v>0</v>
      </c>
      <c r="EE141" s="451">
        <v>0</v>
      </c>
      <c r="EF141" s="451">
        <v>0</v>
      </c>
      <c r="EG141" s="451">
        <v>0</v>
      </c>
      <c r="EH141" s="451">
        <v>0</v>
      </c>
      <c r="EI141" s="451">
        <v>0</v>
      </c>
      <c r="EJ141" s="451">
        <v>0</v>
      </c>
      <c r="EK141" s="451">
        <v>0</v>
      </c>
      <c r="EL141" s="451">
        <v>0</v>
      </c>
      <c r="EM141" s="451">
        <v>0</v>
      </c>
    </row>
    <row r="142" spans="1:143" ht="12.75" x14ac:dyDescent="0.2">
      <c r="A142" s="446">
        <v>136</v>
      </c>
      <c r="B142" s="447" t="s">
        <v>155</v>
      </c>
      <c r="C142" s="448" t="s">
        <v>1093</v>
      </c>
      <c r="D142" s="449" t="s">
        <v>1097</v>
      </c>
      <c r="E142" s="450" t="s">
        <v>154</v>
      </c>
      <c r="F142" s="451">
        <v>162524.92000000001</v>
      </c>
      <c r="G142" s="451">
        <v>0</v>
      </c>
      <c r="H142" s="451">
        <v>0</v>
      </c>
      <c r="I142" s="451">
        <v>162524.92000000001</v>
      </c>
      <c r="J142" s="451">
        <v>-16736.97</v>
      </c>
      <c r="K142" s="451">
        <v>0</v>
      </c>
      <c r="L142" s="451">
        <v>0</v>
      </c>
      <c r="M142" s="451">
        <v>-16736.97</v>
      </c>
      <c r="N142" s="451">
        <v>24654.7</v>
      </c>
      <c r="O142" s="451">
        <v>0</v>
      </c>
      <c r="P142" s="451">
        <v>0</v>
      </c>
      <c r="Q142" s="451">
        <v>24654.7</v>
      </c>
      <c r="R142" s="451">
        <v>54151.88</v>
      </c>
      <c r="S142" s="451">
        <v>0</v>
      </c>
      <c r="T142" s="451">
        <v>0</v>
      </c>
      <c r="U142" s="451">
        <v>54151.88</v>
      </c>
      <c r="V142" s="451">
        <v>2146435.3199999998</v>
      </c>
      <c r="W142" s="451">
        <v>0</v>
      </c>
      <c r="X142" s="451">
        <v>0</v>
      </c>
      <c r="Y142" s="451">
        <v>2146435.3199999998</v>
      </c>
      <c r="Z142" s="451">
        <v>85774.84</v>
      </c>
      <c r="AA142" s="451">
        <v>0</v>
      </c>
      <c r="AB142" s="451">
        <v>0</v>
      </c>
      <c r="AC142" s="451">
        <v>85774.84</v>
      </c>
      <c r="AD142" s="451">
        <v>1060850.49</v>
      </c>
      <c r="AE142" s="451">
        <v>0</v>
      </c>
      <c r="AF142" s="451">
        <v>0</v>
      </c>
      <c r="AG142" s="451">
        <v>1060850.49</v>
      </c>
      <c r="AH142" s="451">
        <v>19987.82</v>
      </c>
      <c r="AI142" s="451">
        <v>0</v>
      </c>
      <c r="AJ142" s="451">
        <v>0</v>
      </c>
      <c r="AK142" s="451">
        <v>19987.82</v>
      </c>
      <c r="AL142" s="451">
        <v>3026839.99</v>
      </c>
      <c r="AM142" s="451">
        <v>0</v>
      </c>
      <c r="AN142" s="451">
        <v>0</v>
      </c>
      <c r="AO142" s="451">
        <v>3026839.99</v>
      </c>
      <c r="AP142" s="451">
        <v>-23926.01</v>
      </c>
      <c r="AQ142" s="451">
        <v>0</v>
      </c>
      <c r="AR142" s="451">
        <v>0</v>
      </c>
      <c r="AS142" s="451">
        <v>-23926.01</v>
      </c>
      <c r="AT142" s="451">
        <v>89068.3</v>
      </c>
      <c r="AU142" s="451">
        <v>0</v>
      </c>
      <c r="AV142" s="451">
        <v>0</v>
      </c>
      <c r="AW142" s="451">
        <v>89068.3</v>
      </c>
      <c r="AX142" s="451">
        <v>0</v>
      </c>
      <c r="AY142" s="451">
        <v>0</v>
      </c>
      <c r="AZ142" s="451">
        <v>0</v>
      </c>
      <c r="BA142" s="451">
        <v>0</v>
      </c>
      <c r="BB142" s="451">
        <v>0</v>
      </c>
      <c r="BC142" s="451">
        <v>0</v>
      </c>
      <c r="BD142" s="451">
        <v>0</v>
      </c>
      <c r="BE142" s="451">
        <v>0</v>
      </c>
      <c r="BF142" s="451">
        <v>0</v>
      </c>
      <c r="BG142" s="451">
        <v>0</v>
      </c>
      <c r="BH142" s="451">
        <v>0</v>
      </c>
      <c r="BI142" s="451">
        <v>0</v>
      </c>
      <c r="BJ142" s="451">
        <v>32093.8</v>
      </c>
      <c r="BK142" s="451">
        <v>0</v>
      </c>
      <c r="BL142" s="451">
        <v>0</v>
      </c>
      <c r="BM142" s="451">
        <v>32093.8</v>
      </c>
      <c r="BN142" s="451">
        <v>14232.72</v>
      </c>
      <c r="BO142" s="451">
        <v>0</v>
      </c>
      <c r="BP142" s="451">
        <v>0</v>
      </c>
      <c r="BQ142" s="451">
        <v>14232.72</v>
      </c>
      <c r="BR142" s="451">
        <v>2077346.22</v>
      </c>
      <c r="BS142" s="451">
        <v>0</v>
      </c>
      <c r="BT142" s="451">
        <v>0</v>
      </c>
      <c r="BU142" s="451">
        <v>2077346.22</v>
      </c>
      <c r="BV142" s="451">
        <v>22547.67</v>
      </c>
      <c r="BW142" s="451">
        <v>0</v>
      </c>
      <c r="BX142" s="451">
        <v>0</v>
      </c>
      <c r="BY142" s="451">
        <v>22547.67</v>
      </c>
      <c r="BZ142" s="451">
        <v>102995.69</v>
      </c>
      <c r="CA142" s="451">
        <v>0</v>
      </c>
      <c r="CB142" s="451">
        <v>0</v>
      </c>
      <c r="CC142" s="451">
        <v>102995.69</v>
      </c>
      <c r="CD142" s="451">
        <v>453.66</v>
      </c>
      <c r="CE142" s="451">
        <v>0</v>
      </c>
      <c r="CF142" s="451">
        <v>0</v>
      </c>
      <c r="CG142" s="451">
        <v>453.66</v>
      </c>
      <c r="CH142" s="451">
        <v>55559.19</v>
      </c>
      <c r="CI142" s="451">
        <v>0</v>
      </c>
      <c r="CJ142" s="451">
        <v>0</v>
      </c>
      <c r="CK142" s="451">
        <v>55559.19</v>
      </c>
      <c r="CL142" s="451">
        <v>1817.12</v>
      </c>
      <c r="CM142" s="451">
        <v>0</v>
      </c>
      <c r="CN142" s="451">
        <v>0</v>
      </c>
      <c r="CO142" s="451">
        <v>1817.12</v>
      </c>
      <c r="CP142" s="451">
        <v>0</v>
      </c>
      <c r="CQ142" s="451">
        <v>0</v>
      </c>
      <c r="CR142" s="451">
        <v>0</v>
      </c>
      <c r="CS142" s="451">
        <v>0</v>
      </c>
      <c r="CT142" s="451">
        <v>0</v>
      </c>
      <c r="CU142" s="451">
        <v>0</v>
      </c>
      <c r="CV142" s="451">
        <v>0</v>
      </c>
      <c r="CW142" s="451">
        <v>0</v>
      </c>
      <c r="CX142" s="451">
        <v>0</v>
      </c>
      <c r="CY142" s="451">
        <v>0</v>
      </c>
      <c r="CZ142" s="451">
        <v>0</v>
      </c>
      <c r="DA142" s="451">
        <v>0</v>
      </c>
      <c r="DB142" s="451">
        <v>0</v>
      </c>
      <c r="DC142" s="451">
        <v>0</v>
      </c>
      <c r="DD142" s="451">
        <v>0</v>
      </c>
      <c r="DE142" s="451">
        <v>0</v>
      </c>
      <c r="DF142" s="451">
        <v>0</v>
      </c>
      <c r="DG142" s="451">
        <v>0</v>
      </c>
      <c r="DH142" s="451">
        <v>0</v>
      </c>
      <c r="DI142" s="451">
        <v>0</v>
      </c>
      <c r="DJ142" s="451">
        <v>0</v>
      </c>
      <c r="DK142" s="451">
        <v>0</v>
      </c>
      <c r="DL142" s="451">
        <v>0</v>
      </c>
      <c r="DM142" s="451">
        <v>0</v>
      </c>
      <c r="DN142" s="451">
        <v>0</v>
      </c>
      <c r="DO142" s="451">
        <v>0</v>
      </c>
      <c r="DP142" s="451">
        <v>0</v>
      </c>
      <c r="DQ142" s="451">
        <v>0</v>
      </c>
      <c r="DR142" s="451">
        <v>0</v>
      </c>
      <c r="DS142" s="451">
        <v>0</v>
      </c>
      <c r="DT142" s="451">
        <v>0</v>
      </c>
      <c r="DU142" s="451">
        <v>0</v>
      </c>
      <c r="DV142" s="451">
        <v>0</v>
      </c>
      <c r="DW142" s="451">
        <v>0</v>
      </c>
      <c r="DX142" s="451">
        <v>0</v>
      </c>
      <c r="DY142" s="451">
        <v>0</v>
      </c>
      <c r="DZ142" s="451">
        <v>0</v>
      </c>
      <c r="EA142" s="451">
        <v>0</v>
      </c>
      <c r="EB142" s="451">
        <v>0</v>
      </c>
      <c r="EC142" s="451">
        <v>0</v>
      </c>
      <c r="ED142" s="451">
        <v>0</v>
      </c>
      <c r="EE142" s="451">
        <v>0</v>
      </c>
      <c r="EF142" s="451">
        <v>884.61</v>
      </c>
      <c r="EG142" s="451">
        <v>0</v>
      </c>
      <c r="EH142" s="451">
        <v>0</v>
      </c>
      <c r="EI142" s="451">
        <v>884.61</v>
      </c>
      <c r="EJ142" s="451">
        <v>376.96</v>
      </c>
      <c r="EK142" s="451">
        <v>0</v>
      </c>
      <c r="EL142" s="451">
        <v>0</v>
      </c>
      <c r="EM142" s="451">
        <v>376.96</v>
      </c>
    </row>
    <row r="143" spans="1:143" ht="12.75" x14ac:dyDescent="0.2">
      <c r="A143" s="446">
        <v>137</v>
      </c>
      <c r="B143" s="447" t="s">
        <v>157</v>
      </c>
      <c r="C143" s="448" t="s">
        <v>794</v>
      </c>
      <c r="D143" s="449" t="s">
        <v>1094</v>
      </c>
      <c r="E143" s="450" t="s">
        <v>1114</v>
      </c>
      <c r="F143" s="451">
        <v>282900</v>
      </c>
      <c r="G143" s="451">
        <v>0</v>
      </c>
      <c r="H143" s="451">
        <v>0</v>
      </c>
      <c r="I143" s="451">
        <v>282900</v>
      </c>
      <c r="J143" s="451">
        <v>-118774</v>
      </c>
      <c r="K143" s="451">
        <v>0</v>
      </c>
      <c r="L143" s="451">
        <v>0</v>
      </c>
      <c r="M143" s="451">
        <v>-118774</v>
      </c>
      <c r="N143" s="451">
        <v>91517</v>
      </c>
      <c r="O143" s="451">
        <v>0</v>
      </c>
      <c r="P143" s="451">
        <v>0</v>
      </c>
      <c r="Q143" s="451">
        <v>91517</v>
      </c>
      <c r="R143" s="451">
        <v>129805.5</v>
      </c>
      <c r="S143" s="451">
        <v>0</v>
      </c>
      <c r="T143" s="451">
        <v>0</v>
      </c>
      <c r="U143" s="451">
        <v>129805.5</v>
      </c>
      <c r="V143" s="451">
        <v>4313088</v>
      </c>
      <c r="W143" s="451">
        <v>0</v>
      </c>
      <c r="X143" s="451">
        <v>0</v>
      </c>
      <c r="Y143" s="451">
        <v>4313088</v>
      </c>
      <c r="Z143" s="451">
        <v>335684</v>
      </c>
      <c r="AA143" s="451">
        <v>0</v>
      </c>
      <c r="AB143" s="451">
        <v>0</v>
      </c>
      <c r="AC143" s="451">
        <v>335684</v>
      </c>
      <c r="AD143" s="451">
        <v>615710</v>
      </c>
      <c r="AE143" s="451">
        <v>0</v>
      </c>
      <c r="AF143" s="451">
        <v>0</v>
      </c>
      <c r="AG143" s="451">
        <v>615710</v>
      </c>
      <c r="AH143" s="451">
        <v>-1352</v>
      </c>
      <c r="AI143" s="451">
        <v>0</v>
      </c>
      <c r="AJ143" s="451">
        <v>0</v>
      </c>
      <c r="AK143" s="451">
        <v>-1352</v>
      </c>
      <c r="AL143" s="451">
        <v>2188437</v>
      </c>
      <c r="AM143" s="451">
        <v>0</v>
      </c>
      <c r="AN143" s="451">
        <v>0</v>
      </c>
      <c r="AO143" s="451">
        <v>2188437</v>
      </c>
      <c r="AP143" s="451">
        <v>50524</v>
      </c>
      <c r="AQ143" s="451">
        <v>0</v>
      </c>
      <c r="AR143" s="451">
        <v>0</v>
      </c>
      <c r="AS143" s="451">
        <v>50524</v>
      </c>
      <c r="AT143" s="451">
        <v>84818</v>
      </c>
      <c r="AU143" s="451">
        <v>0</v>
      </c>
      <c r="AV143" s="451">
        <v>0</v>
      </c>
      <c r="AW143" s="451">
        <v>84818</v>
      </c>
      <c r="AX143" s="451">
        <v>0</v>
      </c>
      <c r="AY143" s="451">
        <v>0</v>
      </c>
      <c r="AZ143" s="451">
        <v>0</v>
      </c>
      <c r="BA143" s="451">
        <v>0</v>
      </c>
      <c r="BB143" s="451">
        <v>13081</v>
      </c>
      <c r="BC143" s="451">
        <v>0</v>
      </c>
      <c r="BD143" s="451">
        <v>0</v>
      </c>
      <c r="BE143" s="451">
        <v>13081</v>
      </c>
      <c r="BF143" s="451">
        <v>-1262</v>
      </c>
      <c r="BG143" s="451">
        <v>0</v>
      </c>
      <c r="BH143" s="451">
        <v>0</v>
      </c>
      <c r="BI143" s="451">
        <v>-1262</v>
      </c>
      <c r="BJ143" s="451">
        <v>29681</v>
      </c>
      <c r="BK143" s="451">
        <v>0</v>
      </c>
      <c r="BL143" s="451">
        <v>0</v>
      </c>
      <c r="BM143" s="451">
        <v>29681</v>
      </c>
      <c r="BN143" s="451">
        <v>-172</v>
      </c>
      <c r="BO143" s="451">
        <v>0</v>
      </c>
      <c r="BP143" s="451">
        <v>0</v>
      </c>
      <c r="BQ143" s="451">
        <v>-172</v>
      </c>
      <c r="BR143" s="451">
        <v>928636</v>
      </c>
      <c r="BS143" s="451">
        <v>0</v>
      </c>
      <c r="BT143" s="451">
        <v>0</v>
      </c>
      <c r="BU143" s="451">
        <v>928636</v>
      </c>
      <c r="BV143" s="451">
        <v>32461</v>
      </c>
      <c r="BW143" s="451">
        <v>0</v>
      </c>
      <c r="BX143" s="451">
        <v>0</v>
      </c>
      <c r="BY143" s="451">
        <v>32461</v>
      </c>
      <c r="BZ143" s="451">
        <v>69926</v>
      </c>
      <c r="CA143" s="451">
        <v>0</v>
      </c>
      <c r="CB143" s="451">
        <v>0</v>
      </c>
      <c r="CC143" s="451">
        <v>69926</v>
      </c>
      <c r="CD143" s="451">
        <v>4575</v>
      </c>
      <c r="CE143" s="451">
        <v>0</v>
      </c>
      <c r="CF143" s="451">
        <v>0</v>
      </c>
      <c r="CG143" s="451">
        <v>4575</v>
      </c>
      <c r="CH143" s="451">
        <v>46079</v>
      </c>
      <c r="CI143" s="451">
        <v>0</v>
      </c>
      <c r="CJ143" s="451">
        <v>0</v>
      </c>
      <c r="CK143" s="451">
        <v>46079</v>
      </c>
      <c r="CL143" s="451">
        <v>1388</v>
      </c>
      <c r="CM143" s="451">
        <v>0</v>
      </c>
      <c r="CN143" s="451">
        <v>0</v>
      </c>
      <c r="CO143" s="451">
        <v>1388</v>
      </c>
      <c r="CP143" s="451">
        <v>894.9</v>
      </c>
      <c r="CQ143" s="451">
        <v>0</v>
      </c>
      <c r="CR143" s="451">
        <v>0</v>
      </c>
      <c r="CS143" s="451">
        <v>894.9</v>
      </c>
      <c r="CT143" s="451">
        <v>0</v>
      </c>
      <c r="CU143" s="451">
        <v>0</v>
      </c>
      <c r="CV143" s="451">
        <v>0</v>
      </c>
      <c r="CW143" s="451">
        <v>0</v>
      </c>
      <c r="CX143" s="451">
        <v>11935</v>
      </c>
      <c r="CY143" s="451">
        <v>0</v>
      </c>
      <c r="CZ143" s="451">
        <v>0</v>
      </c>
      <c r="DA143" s="451">
        <v>11935</v>
      </c>
      <c r="DB143" s="451">
        <v>-1262</v>
      </c>
      <c r="DC143" s="451">
        <v>0</v>
      </c>
      <c r="DD143" s="451">
        <v>0</v>
      </c>
      <c r="DE143" s="451">
        <v>-1262</v>
      </c>
      <c r="DF143" s="451">
        <v>0</v>
      </c>
      <c r="DG143" s="451">
        <v>0</v>
      </c>
      <c r="DH143" s="451">
        <v>0</v>
      </c>
      <c r="DI143" s="451">
        <v>0</v>
      </c>
      <c r="DJ143" s="451">
        <v>0</v>
      </c>
      <c r="DK143" s="451">
        <v>0</v>
      </c>
      <c r="DL143" s="451">
        <v>0</v>
      </c>
      <c r="DM143" s="451">
        <v>0</v>
      </c>
      <c r="DN143" s="451">
        <v>0</v>
      </c>
      <c r="DO143" s="451">
        <v>0</v>
      </c>
      <c r="DP143" s="451">
        <v>0</v>
      </c>
      <c r="DQ143" s="451">
        <v>0</v>
      </c>
      <c r="DR143" s="451">
        <v>0</v>
      </c>
      <c r="DS143" s="451">
        <v>0</v>
      </c>
      <c r="DT143" s="451">
        <v>0</v>
      </c>
      <c r="DU143" s="451">
        <v>0</v>
      </c>
      <c r="DV143" s="451">
        <v>0</v>
      </c>
      <c r="DW143" s="451">
        <v>0</v>
      </c>
      <c r="DX143" s="451">
        <v>0</v>
      </c>
      <c r="DY143" s="451">
        <v>0</v>
      </c>
      <c r="DZ143" s="451">
        <v>0</v>
      </c>
      <c r="EA143" s="451">
        <v>0</v>
      </c>
      <c r="EB143" s="451">
        <v>18151</v>
      </c>
      <c r="EC143" s="451">
        <v>0</v>
      </c>
      <c r="ED143" s="451">
        <v>0</v>
      </c>
      <c r="EE143" s="451">
        <v>18151</v>
      </c>
      <c r="EF143" s="451">
        <v>11342</v>
      </c>
      <c r="EG143" s="451">
        <v>0</v>
      </c>
      <c r="EH143" s="451">
        <v>0</v>
      </c>
      <c r="EI143" s="451">
        <v>11342</v>
      </c>
      <c r="EJ143" s="451">
        <v>0</v>
      </c>
      <c r="EK143" s="451">
        <v>0</v>
      </c>
      <c r="EL143" s="451">
        <v>0</v>
      </c>
      <c r="EM143" s="451">
        <v>0</v>
      </c>
    </row>
    <row r="144" spans="1:143" ht="12.75" x14ac:dyDescent="0.2">
      <c r="A144" s="446">
        <v>138</v>
      </c>
      <c r="B144" s="447" t="s">
        <v>159</v>
      </c>
      <c r="C144" s="448" t="s">
        <v>794</v>
      </c>
      <c r="D144" s="449" t="s">
        <v>1102</v>
      </c>
      <c r="E144" s="450" t="s">
        <v>158</v>
      </c>
      <c r="F144" s="451">
        <v>44360</v>
      </c>
      <c r="G144" s="451">
        <v>0</v>
      </c>
      <c r="H144" s="451">
        <v>0</v>
      </c>
      <c r="I144" s="451">
        <v>44360</v>
      </c>
      <c r="J144" s="451">
        <v>0</v>
      </c>
      <c r="K144" s="451">
        <v>0</v>
      </c>
      <c r="L144" s="451">
        <v>0</v>
      </c>
      <c r="M144" s="451">
        <v>0</v>
      </c>
      <c r="N144" s="451">
        <v>3043</v>
      </c>
      <c r="O144" s="451">
        <v>0</v>
      </c>
      <c r="P144" s="451">
        <v>0</v>
      </c>
      <c r="Q144" s="451">
        <v>3043</v>
      </c>
      <c r="R144" s="451">
        <v>0</v>
      </c>
      <c r="S144" s="451">
        <v>0</v>
      </c>
      <c r="T144" s="451">
        <v>0</v>
      </c>
      <c r="U144" s="451">
        <v>0</v>
      </c>
      <c r="V144" s="451">
        <v>299196</v>
      </c>
      <c r="W144" s="451">
        <v>0</v>
      </c>
      <c r="X144" s="451">
        <v>0</v>
      </c>
      <c r="Y144" s="451">
        <v>299196</v>
      </c>
      <c r="Z144" s="451">
        <v>0</v>
      </c>
      <c r="AA144" s="451">
        <v>0</v>
      </c>
      <c r="AB144" s="451">
        <v>0</v>
      </c>
      <c r="AC144" s="451">
        <v>0</v>
      </c>
      <c r="AD144" s="451">
        <v>20044</v>
      </c>
      <c r="AE144" s="451">
        <v>0</v>
      </c>
      <c r="AF144" s="451">
        <v>0</v>
      </c>
      <c r="AG144" s="451">
        <v>20044</v>
      </c>
      <c r="AH144" s="451">
        <v>0</v>
      </c>
      <c r="AI144" s="451">
        <v>0</v>
      </c>
      <c r="AJ144" s="451">
        <v>0</v>
      </c>
      <c r="AK144" s="451">
        <v>0</v>
      </c>
      <c r="AL144" s="451">
        <v>15101</v>
      </c>
      <c r="AM144" s="451">
        <v>0</v>
      </c>
      <c r="AN144" s="451">
        <v>0</v>
      </c>
      <c r="AO144" s="451">
        <v>15101</v>
      </c>
      <c r="AP144" s="451">
        <v>0</v>
      </c>
      <c r="AQ144" s="451">
        <v>0</v>
      </c>
      <c r="AR144" s="451">
        <v>0</v>
      </c>
      <c r="AS144" s="451">
        <v>0</v>
      </c>
      <c r="AT144" s="451">
        <v>6227</v>
      </c>
      <c r="AU144" s="451">
        <v>0</v>
      </c>
      <c r="AV144" s="451">
        <v>0</v>
      </c>
      <c r="AW144" s="451">
        <v>6227</v>
      </c>
      <c r="AX144" s="451">
        <v>0</v>
      </c>
      <c r="AY144" s="451">
        <v>0</v>
      </c>
      <c r="AZ144" s="451">
        <v>0</v>
      </c>
      <c r="BA144" s="451">
        <v>0</v>
      </c>
      <c r="BB144" s="451">
        <v>1523</v>
      </c>
      <c r="BC144" s="451">
        <v>0</v>
      </c>
      <c r="BD144" s="451">
        <v>0</v>
      </c>
      <c r="BE144" s="451">
        <v>1523</v>
      </c>
      <c r="BF144" s="451">
        <v>0</v>
      </c>
      <c r="BG144" s="451">
        <v>0</v>
      </c>
      <c r="BH144" s="451">
        <v>0</v>
      </c>
      <c r="BI144" s="451">
        <v>0</v>
      </c>
      <c r="BJ144" s="451">
        <v>3314</v>
      </c>
      <c r="BK144" s="451">
        <v>0</v>
      </c>
      <c r="BL144" s="451">
        <v>0</v>
      </c>
      <c r="BM144" s="451">
        <v>3314</v>
      </c>
      <c r="BN144" s="451">
        <v>0</v>
      </c>
      <c r="BO144" s="451">
        <v>0</v>
      </c>
      <c r="BP144" s="451">
        <v>0</v>
      </c>
      <c r="BQ144" s="451">
        <v>0</v>
      </c>
      <c r="BR144" s="451">
        <v>13529</v>
      </c>
      <c r="BS144" s="451">
        <v>0</v>
      </c>
      <c r="BT144" s="451">
        <v>0</v>
      </c>
      <c r="BU144" s="451">
        <v>13529</v>
      </c>
      <c r="BV144" s="451">
        <v>0</v>
      </c>
      <c r="BW144" s="451">
        <v>0</v>
      </c>
      <c r="BX144" s="451">
        <v>0</v>
      </c>
      <c r="BY144" s="451">
        <v>0</v>
      </c>
      <c r="BZ144" s="451">
        <v>2336</v>
      </c>
      <c r="CA144" s="451">
        <v>0</v>
      </c>
      <c r="CB144" s="451">
        <v>0</v>
      </c>
      <c r="CC144" s="451">
        <v>2336</v>
      </c>
      <c r="CD144" s="451">
        <v>0</v>
      </c>
      <c r="CE144" s="451">
        <v>0</v>
      </c>
      <c r="CF144" s="451">
        <v>0</v>
      </c>
      <c r="CG144" s="451">
        <v>0</v>
      </c>
      <c r="CH144" s="451">
        <v>5005</v>
      </c>
      <c r="CI144" s="451">
        <v>0</v>
      </c>
      <c r="CJ144" s="451">
        <v>0</v>
      </c>
      <c r="CK144" s="451">
        <v>5005</v>
      </c>
      <c r="CL144" s="451">
        <v>0</v>
      </c>
      <c r="CM144" s="451">
        <v>0</v>
      </c>
      <c r="CN144" s="451">
        <v>0</v>
      </c>
      <c r="CO144" s="451">
        <v>0</v>
      </c>
      <c r="CP144" s="451">
        <v>1371</v>
      </c>
      <c r="CQ144" s="451">
        <v>0</v>
      </c>
      <c r="CR144" s="451">
        <v>0</v>
      </c>
      <c r="CS144" s="451">
        <v>1371</v>
      </c>
      <c r="CT144" s="451">
        <v>0</v>
      </c>
      <c r="CU144" s="451">
        <v>0</v>
      </c>
      <c r="CV144" s="451">
        <v>0</v>
      </c>
      <c r="CW144" s="451">
        <v>0</v>
      </c>
      <c r="CX144" s="451">
        <v>1061</v>
      </c>
      <c r="CY144" s="451">
        <v>0</v>
      </c>
      <c r="CZ144" s="451">
        <v>0</v>
      </c>
      <c r="DA144" s="451">
        <v>1061</v>
      </c>
      <c r="DB144" s="451">
        <v>0</v>
      </c>
      <c r="DC144" s="451">
        <v>0</v>
      </c>
      <c r="DD144" s="451">
        <v>0</v>
      </c>
      <c r="DE144" s="451">
        <v>0</v>
      </c>
      <c r="DF144" s="451">
        <v>0</v>
      </c>
      <c r="DG144" s="451">
        <v>0</v>
      </c>
      <c r="DH144" s="451">
        <v>0</v>
      </c>
      <c r="DI144" s="451">
        <v>0</v>
      </c>
      <c r="DJ144" s="451">
        <v>0</v>
      </c>
      <c r="DK144" s="451">
        <v>0</v>
      </c>
      <c r="DL144" s="451">
        <v>0</v>
      </c>
      <c r="DM144" s="451">
        <v>0</v>
      </c>
      <c r="DN144" s="451">
        <v>0</v>
      </c>
      <c r="DO144" s="451">
        <v>0</v>
      </c>
      <c r="DP144" s="451">
        <v>0</v>
      </c>
      <c r="DQ144" s="451">
        <v>0</v>
      </c>
      <c r="DR144" s="451">
        <v>0</v>
      </c>
      <c r="DS144" s="451">
        <v>0</v>
      </c>
      <c r="DT144" s="451">
        <v>0</v>
      </c>
      <c r="DU144" s="451">
        <v>0</v>
      </c>
      <c r="DV144" s="451">
        <v>0</v>
      </c>
      <c r="DW144" s="451">
        <v>0</v>
      </c>
      <c r="DX144" s="451">
        <v>0</v>
      </c>
      <c r="DY144" s="451">
        <v>0</v>
      </c>
      <c r="DZ144" s="451">
        <v>0</v>
      </c>
      <c r="EA144" s="451">
        <v>0</v>
      </c>
      <c r="EB144" s="451">
        <v>5020</v>
      </c>
      <c r="EC144" s="451">
        <v>0</v>
      </c>
      <c r="ED144" s="451">
        <v>0</v>
      </c>
      <c r="EE144" s="451">
        <v>5020</v>
      </c>
      <c r="EF144" s="451">
        <v>0</v>
      </c>
      <c r="EG144" s="451">
        <v>0</v>
      </c>
      <c r="EH144" s="451">
        <v>0</v>
      </c>
      <c r="EI144" s="451">
        <v>0</v>
      </c>
      <c r="EJ144" s="451">
        <v>0</v>
      </c>
      <c r="EK144" s="451">
        <v>0</v>
      </c>
      <c r="EL144" s="451">
        <v>0</v>
      </c>
      <c r="EM144" s="451">
        <v>0</v>
      </c>
    </row>
    <row r="145" spans="1:143" ht="12.75" x14ac:dyDescent="0.2">
      <c r="A145" s="446">
        <v>139</v>
      </c>
      <c r="B145" s="447" t="s">
        <v>161</v>
      </c>
      <c r="C145" s="448" t="s">
        <v>1104</v>
      </c>
      <c r="D145" s="449" t="s">
        <v>1099</v>
      </c>
      <c r="E145" s="450" t="s">
        <v>160</v>
      </c>
      <c r="F145" s="451">
        <v>1006023.16</v>
      </c>
      <c r="G145" s="451">
        <v>0</v>
      </c>
      <c r="H145" s="451">
        <v>0</v>
      </c>
      <c r="I145" s="451">
        <v>1006023.16</v>
      </c>
      <c r="J145" s="451">
        <v>-1603827.4</v>
      </c>
      <c r="K145" s="451">
        <v>0</v>
      </c>
      <c r="L145" s="451">
        <v>0</v>
      </c>
      <c r="M145" s="451">
        <v>-1603827.4</v>
      </c>
      <c r="N145" s="451">
        <v>229707.67</v>
      </c>
      <c r="O145" s="451">
        <v>0</v>
      </c>
      <c r="P145" s="451">
        <v>0</v>
      </c>
      <c r="Q145" s="451">
        <v>229707.67</v>
      </c>
      <c r="R145" s="451">
        <v>35943.22</v>
      </c>
      <c r="S145" s="451">
        <v>0</v>
      </c>
      <c r="T145" s="451">
        <v>0</v>
      </c>
      <c r="U145" s="451">
        <v>35943.22</v>
      </c>
      <c r="V145" s="451">
        <v>2921100.66</v>
      </c>
      <c r="W145" s="451">
        <v>0</v>
      </c>
      <c r="X145" s="451">
        <v>0</v>
      </c>
      <c r="Y145" s="451">
        <v>2921100.66</v>
      </c>
      <c r="Z145" s="451">
        <v>235839.27</v>
      </c>
      <c r="AA145" s="451">
        <v>0</v>
      </c>
      <c r="AB145" s="451">
        <v>0</v>
      </c>
      <c r="AC145" s="451">
        <v>235839.27</v>
      </c>
      <c r="AD145" s="451">
        <v>3802266.25</v>
      </c>
      <c r="AE145" s="451">
        <v>0</v>
      </c>
      <c r="AF145" s="451">
        <v>0</v>
      </c>
      <c r="AG145" s="451">
        <v>3802266.25</v>
      </c>
      <c r="AH145" s="451">
        <v>254.06</v>
      </c>
      <c r="AI145" s="451">
        <v>0</v>
      </c>
      <c r="AJ145" s="451">
        <v>0</v>
      </c>
      <c r="AK145" s="451">
        <v>254.06</v>
      </c>
      <c r="AL145" s="451">
        <v>18821000.100000001</v>
      </c>
      <c r="AM145" s="451">
        <v>0</v>
      </c>
      <c r="AN145" s="451">
        <v>0</v>
      </c>
      <c r="AO145" s="451">
        <v>18821000.100000001</v>
      </c>
      <c r="AP145" s="451">
        <v>1294546.17</v>
      </c>
      <c r="AQ145" s="451">
        <v>0</v>
      </c>
      <c r="AR145" s="451">
        <v>0</v>
      </c>
      <c r="AS145" s="451">
        <v>1294546.17</v>
      </c>
      <c r="AT145" s="451">
        <v>0</v>
      </c>
      <c r="AU145" s="451">
        <v>0</v>
      </c>
      <c r="AV145" s="451">
        <v>0</v>
      </c>
      <c r="AW145" s="451">
        <v>0</v>
      </c>
      <c r="AX145" s="451">
        <v>0</v>
      </c>
      <c r="AY145" s="451">
        <v>0</v>
      </c>
      <c r="AZ145" s="451">
        <v>0</v>
      </c>
      <c r="BA145" s="451">
        <v>0</v>
      </c>
      <c r="BB145" s="451">
        <v>0</v>
      </c>
      <c r="BC145" s="451">
        <v>0</v>
      </c>
      <c r="BD145" s="451">
        <v>0</v>
      </c>
      <c r="BE145" s="451">
        <v>0</v>
      </c>
      <c r="BF145" s="451">
        <v>0</v>
      </c>
      <c r="BG145" s="451">
        <v>0</v>
      </c>
      <c r="BH145" s="451">
        <v>0</v>
      </c>
      <c r="BI145" s="451">
        <v>0</v>
      </c>
      <c r="BJ145" s="451">
        <v>102128.77</v>
      </c>
      <c r="BK145" s="451">
        <v>0</v>
      </c>
      <c r="BL145" s="451">
        <v>0</v>
      </c>
      <c r="BM145" s="451">
        <v>102128.77</v>
      </c>
      <c r="BN145" s="451">
        <v>174961.27</v>
      </c>
      <c r="BO145" s="451">
        <v>0</v>
      </c>
      <c r="BP145" s="451">
        <v>0</v>
      </c>
      <c r="BQ145" s="451">
        <v>174961.27</v>
      </c>
      <c r="BR145" s="451">
        <v>5756297.5099999998</v>
      </c>
      <c r="BS145" s="451">
        <v>0</v>
      </c>
      <c r="BT145" s="451">
        <v>0</v>
      </c>
      <c r="BU145" s="451">
        <v>5756297.5099999998</v>
      </c>
      <c r="BV145" s="451">
        <v>-486400.19</v>
      </c>
      <c r="BW145" s="451">
        <v>0</v>
      </c>
      <c r="BX145" s="451">
        <v>0</v>
      </c>
      <c r="BY145" s="451">
        <v>-486400.19</v>
      </c>
      <c r="BZ145" s="451">
        <v>614643.23</v>
      </c>
      <c r="CA145" s="451">
        <v>0</v>
      </c>
      <c r="CB145" s="451">
        <v>0</v>
      </c>
      <c r="CC145" s="451">
        <v>614643.23</v>
      </c>
      <c r="CD145" s="451">
        <v>14879.65</v>
      </c>
      <c r="CE145" s="451">
        <v>0</v>
      </c>
      <c r="CF145" s="451">
        <v>0</v>
      </c>
      <c r="CG145" s="451">
        <v>14879.65</v>
      </c>
      <c r="CH145" s="451">
        <v>282265.11</v>
      </c>
      <c r="CI145" s="451">
        <v>0</v>
      </c>
      <c r="CJ145" s="451">
        <v>0</v>
      </c>
      <c r="CK145" s="451">
        <v>282265.11</v>
      </c>
      <c r="CL145" s="451">
        <v>65797.100000000006</v>
      </c>
      <c r="CM145" s="451">
        <v>0</v>
      </c>
      <c r="CN145" s="451">
        <v>0</v>
      </c>
      <c r="CO145" s="451">
        <v>65797.100000000006</v>
      </c>
      <c r="CP145" s="451">
        <v>0</v>
      </c>
      <c r="CQ145" s="451">
        <v>0</v>
      </c>
      <c r="CR145" s="451">
        <v>0</v>
      </c>
      <c r="CS145" s="451">
        <v>0</v>
      </c>
      <c r="CT145" s="451">
        <v>0</v>
      </c>
      <c r="CU145" s="451">
        <v>0</v>
      </c>
      <c r="CV145" s="451">
        <v>0</v>
      </c>
      <c r="CW145" s="451">
        <v>0</v>
      </c>
      <c r="CX145" s="451">
        <v>0</v>
      </c>
      <c r="CY145" s="451">
        <v>0</v>
      </c>
      <c r="CZ145" s="451">
        <v>0</v>
      </c>
      <c r="DA145" s="451">
        <v>0</v>
      </c>
      <c r="DB145" s="451">
        <v>0</v>
      </c>
      <c r="DC145" s="451">
        <v>0</v>
      </c>
      <c r="DD145" s="451">
        <v>0</v>
      </c>
      <c r="DE145" s="451">
        <v>0</v>
      </c>
      <c r="DF145" s="451">
        <v>0</v>
      </c>
      <c r="DG145" s="451">
        <v>0</v>
      </c>
      <c r="DH145" s="451">
        <v>0</v>
      </c>
      <c r="DI145" s="451">
        <v>0</v>
      </c>
      <c r="DJ145" s="451">
        <v>0</v>
      </c>
      <c r="DK145" s="451">
        <v>0</v>
      </c>
      <c r="DL145" s="451">
        <v>0</v>
      </c>
      <c r="DM145" s="451">
        <v>0</v>
      </c>
      <c r="DN145" s="451">
        <v>0</v>
      </c>
      <c r="DO145" s="451">
        <v>0</v>
      </c>
      <c r="DP145" s="451">
        <v>0</v>
      </c>
      <c r="DQ145" s="451">
        <v>0</v>
      </c>
      <c r="DR145" s="451">
        <v>0</v>
      </c>
      <c r="DS145" s="451">
        <v>0</v>
      </c>
      <c r="DT145" s="451">
        <v>0</v>
      </c>
      <c r="DU145" s="451">
        <v>0</v>
      </c>
      <c r="DV145" s="451">
        <v>0</v>
      </c>
      <c r="DW145" s="451">
        <v>0</v>
      </c>
      <c r="DX145" s="451">
        <v>0</v>
      </c>
      <c r="DY145" s="451">
        <v>0</v>
      </c>
      <c r="DZ145" s="451">
        <v>0</v>
      </c>
      <c r="EA145" s="451">
        <v>0</v>
      </c>
      <c r="EB145" s="451">
        <v>0</v>
      </c>
      <c r="EC145" s="451">
        <v>0</v>
      </c>
      <c r="ED145" s="451">
        <v>0</v>
      </c>
      <c r="EE145" s="451">
        <v>0</v>
      </c>
      <c r="EF145" s="451">
        <v>0</v>
      </c>
      <c r="EG145" s="451">
        <v>0</v>
      </c>
      <c r="EH145" s="451">
        <v>0</v>
      </c>
      <c r="EI145" s="451">
        <v>0</v>
      </c>
      <c r="EJ145" s="451">
        <v>0</v>
      </c>
      <c r="EK145" s="451">
        <v>0</v>
      </c>
      <c r="EL145" s="451">
        <v>0</v>
      </c>
      <c r="EM145" s="451">
        <v>0</v>
      </c>
    </row>
    <row r="146" spans="1:143" ht="12.75" x14ac:dyDescent="0.2">
      <c r="A146" s="446">
        <v>140</v>
      </c>
      <c r="B146" s="447" t="s">
        <v>163</v>
      </c>
      <c r="C146" s="448" t="s">
        <v>1104</v>
      </c>
      <c r="D146" s="449" t="s">
        <v>1099</v>
      </c>
      <c r="E146" s="450" t="s">
        <v>722</v>
      </c>
      <c r="F146" s="451">
        <v>1217825</v>
      </c>
      <c r="G146" s="451">
        <v>0</v>
      </c>
      <c r="H146" s="451">
        <v>0</v>
      </c>
      <c r="I146" s="451">
        <v>1217825</v>
      </c>
      <c r="J146" s="451">
        <v>-1748328</v>
      </c>
      <c r="K146" s="451">
        <v>0</v>
      </c>
      <c r="L146" s="451">
        <v>0</v>
      </c>
      <c r="M146" s="451">
        <v>-1748328</v>
      </c>
      <c r="N146" s="451">
        <v>75979</v>
      </c>
      <c r="O146" s="451">
        <v>0</v>
      </c>
      <c r="P146" s="451">
        <v>0</v>
      </c>
      <c r="Q146" s="451">
        <v>75979</v>
      </c>
      <c r="R146" s="451">
        <v>437542</v>
      </c>
      <c r="S146" s="451">
        <v>0</v>
      </c>
      <c r="T146" s="451">
        <v>0</v>
      </c>
      <c r="U146" s="451">
        <v>437542</v>
      </c>
      <c r="V146" s="451">
        <v>1390065</v>
      </c>
      <c r="W146" s="451">
        <v>0</v>
      </c>
      <c r="X146" s="451">
        <v>0</v>
      </c>
      <c r="Y146" s="451">
        <v>1390065</v>
      </c>
      <c r="Z146" s="451">
        <v>86797</v>
      </c>
      <c r="AA146" s="451">
        <v>0</v>
      </c>
      <c r="AB146" s="451">
        <v>0</v>
      </c>
      <c r="AC146" s="451">
        <v>86797</v>
      </c>
      <c r="AD146" s="451">
        <v>5574854</v>
      </c>
      <c r="AE146" s="451">
        <v>0</v>
      </c>
      <c r="AF146" s="451">
        <v>0</v>
      </c>
      <c r="AG146" s="451">
        <v>5574854</v>
      </c>
      <c r="AH146" s="451">
        <v>-99877</v>
      </c>
      <c r="AI146" s="451">
        <v>0</v>
      </c>
      <c r="AJ146" s="451">
        <v>0</v>
      </c>
      <c r="AK146" s="451">
        <v>-99877</v>
      </c>
      <c r="AL146" s="451">
        <v>15869001</v>
      </c>
      <c r="AM146" s="451">
        <v>0</v>
      </c>
      <c r="AN146" s="451">
        <v>0</v>
      </c>
      <c r="AO146" s="451">
        <v>15869001</v>
      </c>
      <c r="AP146" s="451">
        <v>243546</v>
      </c>
      <c r="AQ146" s="451">
        <v>0</v>
      </c>
      <c r="AR146" s="451">
        <v>0</v>
      </c>
      <c r="AS146" s="451">
        <v>243546</v>
      </c>
      <c r="AT146" s="451">
        <v>0</v>
      </c>
      <c r="AU146" s="451">
        <v>0</v>
      </c>
      <c r="AV146" s="451">
        <v>0</v>
      </c>
      <c r="AW146" s="451">
        <v>0</v>
      </c>
      <c r="AX146" s="451">
        <v>0</v>
      </c>
      <c r="AY146" s="451">
        <v>0</v>
      </c>
      <c r="AZ146" s="451">
        <v>0</v>
      </c>
      <c r="BA146" s="451">
        <v>0</v>
      </c>
      <c r="BB146" s="451">
        <v>0</v>
      </c>
      <c r="BC146" s="451">
        <v>0</v>
      </c>
      <c r="BD146" s="451">
        <v>0</v>
      </c>
      <c r="BE146" s="451">
        <v>0</v>
      </c>
      <c r="BF146" s="451">
        <v>0</v>
      </c>
      <c r="BG146" s="451">
        <v>0</v>
      </c>
      <c r="BH146" s="451">
        <v>0</v>
      </c>
      <c r="BI146" s="451">
        <v>0</v>
      </c>
      <c r="BJ146" s="451">
        <v>58876</v>
      </c>
      <c r="BK146" s="451">
        <v>0</v>
      </c>
      <c r="BL146" s="451">
        <v>0</v>
      </c>
      <c r="BM146" s="451">
        <v>58876</v>
      </c>
      <c r="BN146" s="451">
        <v>33851</v>
      </c>
      <c r="BO146" s="451">
        <v>0</v>
      </c>
      <c r="BP146" s="451">
        <v>0</v>
      </c>
      <c r="BQ146" s="451">
        <v>33851</v>
      </c>
      <c r="BR146" s="451">
        <v>8391416</v>
      </c>
      <c r="BS146" s="451">
        <v>0</v>
      </c>
      <c r="BT146" s="451">
        <v>0</v>
      </c>
      <c r="BU146" s="451">
        <v>8391416</v>
      </c>
      <c r="BV146" s="451">
        <v>-218175</v>
      </c>
      <c r="BW146" s="451">
        <v>0</v>
      </c>
      <c r="BX146" s="451">
        <v>0</v>
      </c>
      <c r="BY146" s="451">
        <v>-218175</v>
      </c>
      <c r="BZ146" s="451">
        <v>91758</v>
      </c>
      <c r="CA146" s="451">
        <v>0</v>
      </c>
      <c r="CB146" s="451">
        <v>0</v>
      </c>
      <c r="CC146" s="451">
        <v>91758</v>
      </c>
      <c r="CD146" s="451">
        <v>1202</v>
      </c>
      <c r="CE146" s="451">
        <v>0</v>
      </c>
      <c r="CF146" s="451">
        <v>0</v>
      </c>
      <c r="CG146" s="451">
        <v>1202</v>
      </c>
      <c r="CH146" s="451">
        <v>70896</v>
      </c>
      <c r="CI146" s="451">
        <v>0</v>
      </c>
      <c r="CJ146" s="451">
        <v>0</v>
      </c>
      <c r="CK146" s="451">
        <v>70896</v>
      </c>
      <c r="CL146" s="451">
        <v>0</v>
      </c>
      <c r="CM146" s="451">
        <v>0</v>
      </c>
      <c r="CN146" s="451">
        <v>0</v>
      </c>
      <c r="CO146" s="451">
        <v>0</v>
      </c>
      <c r="CP146" s="451">
        <v>0</v>
      </c>
      <c r="CQ146" s="451">
        <v>0</v>
      </c>
      <c r="CR146" s="451">
        <v>0</v>
      </c>
      <c r="CS146" s="451">
        <v>0</v>
      </c>
      <c r="CT146" s="451">
        <v>0</v>
      </c>
      <c r="CU146" s="451">
        <v>0</v>
      </c>
      <c r="CV146" s="451">
        <v>0</v>
      </c>
      <c r="CW146" s="451">
        <v>0</v>
      </c>
      <c r="CX146" s="451">
        <v>0</v>
      </c>
      <c r="CY146" s="451">
        <v>0</v>
      </c>
      <c r="CZ146" s="451">
        <v>0</v>
      </c>
      <c r="DA146" s="451">
        <v>0</v>
      </c>
      <c r="DB146" s="451">
        <v>0</v>
      </c>
      <c r="DC146" s="451">
        <v>0</v>
      </c>
      <c r="DD146" s="451">
        <v>0</v>
      </c>
      <c r="DE146" s="451">
        <v>0</v>
      </c>
      <c r="DF146" s="451">
        <v>0</v>
      </c>
      <c r="DG146" s="451">
        <v>0</v>
      </c>
      <c r="DH146" s="451">
        <v>0</v>
      </c>
      <c r="DI146" s="451">
        <v>0</v>
      </c>
      <c r="DJ146" s="451">
        <v>0</v>
      </c>
      <c r="DK146" s="451">
        <v>0</v>
      </c>
      <c r="DL146" s="451">
        <v>0</v>
      </c>
      <c r="DM146" s="451">
        <v>0</v>
      </c>
      <c r="DN146" s="451">
        <v>0</v>
      </c>
      <c r="DO146" s="451">
        <v>0</v>
      </c>
      <c r="DP146" s="451">
        <v>0</v>
      </c>
      <c r="DQ146" s="451">
        <v>0</v>
      </c>
      <c r="DR146" s="451">
        <v>0</v>
      </c>
      <c r="DS146" s="451">
        <v>0</v>
      </c>
      <c r="DT146" s="451">
        <v>0</v>
      </c>
      <c r="DU146" s="451">
        <v>0</v>
      </c>
      <c r="DV146" s="451">
        <v>0</v>
      </c>
      <c r="DW146" s="451">
        <v>0</v>
      </c>
      <c r="DX146" s="451">
        <v>0</v>
      </c>
      <c r="DY146" s="451">
        <v>0</v>
      </c>
      <c r="DZ146" s="451">
        <v>0</v>
      </c>
      <c r="EA146" s="451">
        <v>0</v>
      </c>
      <c r="EB146" s="451">
        <v>0</v>
      </c>
      <c r="EC146" s="451">
        <v>0</v>
      </c>
      <c r="ED146" s="451">
        <v>0</v>
      </c>
      <c r="EE146" s="451">
        <v>0</v>
      </c>
      <c r="EF146" s="451">
        <v>20011</v>
      </c>
      <c r="EG146" s="451">
        <v>0</v>
      </c>
      <c r="EH146" s="451">
        <v>0</v>
      </c>
      <c r="EI146" s="451">
        <v>20011</v>
      </c>
      <c r="EJ146" s="451">
        <v>0</v>
      </c>
      <c r="EK146" s="451">
        <v>0</v>
      </c>
      <c r="EL146" s="451">
        <v>0</v>
      </c>
      <c r="EM146" s="451">
        <v>0</v>
      </c>
    </row>
    <row r="147" spans="1:143" ht="12.75" x14ac:dyDescent="0.2">
      <c r="A147" s="446">
        <v>141</v>
      </c>
      <c r="B147" s="447" t="s">
        <v>165</v>
      </c>
      <c r="C147" s="448" t="s">
        <v>1093</v>
      </c>
      <c r="D147" s="449" t="s">
        <v>1096</v>
      </c>
      <c r="E147" s="450" t="s">
        <v>164</v>
      </c>
      <c r="F147" s="451">
        <v>19824</v>
      </c>
      <c r="G147" s="451">
        <v>0</v>
      </c>
      <c r="H147" s="451">
        <v>0</v>
      </c>
      <c r="I147" s="451">
        <v>19824</v>
      </c>
      <c r="J147" s="451">
        <v>-43748</v>
      </c>
      <c r="K147" s="451">
        <v>0</v>
      </c>
      <c r="L147" s="451">
        <v>0</v>
      </c>
      <c r="M147" s="451">
        <v>-43748</v>
      </c>
      <c r="N147" s="451">
        <v>45769</v>
      </c>
      <c r="O147" s="451">
        <v>0</v>
      </c>
      <c r="P147" s="451">
        <v>0</v>
      </c>
      <c r="Q147" s="451">
        <v>45769</v>
      </c>
      <c r="R147" s="451">
        <v>225961</v>
      </c>
      <c r="S147" s="451">
        <v>0</v>
      </c>
      <c r="T147" s="451">
        <v>0</v>
      </c>
      <c r="U147" s="451">
        <v>225961</v>
      </c>
      <c r="V147" s="451">
        <v>1493984</v>
      </c>
      <c r="W147" s="451">
        <v>0</v>
      </c>
      <c r="X147" s="451">
        <v>0</v>
      </c>
      <c r="Y147" s="451">
        <v>1493984</v>
      </c>
      <c r="Z147" s="451">
        <v>50359</v>
      </c>
      <c r="AA147" s="451">
        <v>0</v>
      </c>
      <c r="AB147" s="451">
        <v>0</v>
      </c>
      <c r="AC147" s="451">
        <v>50359</v>
      </c>
      <c r="AD147" s="451">
        <v>601058</v>
      </c>
      <c r="AE147" s="451">
        <v>0</v>
      </c>
      <c r="AF147" s="451">
        <v>0</v>
      </c>
      <c r="AG147" s="451">
        <v>601058</v>
      </c>
      <c r="AH147" s="451">
        <v>5851</v>
      </c>
      <c r="AI147" s="451">
        <v>0</v>
      </c>
      <c r="AJ147" s="451">
        <v>0</v>
      </c>
      <c r="AK147" s="451">
        <v>5851</v>
      </c>
      <c r="AL147" s="451">
        <v>2451279</v>
      </c>
      <c r="AM147" s="451">
        <v>0</v>
      </c>
      <c r="AN147" s="451">
        <v>0</v>
      </c>
      <c r="AO147" s="451">
        <v>2451279</v>
      </c>
      <c r="AP147" s="451">
        <v>409412</v>
      </c>
      <c r="AQ147" s="451">
        <v>0</v>
      </c>
      <c r="AR147" s="451">
        <v>0</v>
      </c>
      <c r="AS147" s="451">
        <v>409412</v>
      </c>
      <c r="AT147" s="451">
        <v>67183</v>
      </c>
      <c r="AU147" s="451">
        <v>0</v>
      </c>
      <c r="AV147" s="451">
        <v>0</v>
      </c>
      <c r="AW147" s="451">
        <v>67183</v>
      </c>
      <c r="AX147" s="451">
        <v>214</v>
      </c>
      <c r="AY147" s="451">
        <v>0</v>
      </c>
      <c r="AZ147" s="451">
        <v>0</v>
      </c>
      <c r="BA147" s="451">
        <v>214</v>
      </c>
      <c r="BB147" s="451">
        <v>10956</v>
      </c>
      <c r="BC147" s="451">
        <v>0</v>
      </c>
      <c r="BD147" s="451">
        <v>0</v>
      </c>
      <c r="BE147" s="451">
        <v>10956</v>
      </c>
      <c r="BF147" s="451">
        <v>0</v>
      </c>
      <c r="BG147" s="451">
        <v>0</v>
      </c>
      <c r="BH147" s="451">
        <v>0</v>
      </c>
      <c r="BI147" s="451">
        <v>0</v>
      </c>
      <c r="BJ147" s="451">
        <v>0</v>
      </c>
      <c r="BK147" s="451">
        <v>0</v>
      </c>
      <c r="BL147" s="451">
        <v>0</v>
      </c>
      <c r="BM147" s="451">
        <v>0</v>
      </c>
      <c r="BN147" s="451">
        <v>1777</v>
      </c>
      <c r="BO147" s="451">
        <v>0</v>
      </c>
      <c r="BP147" s="451">
        <v>0</v>
      </c>
      <c r="BQ147" s="451">
        <v>1777</v>
      </c>
      <c r="BR147" s="451">
        <v>377914</v>
      </c>
      <c r="BS147" s="451">
        <v>0</v>
      </c>
      <c r="BT147" s="451">
        <v>0</v>
      </c>
      <c r="BU147" s="451">
        <v>377914</v>
      </c>
      <c r="BV147" s="451">
        <v>-24302</v>
      </c>
      <c r="BW147" s="451">
        <v>0</v>
      </c>
      <c r="BX147" s="451">
        <v>0</v>
      </c>
      <c r="BY147" s="451">
        <v>-24302</v>
      </c>
      <c r="BZ147" s="451">
        <v>17172</v>
      </c>
      <c r="CA147" s="451">
        <v>0</v>
      </c>
      <c r="CB147" s="451">
        <v>0</v>
      </c>
      <c r="CC147" s="451">
        <v>17172</v>
      </c>
      <c r="CD147" s="451">
        <v>96</v>
      </c>
      <c r="CE147" s="451">
        <v>0</v>
      </c>
      <c r="CF147" s="451">
        <v>0</v>
      </c>
      <c r="CG147" s="451">
        <v>96</v>
      </c>
      <c r="CH147" s="451">
        <v>33233</v>
      </c>
      <c r="CI147" s="451">
        <v>0</v>
      </c>
      <c r="CJ147" s="451">
        <v>0</v>
      </c>
      <c r="CK147" s="451">
        <v>33233</v>
      </c>
      <c r="CL147" s="451">
        <v>0</v>
      </c>
      <c r="CM147" s="451">
        <v>0</v>
      </c>
      <c r="CN147" s="451">
        <v>0</v>
      </c>
      <c r="CO147" s="451">
        <v>0</v>
      </c>
      <c r="CP147" s="451">
        <v>2475</v>
      </c>
      <c r="CQ147" s="451">
        <v>0</v>
      </c>
      <c r="CR147" s="451">
        <v>0</v>
      </c>
      <c r="CS147" s="451">
        <v>2475</v>
      </c>
      <c r="CT147" s="451">
        <v>27</v>
      </c>
      <c r="CU147" s="451">
        <v>0</v>
      </c>
      <c r="CV147" s="451">
        <v>0</v>
      </c>
      <c r="CW147" s="451">
        <v>27</v>
      </c>
      <c r="CX147" s="451">
        <v>2409</v>
      </c>
      <c r="CY147" s="451">
        <v>0</v>
      </c>
      <c r="CZ147" s="451">
        <v>0</v>
      </c>
      <c r="DA147" s="451">
        <v>2409</v>
      </c>
      <c r="DB147" s="451">
        <v>264</v>
      </c>
      <c r="DC147" s="451">
        <v>0</v>
      </c>
      <c r="DD147" s="451">
        <v>0</v>
      </c>
      <c r="DE147" s="451">
        <v>264</v>
      </c>
      <c r="DF147" s="451">
        <v>0</v>
      </c>
      <c r="DG147" s="451">
        <v>0</v>
      </c>
      <c r="DH147" s="451">
        <v>0</v>
      </c>
      <c r="DI147" s="451">
        <v>0</v>
      </c>
      <c r="DJ147" s="451">
        <v>0</v>
      </c>
      <c r="DK147" s="451">
        <v>0</v>
      </c>
      <c r="DL147" s="451">
        <v>0</v>
      </c>
      <c r="DM147" s="451">
        <v>0</v>
      </c>
      <c r="DN147" s="451">
        <v>0</v>
      </c>
      <c r="DO147" s="451">
        <v>0</v>
      </c>
      <c r="DP147" s="451">
        <v>0</v>
      </c>
      <c r="DQ147" s="451">
        <v>0</v>
      </c>
      <c r="DR147" s="451">
        <v>0</v>
      </c>
      <c r="DS147" s="451">
        <v>0</v>
      </c>
      <c r="DT147" s="451">
        <v>0</v>
      </c>
      <c r="DU147" s="451">
        <v>0</v>
      </c>
      <c r="DV147" s="451">
        <v>0</v>
      </c>
      <c r="DW147" s="451">
        <v>0</v>
      </c>
      <c r="DX147" s="451">
        <v>0</v>
      </c>
      <c r="DY147" s="451">
        <v>0</v>
      </c>
      <c r="DZ147" s="451">
        <v>0</v>
      </c>
      <c r="EA147" s="451">
        <v>0</v>
      </c>
      <c r="EB147" s="451">
        <v>0</v>
      </c>
      <c r="EC147" s="451">
        <v>0</v>
      </c>
      <c r="ED147" s="451">
        <v>0</v>
      </c>
      <c r="EE147" s="451">
        <v>0</v>
      </c>
      <c r="EF147" s="451">
        <v>0</v>
      </c>
      <c r="EG147" s="451">
        <v>0</v>
      </c>
      <c r="EH147" s="451">
        <v>0</v>
      </c>
      <c r="EI147" s="451">
        <v>0</v>
      </c>
      <c r="EJ147" s="451">
        <v>0</v>
      </c>
      <c r="EK147" s="451">
        <v>0</v>
      </c>
      <c r="EL147" s="451">
        <v>0</v>
      </c>
      <c r="EM147" s="451">
        <v>0</v>
      </c>
    </row>
    <row r="148" spans="1:143" ht="12.75" x14ac:dyDescent="0.2">
      <c r="A148" s="446">
        <v>142</v>
      </c>
      <c r="B148" s="447" t="s">
        <v>167</v>
      </c>
      <c r="C148" s="448" t="s">
        <v>1093</v>
      </c>
      <c r="D148" s="449" t="s">
        <v>1097</v>
      </c>
      <c r="E148" s="450" t="s">
        <v>1115</v>
      </c>
      <c r="F148" s="451">
        <v>561736.97</v>
      </c>
      <c r="G148" s="451">
        <v>0</v>
      </c>
      <c r="H148" s="451">
        <v>0</v>
      </c>
      <c r="I148" s="451">
        <v>561736.97</v>
      </c>
      <c r="J148" s="451">
        <v>-47262.84</v>
      </c>
      <c r="K148" s="451">
        <v>0</v>
      </c>
      <c r="L148" s="451">
        <v>0</v>
      </c>
      <c r="M148" s="451">
        <v>-47262.84</v>
      </c>
      <c r="N148" s="451">
        <v>23618.09</v>
      </c>
      <c r="O148" s="451">
        <v>0</v>
      </c>
      <c r="P148" s="451">
        <v>0</v>
      </c>
      <c r="Q148" s="451">
        <v>23618.09</v>
      </c>
      <c r="R148" s="451">
        <v>89517</v>
      </c>
      <c r="S148" s="451">
        <v>0</v>
      </c>
      <c r="T148" s="451">
        <v>0</v>
      </c>
      <c r="U148" s="451">
        <v>89517</v>
      </c>
      <c r="V148" s="451">
        <v>3079238</v>
      </c>
      <c r="W148" s="451">
        <v>0</v>
      </c>
      <c r="X148" s="451">
        <v>0</v>
      </c>
      <c r="Y148" s="451">
        <v>3079238</v>
      </c>
      <c r="Z148" s="451">
        <v>182046</v>
      </c>
      <c r="AA148" s="451">
        <v>0</v>
      </c>
      <c r="AB148" s="451">
        <v>0</v>
      </c>
      <c r="AC148" s="451">
        <v>182046</v>
      </c>
      <c r="AD148" s="451">
        <v>819845</v>
      </c>
      <c r="AE148" s="451">
        <v>0</v>
      </c>
      <c r="AF148" s="451">
        <v>0</v>
      </c>
      <c r="AG148" s="451">
        <v>819845</v>
      </c>
      <c r="AH148" s="451">
        <v>-7322</v>
      </c>
      <c r="AI148" s="451">
        <v>0</v>
      </c>
      <c r="AJ148" s="451">
        <v>0</v>
      </c>
      <c r="AK148" s="451">
        <v>-7322</v>
      </c>
      <c r="AL148" s="451">
        <v>2043324</v>
      </c>
      <c r="AM148" s="451">
        <v>0</v>
      </c>
      <c r="AN148" s="451">
        <v>0</v>
      </c>
      <c r="AO148" s="451">
        <v>2043324</v>
      </c>
      <c r="AP148" s="451">
        <v>52230</v>
      </c>
      <c r="AQ148" s="451">
        <v>0</v>
      </c>
      <c r="AR148" s="451">
        <v>0</v>
      </c>
      <c r="AS148" s="451">
        <v>52230</v>
      </c>
      <c r="AT148" s="451">
        <v>22802</v>
      </c>
      <c r="AU148" s="451">
        <v>0</v>
      </c>
      <c r="AV148" s="451">
        <v>0</v>
      </c>
      <c r="AW148" s="451">
        <v>22802</v>
      </c>
      <c r="AX148" s="451">
        <v>0</v>
      </c>
      <c r="AY148" s="451">
        <v>0</v>
      </c>
      <c r="AZ148" s="451">
        <v>0</v>
      </c>
      <c r="BA148" s="451">
        <v>0</v>
      </c>
      <c r="BB148" s="451">
        <v>74776</v>
      </c>
      <c r="BC148" s="451">
        <v>0</v>
      </c>
      <c r="BD148" s="451">
        <v>0</v>
      </c>
      <c r="BE148" s="451">
        <v>74776</v>
      </c>
      <c r="BF148" s="451">
        <v>2054</v>
      </c>
      <c r="BG148" s="451">
        <v>0</v>
      </c>
      <c r="BH148" s="451">
        <v>0</v>
      </c>
      <c r="BI148" s="451">
        <v>2054</v>
      </c>
      <c r="BJ148" s="451">
        <v>10980</v>
      </c>
      <c r="BK148" s="451">
        <v>0</v>
      </c>
      <c r="BL148" s="451">
        <v>0</v>
      </c>
      <c r="BM148" s="451">
        <v>10980</v>
      </c>
      <c r="BN148" s="451">
        <v>-214</v>
      </c>
      <c r="BO148" s="451">
        <v>0</v>
      </c>
      <c r="BP148" s="451">
        <v>0</v>
      </c>
      <c r="BQ148" s="451">
        <v>-214</v>
      </c>
      <c r="BR148" s="451">
        <v>1359194</v>
      </c>
      <c r="BS148" s="451">
        <v>0</v>
      </c>
      <c r="BT148" s="451">
        <v>0</v>
      </c>
      <c r="BU148" s="451">
        <v>1359194</v>
      </c>
      <c r="BV148" s="451">
        <v>11789</v>
      </c>
      <c r="BW148" s="451">
        <v>0</v>
      </c>
      <c r="BX148" s="451">
        <v>0</v>
      </c>
      <c r="BY148" s="451">
        <v>11789</v>
      </c>
      <c r="BZ148" s="451">
        <v>93790</v>
      </c>
      <c r="CA148" s="451">
        <v>0</v>
      </c>
      <c r="CB148" s="451">
        <v>0</v>
      </c>
      <c r="CC148" s="451">
        <v>93790</v>
      </c>
      <c r="CD148" s="451">
        <v>1476</v>
      </c>
      <c r="CE148" s="451">
        <v>0</v>
      </c>
      <c r="CF148" s="451">
        <v>0</v>
      </c>
      <c r="CG148" s="451">
        <v>1476</v>
      </c>
      <c r="CH148" s="451">
        <v>52840</v>
      </c>
      <c r="CI148" s="451">
        <v>0</v>
      </c>
      <c r="CJ148" s="451">
        <v>0</v>
      </c>
      <c r="CK148" s="451">
        <v>52840</v>
      </c>
      <c r="CL148" s="451">
        <v>0</v>
      </c>
      <c r="CM148" s="451">
        <v>0</v>
      </c>
      <c r="CN148" s="451">
        <v>0</v>
      </c>
      <c r="CO148" s="451">
        <v>0</v>
      </c>
      <c r="CP148" s="451">
        <v>0</v>
      </c>
      <c r="CQ148" s="451">
        <v>0</v>
      </c>
      <c r="CR148" s="451">
        <v>0</v>
      </c>
      <c r="CS148" s="451">
        <v>0</v>
      </c>
      <c r="CT148" s="451">
        <v>0</v>
      </c>
      <c r="CU148" s="451">
        <v>0</v>
      </c>
      <c r="CV148" s="451">
        <v>0</v>
      </c>
      <c r="CW148" s="451">
        <v>0</v>
      </c>
      <c r="CX148" s="451">
        <v>31869</v>
      </c>
      <c r="CY148" s="451">
        <v>0</v>
      </c>
      <c r="CZ148" s="451">
        <v>0</v>
      </c>
      <c r="DA148" s="451">
        <v>31869</v>
      </c>
      <c r="DB148" s="451">
        <v>0</v>
      </c>
      <c r="DC148" s="451">
        <v>0</v>
      </c>
      <c r="DD148" s="451">
        <v>0</v>
      </c>
      <c r="DE148" s="451">
        <v>0</v>
      </c>
      <c r="DF148" s="451">
        <v>26403</v>
      </c>
      <c r="DG148" s="451">
        <v>0</v>
      </c>
      <c r="DH148" s="451">
        <v>0</v>
      </c>
      <c r="DI148" s="451">
        <v>26403</v>
      </c>
      <c r="DJ148" s="451">
        <v>0</v>
      </c>
      <c r="DK148" s="451">
        <v>0</v>
      </c>
      <c r="DL148" s="451">
        <v>0</v>
      </c>
      <c r="DM148" s="451">
        <v>0</v>
      </c>
      <c r="DN148" s="451">
        <v>0</v>
      </c>
      <c r="DO148" s="451">
        <v>0</v>
      </c>
      <c r="DP148" s="451">
        <v>0</v>
      </c>
      <c r="DQ148" s="451">
        <v>0</v>
      </c>
      <c r="DR148" s="451">
        <v>0</v>
      </c>
      <c r="DS148" s="451">
        <v>0</v>
      </c>
      <c r="DT148" s="451">
        <v>0</v>
      </c>
      <c r="DU148" s="451">
        <v>0</v>
      </c>
      <c r="DV148" s="451">
        <v>0</v>
      </c>
      <c r="DW148" s="451">
        <v>0</v>
      </c>
      <c r="DX148" s="451">
        <v>900</v>
      </c>
      <c r="DY148" s="451">
        <v>0</v>
      </c>
      <c r="DZ148" s="451">
        <v>0</v>
      </c>
      <c r="EA148" s="451">
        <v>900</v>
      </c>
      <c r="EB148" s="451">
        <v>0</v>
      </c>
      <c r="EC148" s="451">
        <v>0</v>
      </c>
      <c r="ED148" s="451">
        <v>0</v>
      </c>
      <c r="EE148" s="451">
        <v>0</v>
      </c>
      <c r="EF148" s="451">
        <v>45679</v>
      </c>
      <c r="EG148" s="451">
        <v>0</v>
      </c>
      <c r="EH148" s="451">
        <v>0</v>
      </c>
      <c r="EI148" s="451">
        <v>45679</v>
      </c>
      <c r="EJ148" s="451">
        <v>24</v>
      </c>
      <c r="EK148" s="451">
        <v>0</v>
      </c>
      <c r="EL148" s="451">
        <v>0</v>
      </c>
      <c r="EM148" s="451">
        <v>24</v>
      </c>
    </row>
    <row r="149" spans="1:143" ht="12.75" x14ac:dyDescent="0.2">
      <c r="A149" s="446">
        <v>143</v>
      </c>
      <c r="B149" s="447" t="s">
        <v>169</v>
      </c>
      <c r="C149" s="448" t="s">
        <v>794</v>
      </c>
      <c r="D149" s="449" t="s">
        <v>1101</v>
      </c>
      <c r="E149" s="450" t="s">
        <v>1116</v>
      </c>
      <c r="F149" s="451">
        <v>271513</v>
      </c>
      <c r="G149" s="451">
        <v>0</v>
      </c>
      <c r="H149" s="451">
        <v>0</v>
      </c>
      <c r="I149" s="451">
        <v>271513</v>
      </c>
      <c r="J149" s="451">
        <v>-347652</v>
      </c>
      <c r="K149" s="451">
        <v>0</v>
      </c>
      <c r="L149" s="451">
        <v>0</v>
      </c>
      <c r="M149" s="451">
        <v>-347652</v>
      </c>
      <c r="N149" s="451">
        <v>924740</v>
      </c>
      <c r="O149" s="451">
        <v>0</v>
      </c>
      <c r="P149" s="451">
        <v>0</v>
      </c>
      <c r="Q149" s="451">
        <v>924740</v>
      </c>
      <c r="R149" s="451">
        <v>2058731</v>
      </c>
      <c r="S149" s="451">
        <v>0</v>
      </c>
      <c r="T149" s="451">
        <v>0</v>
      </c>
      <c r="U149" s="451">
        <v>2058731</v>
      </c>
      <c r="V149" s="451">
        <v>5207245</v>
      </c>
      <c r="W149" s="451">
        <v>0</v>
      </c>
      <c r="X149" s="451">
        <v>0</v>
      </c>
      <c r="Y149" s="451">
        <v>5207245</v>
      </c>
      <c r="Z149" s="451">
        <v>317731</v>
      </c>
      <c r="AA149" s="451">
        <v>0</v>
      </c>
      <c r="AB149" s="451">
        <v>0</v>
      </c>
      <c r="AC149" s="451">
        <v>317731</v>
      </c>
      <c r="AD149" s="451">
        <v>1761071</v>
      </c>
      <c r="AE149" s="451">
        <v>0</v>
      </c>
      <c r="AF149" s="451">
        <v>657</v>
      </c>
      <c r="AG149" s="451">
        <v>1761728</v>
      </c>
      <c r="AH149" s="451">
        <v>-676690</v>
      </c>
      <c r="AI149" s="451">
        <v>0</v>
      </c>
      <c r="AJ149" s="451">
        <v>0</v>
      </c>
      <c r="AK149" s="451">
        <v>-676690</v>
      </c>
      <c r="AL149" s="451">
        <v>5589432</v>
      </c>
      <c r="AM149" s="451">
        <v>0</v>
      </c>
      <c r="AN149" s="451">
        <v>0</v>
      </c>
      <c r="AO149" s="451">
        <v>5589432</v>
      </c>
      <c r="AP149" s="451">
        <v>-165233</v>
      </c>
      <c r="AQ149" s="451">
        <v>0</v>
      </c>
      <c r="AR149" s="451">
        <v>0</v>
      </c>
      <c r="AS149" s="451">
        <v>-165233</v>
      </c>
      <c r="AT149" s="451">
        <v>24285</v>
      </c>
      <c r="AU149" s="451">
        <v>0</v>
      </c>
      <c r="AV149" s="451">
        <v>0</v>
      </c>
      <c r="AW149" s="451">
        <v>24285</v>
      </c>
      <c r="AX149" s="451">
        <v>0</v>
      </c>
      <c r="AY149" s="451">
        <v>0</v>
      </c>
      <c r="AZ149" s="451">
        <v>0</v>
      </c>
      <c r="BA149" s="451">
        <v>0</v>
      </c>
      <c r="BB149" s="451">
        <v>0</v>
      </c>
      <c r="BC149" s="451">
        <v>0</v>
      </c>
      <c r="BD149" s="451">
        <v>0</v>
      </c>
      <c r="BE149" s="451">
        <v>0</v>
      </c>
      <c r="BF149" s="451">
        <v>0</v>
      </c>
      <c r="BG149" s="451">
        <v>0</v>
      </c>
      <c r="BH149" s="451">
        <v>0</v>
      </c>
      <c r="BI149" s="451">
        <v>0</v>
      </c>
      <c r="BJ149" s="451">
        <v>16251</v>
      </c>
      <c r="BK149" s="451">
        <v>0</v>
      </c>
      <c r="BL149" s="451">
        <v>0</v>
      </c>
      <c r="BM149" s="451">
        <v>16251</v>
      </c>
      <c r="BN149" s="451">
        <v>-4624</v>
      </c>
      <c r="BO149" s="451">
        <v>0</v>
      </c>
      <c r="BP149" s="451">
        <v>0</v>
      </c>
      <c r="BQ149" s="451">
        <v>-4624</v>
      </c>
      <c r="BR149" s="451">
        <v>4064418</v>
      </c>
      <c r="BS149" s="451">
        <v>0</v>
      </c>
      <c r="BT149" s="451">
        <v>0</v>
      </c>
      <c r="BU149" s="451">
        <v>4064418</v>
      </c>
      <c r="BV149" s="451">
        <v>223111</v>
      </c>
      <c r="BW149" s="451">
        <v>0</v>
      </c>
      <c r="BX149" s="451">
        <v>0</v>
      </c>
      <c r="BY149" s="451">
        <v>223111</v>
      </c>
      <c r="BZ149" s="451">
        <v>5630</v>
      </c>
      <c r="CA149" s="451">
        <v>0</v>
      </c>
      <c r="CB149" s="451">
        <v>0</v>
      </c>
      <c r="CC149" s="451">
        <v>5630</v>
      </c>
      <c r="CD149" s="451">
        <v>951</v>
      </c>
      <c r="CE149" s="451">
        <v>0</v>
      </c>
      <c r="CF149" s="451">
        <v>0</v>
      </c>
      <c r="CG149" s="451">
        <v>951</v>
      </c>
      <c r="CH149" s="451">
        <v>6953</v>
      </c>
      <c r="CI149" s="451">
        <v>0</v>
      </c>
      <c r="CJ149" s="451">
        <v>0</v>
      </c>
      <c r="CK149" s="451">
        <v>6953</v>
      </c>
      <c r="CL149" s="451">
        <v>0</v>
      </c>
      <c r="CM149" s="451">
        <v>0</v>
      </c>
      <c r="CN149" s="451">
        <v>0</v>
      </c>
      <c r="CO149" s="451">
        <v>0</v>
      </c>
      <c r="CP149" s="451">
        <v>0</v>
      </c>
      <c r="CQ149" s="451">
        <v>0</v>
      </c>
      <c r="CR149" s="451">
        <v>0</v>
      </c>
      <c r="CS149" s="451">
        <v>0</v>
      </c>
      <c r="CT149" s="451">
        <v>0</v>
      </c>
      <c r="CU149" s="451">
        <v>0</v>
      </c>
      <c r="CV149" s="451">
        <v>0</v>
      </c>
      <c r="CW149" s="451">
        <v>0</v>
      </c>
      <c r="CX149" s="451">
        <v>0</v>
      </c>
      <c r="CY149" s="451">
        <v>0</v>
      </c>
      <c r="CZ149" s="451">
        <v>0</v>
      </c>
      <c r="DA149" s="451">
        <v>0</v>
      </c>
      <c r="DB149" s="451">
        <v>0</v>
      </c>
      <c r="DC149" s="451">
        <v>0</v>
      </c>
      <c r="DD149" s="451">
        <v>0</v>
      </c>
      <c r="DE149" s="451">
        <v>0</v>
      </c>
      <c r="DF149" s="451">
        <v>0</v>
      </c>
      <c r="DG149" s="451">
        <v>0</v>
      </c>
      <c r="DH149" s="451">
        <v>0</v>
      </c>
      <c r="DI149" s="451">
        <v>0</v>
      </c>
      <c r="DJ149" s="451">
        <v>0</v>
      </c>
      <c r="DK149" s="451">
        <v>0</v>
      </c>
      <c r="DL149" s="451">
        <v>0</v>
      </c>
      <c r="DM149" s="451">
        <v>0</v>
      </c>
      <c r="DN149" s="451">
        <v>0</v>
      </c>
      <c r="DO149" s="451">
        <v>0</v>
      </c>
      <c r="DP149" s="451">
        <v>0</v>
      </c>
      <c r="DQ149" s="451">
        <v>0</v>
      </c>
      <c r="DR149" s="451">
        <v>0</v>
      </c>
      <c r="DS149" s="451">
        <v>0</v>
      </c>
      <c r="DT149" s="451">
        <v>0</v>
      </c>
      <c r="DU149" s="451">
        <v>0</v>
      </c>
      <c r="DV149" s="451">
        <v>0</v>
      </c>
      <c r="DW149" s="451">
        <v>0</v>
      </c>
      <c r="DX149" s="451">
        <v>0</v>
      </c>
      <c r="DY149" s="451">
        <v>0</v>
      </c>
      <c r="DZ149" s="451">
        <v>0</v>
      </c>
      <c r="EA149" s="451">
        <v>0</v>
      </c>
      <c r="EB149" s="451">
        <v>157147</v>
      </c>
      <c r="EC149" s="451">
        <v>0</v>
      </c>
      <c r="ED149" s="451">
        <v>0</v>
      </c>
      <c r="EE149" s="451">
        <v>157147</v>
      </c>
      <c r="EF149" s="451">
        <v>0</v>
      </c>
      <c r="EG149" s="451">
        <v>0</v>
      </c>
      <c r="EH149" s="451">
        <v>0</v>
      </c>
      <c r="EI149" s="451">
        <v>0</v>
      </c>
      <c r="EJ149" s="451">
        <v>0</v>
      </c>
      <c r="EK149" s="451">
        <v>0</v>
      </c>
      <c r="EL149" s="451">
        <v>0</v>
      </c>
      <c r="EM149" s="451">
        <v>0</v>
      </c>
    </row>
    <row r="150" spans="1:143" ht="12.75" x14ac:dyDescent="0.2">
      <c r="A150" s="446">
        <v>144</v>
      </c>
      <c r="B150" s="447" t="s">
        <v>171</v>
      </c>
      <c r="C150" s="448" t="s">
        <v>1098</v>
      </c>
      <c r="D150" s="449" t="s">
        <v>1099</v>
      </c>
      <c r="E150" s="450" t="s">
        <v>170</v>
      </c>
      <c r="F150" s="451">
        <v>43823.95</v>
      </c>
      <c r="G150" s="451">
        <v>0</v>
      </c>
      <c r="H150" s="451">
        <v>0</v>
      </c>
      <c r="I150" s="451">
        <v>43823.95</v>
      </c>
      <c r="J150" s="451">
        <v>-165797.82999999999</v>
      </c>
      <c r="K150" s="451">
        <v>0</v>
      </c>
      <c r="L150" s="451">
        <v>0</v>
      </c>
      <c r="M150" s="451">
        <v>-165797.82999999999</v>
      </c>
      <c r="N150" s="451">
        <v>33951.81</v>
      </c>
      <c r="O150" s="451">
        <v>0</v>
      </c>
      <c r="P150" s="451">
        <v>0</v>
      </c>
      <c r="Q150" s="451">
        <v>33951.81</v>
      </c>
      <c r="R150" s="451">
        <v>379500.81</v>
      </c>
      <c r="S150" s="451">
        <v>0</v>
      </c>
      <c r="T150" s="451">
        <v>0</v>
      </c>
      <c r="U150" s="451">
        <v>379500.81</v>
      </c>
      <c r="V150" s="451">
        <v>2292187.38</v>
      </c>
      <c r="W150" s="451">
        <v>0</v>
      </c>
      <c r="X150" s="451">
        <v>0</v>
      </c>
      <c r="Y150" s="451">
        <v>2292187.38</v>
      </c>
      <c r="Z150" s="451">
        <v>102606.32</v>
      </c>
      <c r="AA150" s="451">
        <v>0</v>
      </c>
      <c r="AB150" s="451">
        <v>0</v>
      </c>
      <c r="AC150" s="451">
        <v>102606.32</v>
      </c>
      <c r="AD150" s="451">
        <v>1576838.35</v>
      </c>
      <c r="AE150" s="451">
        <v>0</v>
      </c>
      <c r="AF150" s="451">
        <v>0</v>
      </c>
      <c r="AG150" s="451">
        <v>1576838.35</v>
      </c>
      <c r="AH150" s="451">
        <v>-23895.96</v>
      </c>
      <c r="AI150" s="451">
        <v>0</v>
      </c>
      <c r="AJ150" s="451">
        <v>0</v>
      </c>
      <c r="AK150" s="451">
        <v>-23895.96</v>
      </c>
      <c r="AL150" s="451">
        <v>5537819.0999999996</v>
      </c>
      <c r="AM150" s="451">
        <v>0</v>
      </c>
      <c r="AN150" s="451">
        <v>0</v>
      </c>
      <c r="AO150" s="451">
        <v>5537819.0999999996</v>
      </c>
      <c r="AP150" s="451">
        <v>-93055.93</v>
      </c>
      <c r="AQ150" s="451">
        <v>0</v>
      </c>
      <c r="AR150" s="451">
        <v>0</v>
      </c>
      <c r="AS150" s="451">
        <v>-93055.93</v>
      </c>
      <c r="AT150" s="451">
        <v>66279.12</v>
      </c>
      <c r="AU150" s="451">
        <v>0</v>
      </c>
      <c r="AV150" s="451">
        <v>0</v>
      </c>
      <c r="AW150" s="451">
        <v>66279.12</v>
      </c>
      <c r="AX150" s="451">
        <v>0</v>
      </c>
      <c r="AY150" s="451">
        <v>0</v>
      </c>
      <c r="AZ150" s="451">
        <v>0</v>
      </c>
      <c r="BA150" s="451">
        <v>0</v>
      </c>
      <c r="BB150" s="451">
        <v>0</v>
      </c>
      <c r="BC150" s="451">
        <v>0</v>
      </c>
      <c r="BD150" s="451">
        <v>0</v>
      </c>
      <c r="BE150" s="451">
        <v>0</v>
      </c>
      <c r="BF150" s="451">
        <v>0</v>
      </c>
      <c r="BG150" s="451">
        <v>0</v>
      </c>
      <c r="BH150" s="451">
        <v>0</v>
      </c>
      <c r="BI150" s="451">
        <v>0</v>
      </c>
      <c r="BJ150" s="451">
        <v>28927.79</v>
      </c>
      <c r="BK150" s="451">
        <v>0</v>
      </c>
      <c r="BL150" s="451">
        <v>0</v>
      </c>
      <c r="BM150" s="451">
        <v>28927.79</v>
      </c>
      <c r="BN150" s="451">
        <v>-746.23</v>
      </c>
      <c r="BO150" s="451">
        <v>0</v>
      </c>
      <c r="BP150" s="451">
        <v>0</v>
      </c>
      <c r="BQ150" s="451">
        <v>-746.23</v>
      </c>
      <c r="BR150" s="451">
        <v>2972844.72</v>
      </c>
      <c r="BS150" s="451">
        <v>0</v>
      </c>
      <c r="BT150" s="451">
        <v>0</v>
      </c>
      <c r="BU150" s="451">
        <v>2972844.72</v>
      </c>
      <c r="BV150" s="451">
        <v>25003.16</v>
      </c>
      <c r="BW150" s="451">
        <v>0</v>
      </c>
      <c r="BX150" s="451">
        <v>0</v>
      </c>
      <c r="BY150" s="451">
        <v>25003.16</v>
      </c>
      <c r="BZ150" s="451">
        <v>39820.71</v>
      </c>
      <c r="CA150" s="451">
        <v>0</v>
      </c>
      <c r="CB150" s="451">
        <v>0</v>
      </c>
      <c r="CC150" s="451">
        <v>39820.71</v>
      </c>
      <c r="CD150" s="451">
        <v>-42.16</v>
      </c>
      <c r="CE150" s="451">
        <v>0</v>
      </c>
      <c r="CF150" s="451">
        <v>0</v>
      </c>
      <c r="CG150" s="451">
        <v>-42.16</v>
      </c>
      <c r="CH150" s="451">
        <v>384031.14</v>
      </c>
      <c r="CI150" s="451">
        <v>0</v>
      </c>
      <c r="CJ150" s="451">
        <v>0</v>
      </c>
      <c r="CK150" s="451">
        <v>384031.14</v>
      </c>
      <c r="CL150" s="451">
        <v>-3687.18</v>
      </c>
      <c r="CM150" s="451">
        <v>0</v>
      </c>
      <c r="CN150" s="451">
        <v>0</v>
      </c>
      <c r="CO150" s="451">
        <v>-3687.18</v>
      </c>
      <c r="CP150" s="451">
        <v>0</v>
      </c>
      <c r="CQ150" s="451">
        <v>0</v>
      </c>
      <c r="CR150" s="451">
        <v>0</v>
      </c>
      <c r="CS150" s="451">
        <v>0</v>
      </c>
      <c r="CT150" s="451">
        <v>0</v>
      </c>
      <c r="CU150" s="451">
        <v>0</v>
      </c>
      <c r="CV150" s="451">
        <v>0</v>
      </c>
      <c r="CW150" s="451">
        <v>0</v>
      </c>
      <c r="CX150" s="451">
        <v>0</v>
      </c>
      <c r="CY150" s="451">
        <v>0</v>
      </c>
      <c r="CZ150" s="451">
        <v>0</v>
      </c>
      <c r="DA150" s="451">
        <v>0</v>
      </c>
      <c r="DB150" s="451">
        <v>0</v>
      </c>
      <c r="DC150" s="451">
        <v>0</v>
      </c>
      <c r="DD150" s="451">
        <v>0</v>
      </c>
      <c r="DE150" s="451">
        <v>0</v>
      </c>
      <c r="DF150" s="451">
        <v>0</v>
      </c>
      <c r="DG150" s="451">
        <v>0</v>
      </c>
      <c r="DH150" s="451">
        <v>0</v>
      </c>
      <c r="DI150" s="451">
        <v>0</v>
      </c>
      <c r="DJ150" s="451">
        <v>0</v>
      </c>
      <c r="DK150" s="451">
        <v>0</v>
      </c>
      <c r="DL150" s="451">
        <v>0</v>
      </c>
      <c r="DM150" s="451">
        <v>0</v>
      </c>
      <c r="DN150" s="451">
        <v>0</v>
      </c>
      <c r="DO150" s="451">
        <v>0</v>
      </c>
      <c r="DP150" s="451">
        <v>0</v>
      </c>
      <c r="DQ150" s="451">
        <v>0</v>
      </c>
      <c r="DR150" s="451">
        <v>0</v>
      </c>
      <c r="DS150" s="451">
        <v>0</v>
      </c>
      <c r="DT150" s="451">
        <v>0</v>
      </c>
      <c r="DU150" s="451">
        <v>0</v>
      </c>
      <c r="DV150" s="451">
        <v>0</v>
      </c>
      <c r="DW150" s="451">
        <v>0</v>
      </c>
      <c r="DX150" s="451">
        <v>0</v>
      </c>
      <c r="DY150" s="451">
        <v>0</v>
      </c>
      <c r="DZ150" s="451">
        <v>0</v>
      </c>
      <c r="EA150" s="451">
        <v>0</v>
      </c>
      <c r="EB150" s="451">
        <v>0</v>
      </c>
      <c r="EC150" s="451">
        <v>0</v>
      </c>
      <c r="ED150" s="451">
        <v>0</v>
      </c>
      <c r="EE150" s="451">
        <v>0</v>
      </c>
      <c r="EF150" s="451">
        <v>0</v>
      </c>
      <c r="EG150" s="451">
        <v>0</v>
      </c>
      <c r="EH150" s="451">
        <v>0</v>
      </c>
      <c r="EI150" s="451">
        <v>0</v>
      </c>
      <c r="EJ150" s="451">
        <v>0</v>
      </c>
      <c r="EK150" s="451">
        <v>0</v>
      </c>
      <c r="EL150" s="451">
        <v>0</v>
      </c>
      <c r="EM150" s="451">
        <v>0</v>
      </c>
    </row>
    <row r="151" spans="1:143" ht="12.75" x14ac:dyDescent="0.2">
      <c r="A151" s="446">
        <v>145</v>
      </c>
      <c r="B151" s="447" t="s">
        <v>173</v>
      </c>
      <c r="C151" s="448" t="s">
        <v>1100</v>
      </c>
      <c r="D151" s="449" t="s">
        <v>1101</v>
      </c>
      <c r="E151" s="450" t="s">
        <v>172</v>
      </c>
      <c r="F151" s="451">
        <v>297084</v>
      </c>
      <c r="G151" s="451">
        <v>0</v>
      </c>
      <c r="H151" s="451">
        <v>0</v>
      </c>
      <c r="I151" s="451">
        <v>297084</v>
      </c>
      <c r="J151" s="451">
        <v>-409916</v>
      </c>
      <c r="K151" s="451">
        <v>0</v>
      </c>
      <c r="L151" s="451">
        <v>0</v>
      </c>
      <c r="M151" s="451">
        <v>-409916</v>
      </c>
      <c r="N151" s="451">
        <v>73561</v>
      </c>
      <c r="O151" s="451">
        <v>0</v>
      </c>
      <c r="P151" s="451">
        <v>0</v>
      </c>
      <c r="Q151" s="451">
        <v>73561</v>
      </c>
      <c r="R151" s="451">
        <v>391277</v>
      </c>
      <c r="S151" s="451">
        <v>0</v>
      </c>
      <c r="T151" s="451">
        <v>0</v>
      </c>
      <c r="U151" s="451">
        <v>391277</v>
      </c>
      <c r="V151" s="451">
        <v>11250232</v>
      </c>
      <c r="W151" s="451">
        <v>0</v>
      </c>
      <c r="X151" s="451">
        <v>0</v>
      </c>
      <c r="Y151" s="451">
        <v>11250232</v>
      </c>
      <c r="Z151" s="451">
        <v>312951</v>
      </c>
      <c r="AA151" s="451">
        <v>0</v>
      </c>
      <c r="AB151" s="451">
        <v>0</v>
      </c>
      <c r="AC151" s="451">
        <v>312951</v>
      </c>
      <c r="AD151" s="451">
        <v>2042345</v>
      </c>
      <c r="AE151" s="451">
        <v>0</v>
      </c>
      <c r="AF151" s="451">
        <v>0</v>
      </c>
      <c r="AG151" s="451">
        <v>2042345</v>
      </c>
      <c r="AH151" s="451">
        <v>-10533</v>
      </c>
      <c r="AI151" s="451">
        <v>0</v>
      </c>
      <c r="AJ151" s="451">
        <v>0</v>
      </c>
      <c r="AK151" s="451">
        <v>-10533</v>
      </c>
      <c r="AL151" s="451">
        <v>5988085</v>
      </c>
      <c r="AM151" s="451">
        <v>0</v>
      </c>
      <c r="AN151" s="451">
        <v>0</v>
      </c>
      <c r="AO151" s="451">
        <v>5988085</v>
      </c>
      <c r="AP151" s="451">
        <v>36810</v>
      </c>
      <c r="AQ151" s="451">
        <v>0</v>
      </c>
      <c r="AR151" s="451">
        <v>0</v>
      </c>
      <c r="AS151" s="451">
        <v>36810</v>
      </c>
      <c r="AT151" s="451">
        <v>160311</v>
      </c>
      <c r="AU151" s="451">
        <v>0</v>
      </c>
      <c r="AV151" s="451">
        <v>0</v>
      </c>
      <c r="AW151" s="451">
        <v>160311</v>
      </c>
      <c r="AX151" s="451">
        <v>498</v>
      </c>
      <c r="AY151" s="451">
        <v>0</v>
      </c>
      <c r="AZ151" s="451">
        <v>0</v>
      </c>
      <c r="BA151" s="451">
        <v>498</v>
      </c>
      <c r="BB151" s="451">
        <v>4004</v>
      </c>
      <c r="BC151" s="451">
        <v>0</v>
      </c>
      <c r="BD151" s="451">
        <v>0</v>
      </c>
      <c r="BE151" s="451">
        <v>4004</v>
      </c>
      <c r="BF151" s="451">
        <v>0</v>
      </c>
      <c r="BG151" s="451">
        <v>0</v>
      </c>
      <c r="BH151" s="451">
        <v>0</v>
      </c>
      <c r="BI151" s="451">
        <v>0</v>
      </c>
      <c r="BJ151" s="451">
        <v>37903</v>
      </c>
      <c r="BK151" s="451">
        <v>0</v>
      </c>
      <c r="BL151" s="451">
        <v>0</v>
      </c>
      <c r="BM151" s="451">
        <v>37903</v>
      </c>
      <c r="BN151" s="451">
        <v>53878</v>
      </c>
      <c r="BO151" s="451">
        <v>0</v>
      </c>
      <c r="BP151" s="451">
        <v>0</v>
      </c>
      <c r="BQ151" s="451">
        <v>53878</v>
      </c>
      <c r="BR151" s="451">
        <v>6599855</v>
      </c>
      <c r="BS151" s="451">
        <v>0</v>
      </c>
      <c r="BT151" s="451">
        <v>0</v>
      </c>
      <c r="BU151" s="451">
        <v>6599855</v>
      </c>
      <c r="BV151" s="451">
        <v>109519</v>
      </c>
      <c r="BW151" s="451">
        <v>0</v>
      </c>
      <c r="BX151" s="451">
        <v>0</v>
      </c>
      <c r="BY151" s="451">
        <v>109519</v>
      </c>
      <c r="BZ151" s="451">
        <v>230071</v>
      </c>
      <c r="CA151" s="451">
        <v>0</v>
      </c>
      <c r="CB151" s="451">
        <v>0</v>
      </c>
      <c r="CC151" s="451">
        <v>230071</v>
      </c>
      <c r="CD151" s="451">
        <v>430</v>
      </c>
      <c r="CE151" s="451">
        <v>0</v>
      </c>
      <c r="CF151" s="451">
        <v>0</v>
      </c>
      <c r="CG151" s="451">
        <v>430</v>
      </c>
      <c r="CH151" s="451">
        <v>107398</v>
      </c>
      <c r="CI151" s="451">
        <v>0</v>
      </c>
      <c r="CJ151" s="451">
        <v>0</v>
      </c>
      <c r="CK151" s="451">
        <v>107398</v>
      </c>
      <c r="CL151" s="451">
        <v>916</v>
      </c>
      <c r="CM151" s="451">
        <v>0</v>
      </c>
      <c r="CN151" s="451">
        <v>0</v>
      </c>
      <c r="CO151" s="451">
        <v>916</v>
      </c>
      <c r="CP151" s="451">
        <v>1130</v>
      </c>
      <c r="CQ151" s="451">
        <v>0</v>
      </c>
      <c r="CR151" s="451">
        <v>0</v>
      </c>
      <c r="CS151" s="451">
        <v>1130</v>
      </c>
      <c r="CT151" s="451">
        <v>0</v>
      </c>
      <c r="CU151" s="451">
        <v>0</v>
      </c>
      <c r="CV151" s="451">
        <v>0</v>
      </c>
      <c r="CW151" s="451">
        <v>0</v>
      </c>
      <c r="CX151" s="451">
        <v>2773</v>
      </c>
      <c r="CY151" s="451">
        <v>0</v>
      </c>
      <c r="CZ151" s="451">
        <v>0</v>
      </c>
      <c r="DA151" s="451">
        <v>2773</v>
      </c>
      <c r="DB151" s="451">
        <v>0</v>
      </c>
      <c r="DC151" s="451">
        <v>0</v>
      </c>
      <c r="DD151" s="451">
        <v>0</v>
      </c>
      <c r="DE151" s="451">
        <v>0</v>
      </c>
      <c r="DF151" s="451">
        <v>116573</v>
      </c>
      <c r="DG151" s="451">
        <v>0</v>
      </c>
      <c r="DH151" s="451">
        <v>0</v>
      </c>
      <c r="DI151" s="451">
        <v>116573</v>
      </c>
      <c r="DJ151" s="451">
        <v>-10</v>
      </c>
      <c r="DK151" s="451">
        <v>0</v>
      </c>
      <c r="DL151" s="451">
        <v>0</v>
      </c>
      <c r="DM151" s="451">
        <v>-10</v>
      </c>
      <c r="DN151" s="451">
        <v>0</v>
      </c>
      <c r="DO151" s="451">
        <v>0</v>
      </c>
      <c r="DP151" s="451">
        <v>0</v>
      </c>
      <c r="DQ151" s="451">
        <v>0</v>
      </c>
      <c r="DR151" s="451">
        <v>0</v>
      </c>
      <c r="DS151" s="451">
        <v>0</v>
      </c>
      <c r="DT151" s="451">
        <v>0</v>
      </c>
      <c r="DU151" s="451">
        <v>0</v>
      </c>
      <c r="DV151" s="451">
        <v>0</v>
      </c>
      <c r="DW151" s="451">
        <v>0</v>
      </c>
      <c r="DX151" s="451">
        <v>0</v>
      </c>
      <c r="DY151" s="451">
        <v>0</v>
      </c>
      <c r="DZ151" s="451">
        <v>0</v>
      </c>
      <c r="EA151" s="451">
        <v>0</v>
      </c>
      <c r="EB151" s="451">
        <v>0</v>
      </c>
      <c r="EC151" s="451">
        <v>0</v>
      </c>
      <c r="ED151" s="451">
        <v>0</v>
      </c>
      <c r="EE151" s="451">
        <v>0</v>
      </c>
      <c r="EF151" s="451">
        <v>25251</v>
      </c>
      <c r="EG151" s="451">
        <v>0</v>
      </c>
      <c r="EH151" s="451">
        <v>0</v>
      </c>
      <c r="EI151" s="451">
        <v>25251</v>
      </c>
      <c r="EJ151" s="451">
        <v>-14975</v>
      </c>
      <c r="EK151" s="451">
        <v>0</v>
      </c>
      <c r="EL151" s="451">
        <v>0</v>
      </c>
      <c r="EM151" s="451">
        <v>-14975</v>
      </c>
    </row>
    <row r="152" spans="1:143" ht="12.75" x14ac:dyDescent="0.2">
      <c r="A152" s="446">
        <v>146</v>
      </c>
      <c r="B152" s="447" t="s">
        <v>175</v>
      </c>
      <c r="C152" s="448" t="s">
        <v>1100</v>
      </c>
      <c r="D152" s="449" t="s">
        <v>1095</v>
      </c>
      <c r="E152" s="450" t="s">
        <v>174</v>
      </c>
      <c r="F152" s="451">
        <v>44127.29</v>
      </c>
      <c r="G152" s="451">
        <v>0</v>
      </c>
      <c r="H152" s="451">
        <v>0</v>
      </c>
      <c r="I152" s="451">
        <v>44127.29</v>
      </c>
      <c r="J152" s="451">
        <v>-93240.47</v>
      </c>
      <c r="K152" s="451">
        <v>0</v>
      </c>
      <c r="L152" s="451">
        <v>0</v>
      </c>
      <c r="M152" s="451">
        <v>-93240.47</v>
      </c>
      <c r="N152" s="451">
        <v>72095.89</v>
      </c>
      <c r="O152" s="451">
        <v>0</v>
      </c>
      <c r="P152" s="451">
        <v>0</v>
      </c>
      <c r="Q152" s="451">
        <v>72095.89</v>
      </c>
      <c r="R152" s="451">
        <v>392672.05</v>
      </c>
      <c r="S152" s="451">
        <v>0</v>
      </c>
      <c r="T152" s="451">
        <v>0</v>
      </c>
      <c r="U152" s="451">
        <v>392672.05</v>
      </c>
      <c r="V152" s="451">
        <v>1653305.85</v>
      </c>
      <c r="W152" s="451">
        <v>0</v>
      </c>
      <c r="X152" s="451">
        <v>0</v>
      </c>
      <c r="Y152" s="451">
        <v>1653305.85</v>
      </c>
      <c r="Z152" s="451">
        <v>68176.399999999994</v>
      </c>
      <c r="AA152" s="451">
        <v>0</v>
      </c>
      <c r="AB152" s="451">
        <v>0</v>
      </c>
      <c r="AC152" s="451">
        <v>68176.399999999994</v>
      </c>
      <c r="AD152" s="451">
        <v>821998.26</v>
      </c>
      <c r="AE152" s="451">
        <v>0</v>
      </c>
      <c r="AF152" s="451">
        <v>0</v>
      </c>
      <c r="AG152" s="451">
        <v>821998.26</v>
      </c>
      <c r="AH152" s="451">
        <v>-28428.080000000002</v>
      </c>
      <c r="AI152" s="451">
        <v>0</v>
      </c>
      <c r="AJ152" s="451">
        <v>0</v>
      </c>
      <c r="AK152" s="451">
        <v>-28428.080000000002</v>
      </c>
      <c r="AL152" s="451">
        <v>2060379.35</v>
      </c>
      <c r="AM152" s="451">
        <v>0</v>
      </c>
      <c r="AN152" s="451">
        <v>0</v>
      </c>
      <c r="AO152" s="451">
        <v>2060379.35</v>
      </c>
      <c r="AP152" s="451">
        <v>-211858.9</v>
      </c>
      <c r="AQ152" s="451">
        <v>0</v>
      </c>
      <c r="AR152" s="451">
        <v>0</v>
      </c>
      <c r="AS152" s="451">
        <v>-211858.9</v>
      </c>
      <c r="AT152" s="451">
        <v>15034.32</v>
      </c>
      <c r="AU152" s="451">
        <v>0</v>
      </c>
      <c r="AV152" s="451">
        <v>0</v>
      </c>
      <c r="AW152" s="451">
        <v>15034.32</v>
      </c>
      <c r="AX152" s="451">
        <v>85.83</v>
      </c>
      <c r="AY152" s="451">
        <v>0</v>
      </c>
      <c r="AZ152" s="451">
        <v>0</v>
      </c>
      <c r="BA152" s="451">
        <v>85.83</v>
      </c>
      <c r="BB152" s="451">
        <v>0</v>
      </c>
      <c r="BC152" s="451">
        <v>0</v>
      </c>
      <c r="BD152" s="451">
        <v>0</v>
      </c>
      <c r="BE152" s="451">
        <v>0</v>
      </c>
      <c r="BF152" s="451">
        <v>0</v>
      </c>
      <c r="BG152" s="451">
        <v>0</v>
      </c>
      <c r="BH152" s="451">
        <v>0</v>
      </c>
      <c r="BI152" s="451">
        <v>0</v>
      </c>
      <c r="BJ152" s="451">
        <v>1740.64</v>
      </c>
      <c r="BK152" s="451">
        <v>0</v>
      </c>
      <c r="BL152" s="451">
        <v>0</v>
      </c>
      <c r="BM152" s="451">
        <v>1740.64</v>
      </c>
      <c r="BN152" s="451">
        <v>-236874.46</v>
      </c>
      <c r="BO152" s="451">
        <v>0</v>
      </c>
      <c r="BP152" s="451">
        <v>0</v>
      </c>
      <c r="BQ152" s="451">
        <v>-236874.46</v>
      </c>
      <c r="BR152" s="451">
        <v>1999193.58</v>
      </c>
      <c r="BS152" s="451">
        <v>0</v>
      </c>
      <c r="BT152" s="451">
        <v>0</v>
      </c>
      <c r="BU152" s="451">
        <v>1999193.58</v>
      </c>
      <c r="BV152" s="451">
        <v>-18199.150000000001</v>
      </c>
      <c r="BW152" s="451">
        <v>0</v>
      </c>
      <c r="BX152" s="451">
        <v>0</v>
      </c>
      <c r="BY152" s="451">
        <v>-18199.150000000001</v>
      </c>
      <c r="BZ152" s="451">
        <v>208380.57</v>
      </c>
      <c r="CA152" s="451">
        <v>0</v>
      </c>
      <c r="CB152" s="451">
        <v>0</v>
      </c>
      <c r="CC152" s="451">
        <v>208380.57</v>
      </c>
      <c r="CD152" s="451">
        <v>-57008.74</v>
      </c>
      <c r="CE152" s="451">
        <v>0</v>
      </c>
      <c r="CF152" s="451">
        <v>0</v>
      </c>
      <c r="CG152" s="451">
        <v>-57008.74</v>
      </c>
      <c r="CH152" s="451">
        <v>40819.58</v>
      </c>
      <c r="CI152" s="451">
        <v>0</v>
      </c>
      <c r="CJ152" s="451">
        <v>0</v>
      </c>
      <c r="CK152" s="451">
        <v>40819.58</v>
      </c>
      <c r="CL152" s="451">
        <v>0</v>
      </c>
      <c r="CM152" s="451">
        <v>0</v>
      </c>
      <c r="CN152" s="451">
        <v>0</v>
      </c>
      <c r="CO152" s="451">
        <v>0</v>
      </c>
      <c r="CP152" s="451">
        <v>0</v>
      </c>
      <c r="CQ152" s="451">
        <v>0</v>
      </c>
      <c r="CR152" s="451">
        <v>0</v>
      </c>
      <c r="CS152" s="451">
        <v>0</v>
      </c>
      <c r="CT152" s="451">
        <v>21.46</v>
      </c>
      <c r="CU152" s="451">
        <v>0</v>
      </c>
      <c r="CV152" s="451">
        <v>0</v>
      </c>
      <c r="CW152" s="451">
        <v>21.46</v>
      </c>
      <c r="CX152" s="451">
        <v>0</v>
      </c>
      <c r="CY152" s="451">
        <v>0</v>
      </c>
      <c r="CZ152" s="451">
        <v>0</v>
      </c>
      <c r="DA152" s="451">
        <v>0</v>
      </c>
      <c r="DB152" s="451">
        <v>0</v>
      </c>
      <c r="DC152" s="451">
        <v>0</v>
      </c>
      <c r="DD152" s="451">
        <v>0</v>
      </c>
      <c r="DE152" s="451">
        <v>0</v>
      </c>
      <c r="DF152" s="451">
        <v>0</v>
      </c>
      <c r="DG152" s="451">
        <v>0</v>
      </c>
      <c r="DH152" s="451">
        <v>0</v>
      </c>
      <c r="DI152" s="451">
        <v>0</v>
      </c>
      <c r="DJ152" s="451">
        <v>0</v>
      </c>
      <c r="DK152" s="451">
        <v>0</v>
      </c>
      <c r="DL152" s="451">
        <v>0</v>
      </c>
      <c r="DM152" s="451">
        <v>0</v>
      </c>
      <c r="DN152" s="451">
        <v>0</v>
      </c>
      <c r="DO152" s="451">
        <v>0</v>
      </c>
      <c r="DP152" s="451">
        <v>0</v>
      </c>
      <c r="DQ152" s="451">
        <v>0</v>
      </c>
      <c r="DR152" s="451">
        <v>0</v>
      </c>
      <c r="DS152" s="451">
        <v>0</v>
      </c>
      <c r="DT152" s="451">
        <v>0</v>
      </c>
      <c r="DU152" s="451">
        <v>0</v>
      </c>
      <c r="DV152" s="451">
        <v>0</v>
      </c>
      <c r="DW152" s="451">
        <v>0</v>
      </c>
      <c r="DX152" s="451">
        <v>6142.36</v>
      </c>
      <c r="DY152" s="451">
        <v>0</v>
      </c>
      <c r="DZ152" s="451">
        <v>0</v>
      </c>
      <c r="EA152" s="451">
        <v>6142.36</v>
      </c>
      <c r="EB152" s="451">
        <v>0</v>
      </c>
      <c r="EC152" s="451">
        <v>0</v>
      </c>
      <c r="ED152" s="451">
        <v>0</v>
      </c>
      <c r="EE152" s="451">
        <v>0</v>
      </c>
      <c r="EF152" s="451">
        <v>0</v>
      </c>
      <c r="EG152" s="451">
        <v>0</v>
      </c>
      <c r="EH152" s="451">
        <v>0</v>
      </c>
      <c r="EI152" s="451">
        <v>0</v>
      </c>
      <c r="EJ152" s="451">
        <v>0</v>
      </c>
      <c r="EK152" s="451">
        <v>0</v>
      </c>
      <c r="EL152" s="451">
        <v>0</v>
      </c>
      <c r="EM152" s="451">
        <v>0</v>
      </c>
    </row>
    <row r="153" spans="1:143" ht="12.75" x14ac:dyDescent="0.2">
      <c r="A153" s="446">
        <v>147</v>
      </c>
      <c r="B153" s="447" t="s">
        <v>177</v>
      </c>
      <c r="C153" s="448" t="s">
        <v>1104</v>
      </c>
      <c r="D153" s="449" t="s">
        <v>1099</v>
      </c>
      <c r="E153" s="450" t="s">
        <v>176</v>
      </c>
      <c r="F153" s="451">
        <v>821584</v>
      </c>
      <c r="G153" s="451">
        <v>0</v>
      </c>
      <c r="H153" s="451">
        <v>0</v>
      </c>
      <c r="I153" s="451">
        <v>821584</v>
      </c>
      <c r="J153" s="451">
        <v>-759041</v>
      </c>
      <c r="K153" s="451">
        <v>0</v>
      </c>
      <c r="L153" s="451">
        <v>0</v>
      </c>
      <c r="M153" s="451">
        <v>-759041</v>
      </c>
      <c r="N153" s="451">
        <v>25860</v>
      </c>
      <c r="O153" s="451">
        <v>0</v>
      </c>
      <c r="P153" s="451">
        <v>0</v>
      </c>
      <c r="Q153" s="451">
        <v>25860</v>
      </c>
      <c r="R153" s="451">
        <v>80566</v>
      </c>
      <c r="S153" s="451">
        <v>0</v>
      </c>
      <c r="T153" s="451">
        <v>0</v>
      </c>
      <c r="U153" s="451">
        <v>80566</v>
      </c>
      <c r="V153" s="451">
        <v>5164930</v>
      </c>
      <c r="W153" s="451">
        <v>0</v>
      </c>
      <c r="X153" s="451">
        <v>0</v>
      </c>
      <c r="Y153" s="451">
        <v>5164930</v>
      </c>
      <c r="Z153" s="451">
        <v>80711</v>
      </c>
      <c r="AA153" s="451">
        <v>0</v>
      </c>
      <c r="AB153" s="451">
        <v>0</v>
      </c>
      <c r="AC153" s="451">
        <v>80711</v>
      </c>
      <c r="AD153" s="451">
        <v>2408343</v>
      </c>
      <c r="AE153" s="451">
        <v>0</v>
      </c>
      <c r="AF153" s="451">
        <v>0</v>
      </c>
      <c r="AG153" s="451">
        <v>2408343</v>
      </c>
      <c r="AH153" s="451">
        <v>-38648</v>
      </c>
      <c r="AI153" s="451">
        <v>0</v>
      </c>
      <c r="AJ153" s="451">
        <v>0</v>
      </c>
      <c r="AK153" s="451">
        <v>-38648</v>
      </c>
      <c r="AL153" s="451">
        <v>14793631</v>
      </c>
      <c r="AM153" s="451">
        <v>0</v>
      </c>
      <c r="AN153" s="451">
        <v>0</v>
      </c>
      <c r="AO153" s="451">
        <v>14793631</v>
      </c>
      <c r="AP153" s="451">
        <v>-570625</v>
      </c>
      <c r="AQ153" s="451">
        <v>0</v>
      </c>
      <c r="AR153" s="451">
        <v>0</v>
      </c>
      <c r="AS153" s="451">
        <v>-570625</v>
      </c>
      <c r="AT153" s="451">
        <v>7442</v>
      </c>
      <c r="AU153" s="451">
        <v>0</v>
      </c>
      <c r="AV153" s="451">
        <v>0</v>
      </c>
      <c r="AW153" s="451">
        <v>7442</v>
      </c>
      <c r="AX153" s="451">
        <v>0</v>
      </c>
      <c r="AY153" s="451">
        <v>0</v>
      </c>
      <c r="AZ153" s="451">
        <v>0</v>
      </c>
      <c r="BA153" s="451">
        <v>0</v>
      </c>
      <c r="BB153" s="451">
        <v>0</v>
      </c>
      <c r="BC153" s="451">
        <v>0</v>
      </c>
      <c r="BD153" s="451">
        <v>0</v>
      </c>
      <c r="BE153" s="451">
        <v>0</v>
      </c>
      <c r="BF153" s="451">
        <v>0</v>
      </c>
      <c r="BG153" s="451">
        <v>0</v>
      </c>
      <c r="BH153" s="451">
        <v>0</v>
      </c>
      <c r="BI153" s="451">
        <v>0</v>
      </c>
      <c r="BJ153" s="451">
        <v>57070</v>
      </c>
      <c r="BK153" s="451">
        <v>0</v>
      </c>
      <c r="BL153" s="451">
        <v>0</v>
      </c>
      <c r="BM153" s="451">
        <v>57070</v>
      </c>
      <c r="BN153" s="451">
        <v>-57870</v>
      </c>
      <c r="BO153" s="451">
        <v>0</v>
      </c>
      <c r="BP153" s="451">
        <v>0</v>
      </c>
      <c r="BQ153" s="451">
        <v>-57870</v>
      </c>
      <c r="BR153" s="451">
        <v>2955604</v>
      </c>
      <c r="BS153" s="451">
        <v>0</v>
      </c>
      <c r="BT153" s="451">
        <v>0</v>
      </c>
      <c r="BU153" s="451">
        <v>2955604</v>
      </c>
      <c r="BV153" s="451">
        <v>-232318</v>
      </c>
      <c r="BW153" s="451">
        <v>0</v>
      </c>
      <c r="BX153" s="451">
        <v>0</v>
      </c>
      <c r="BY153" s="451">
        <v>-232318</v>
      </c>
      <c r="BZ153" s="451">
        <v>210169</v>
      </c>
      <c r="CA153" s="451">
        <v>0</v>
      </c>
      <c r="CB153" s="451">
        <v>0</v>
      </c>
      <c r="CC153" s="451">
        <v>210169</v>
      </c>
      <c r="CD153" s="451">
        <v>636</v>
      </c>
      <c r="CE153" s="451">
        <v>0</v>
      </c>
      <c r="CF153" s="451">
        <v>0</v>
      </c>
      <c r="CG153" s="451">
        <v>636</v>
      </c>
      <c r="CH153" s="451">
        <v>339981</v>
      </c>
      <c r="CI153" s="451">
        <v>0</v>
      </c>
      <c r="CJ153" s="451">
        <v>0</v>
      </c>
      <c r="CK153" s="451">
        <v>339981</v>
      </c>
      <c r="CL153" s="451">
        <v>3909</v>
      </c>
      <c r="CM153" s="451">
        <v>0</v>
      </c>
      <c r="CN153" s="451">
        <v>0</v>
      </c>
      <c r="CO153" s="451">
        <v>3909</v>
      </c>
      <c r="CP153" s="451">
        <v>0</v>
      </c>
      <c r="CQ153" s="451">
        <v>0</v>
      </c>
      <c r="CR153" s="451">
        <v>0</v>
      </c>
      <c r="CS153" s="451">
        <v>0</v>
      </c>
      <c r="CT153" s="451">
        <v>0</v>
      </c>
      <c r="CU153" s="451">
        <v>0</v>
      </c>
      <c r="CV153" s="451">
        <v>0</v>
      </c>
      <c r="CW153" s="451">
        <v>0</v>
      </c>
      <c r="CX153" s="451">
        <v>0</v>
      </c>
      <c r="CY153" s="451">
        <v>0</v>
      </c>
      <c r="CZ153" s="451">
        <v>0</v>
      </c>
      <c r="DA153" s="451">
        <v>0</v>
      </c>
      <c r="DB153" s="451">
        <v>0</v>
      </c>
      <c r="DC153" s="451">
        <v>0</v>
      </c>
      <c r="DD153" s="451">
        <v>0</v>
      </c>
      <c r="DE153" s="451">
        <v>0</v>
      </c>
      <c r="DF153" s="451">
        <v>0</v>
      </c>
      <c r="DG153" s="451">
        <v>0</v>
      </c>
      <c r="DH153" s="451">
        <v>0</v>
      </c>
      <c r="DI153" s="451">
        <v>0</v>
      </c>
      <c r="DJ153" s="451">
        <v>0</v>
      </c>
      <c r="DK153" s="451">
        <v>0</v>
      </c>
      <c r="DL153" s="451">
        <v>0</v>
      </c>
      <c r="DM153" s="451">
        <v>0</v>
      </c>
      <c r="DN153" s="451">
        <v>0</v>
      </c>
      <c r="DO153" s="451">
        <v>0</v>
      </c>
      <c r="DP153" s="451">
        <v>0</v>
      </c>
      <c r="DQ153" s="451">
        <v>0</v>
      </c>
      <c r="DR153" s="451">
        <v>0</v>
      </c>
      <c r="DS153" s="451">
        <v>0</v>
      </c>
      <c r="DT153" s="451">
        <v>0</v>
      </c>
      <c r="DU153" s="451">
        <v>0</v>
      </c>
      <c r="DV153" s="451">
        <v>0</v>
      </c>
      <c r="DW153" s="451">
        <v>0</v>
      </c>
      <c r="DX153" s="451">
        <v>0</v>
      </c>
      <c r="DY153" s="451">
        <v>0</v>
      </c>
      <c r="DZ153" s="451">
        <v>0</v>
      </c>
      <c r="EA153" s="451">
        <v>0</v>
      </c>
      <c r="EB153" s="451">
        <v>0</v>
      </c>
      <c r="EC153" s="451">
        <v>0</v>
      </c>
      <c r="ED153" s="451">
        <v>0</v>
      </c>
      <c r="EE153" s="451">
        <v>0</v>
      </c>
      <c r="EF153" s="451">
        <v>0</v>
      </c>
      <c r="EG153" s="451">
        <v>0</v>
      </c>
      <c r="EH153" s="451">
        <v>0</v>
      </c>
      <c r="EI153" s="451">
        <v>0</v>
      </c>
      <c r="EJ153" s="451">
        <v>-529</v>
      </c>
      <c r="EK153" s="451">
        <v>0</v>
      </c>
      <c r="EL153" s="451">
        <v>0</v>
      </c>
      <c r="EM153" s="451">
        <v>-529</v>
      </c>
    </row>
    <row r="154" spans="1:143" ht="12.75" x14ac:dyDescent="0.2">
      <c r="A154" s="446">
        <v>148</v>
      </c>
      <c r="B154" s="447" t="s">
        <v>179</v>
      </c>
      <c r="C154" s="448" t="s">
        <v>1093</v>
      </c>
      <c r="D154" s="449" t="s">
        <v>1095</v>
      </c>
      <c r="E154" s="450" t="s">
        <v>178</v>
      </c>
      <c r="F154" s="451">
        <v>19781439</v>
      </c>
      <c r="G154" s="451">
        <v>0</v>
      </c>
      <c r="H154" s="451">
        <v>0</v>
      </c>
      <c r="I154" s="451">
        <v>19781439</v>
      </c>
      <c r="J154" s="451">
        <v>-93514</v>
      </c>
      <c r="K154" s="451">
        <v>0</v>
      </c>
      <c r="L154" s="451">
        <v>0</v>
      </c>
      <c r="M154" s="451">
        <v>-93514</v>
      </c>
      <c r="N154" s="451">
        <v>3785</v>
      </c>
      <c r="O154" s="451">
        <v>0</v>
      </c>
      <c r="P154" s="451">
        <v>0</v>
      </c>
      <c r="Q154" s="451">
        <v>3785</v>
      </c>
      <c r="R154" s="451">
        <v>304482</v>
      </c>
      <c r="S154" s="451">
        <v>0</v>
      </c>
      <c r="T154" s="451">
        <v>0</v>
      </c>
      <c r="U154" s="451">
        <v>304482</v>
      </c>
      <c r="V154" s="451">
        <v>3105157</v>
      </c>
      <c r="W154" s="451">
        <v>0</v>
      </c>
      <c r="X154" s="451">
        <v>0</v>
      </c>
      <c r="Y154" s="451">
        <v>3105157</v>
      </c>
      <c r="Z154" s="451">
        <v>23296</v>
      </c>
      <c r="AA154" s="451">
        <v>0</v>
      </c>
      <c r="AB154" s="451">
        <v>0</v>
      </c>
      <c r="AC154" s="451">
        <v>23296</v>
      </c>
      <c r="AD154" s="451">
        <v>1315697</v>
      </c>
      <c r="AE154" s="451">
        <v>0</v>
      </c>
      <c r="AF154" s="451">
        <v>0</v>
      </c>
      <c r="AG154" s="451">
        <v>1315697</v>
      </c>
      <c r="AH154" s="451">
        <v>17914</v>
      </c>
      <c r="AI154" s="451">
        <v>0</v>
      </c>
      <c r="AJ154" s="451">
        <v>0</v>
      </c>
      <c r="AK154" s="451">
        <v>17914</v>
      </c>
      <c r="AL154" s="451">
        <v>3246985</v>
      </c>
      <c r="AM154" s="451">
        <v>0</v>
      </c>
      <c r="AN154" s="451">
        <v>0</v>
      </c>
      <c r="AO154" s="451">
        <v>3246985</v>
      </c>
      <c r="AP154" s="451">
        <v>-7039</v>
      </c>
      <c r="AQ154" s="451">
        <v>0</v>
      </c>
      <c r="AR154" s="451">
        <v>0</v>
      </c>
      <c r="AS154" s="451">
        <v>-7039</v>
      </c>
      <c r="AT154" s="451">
        <v>27450</v>
      </c>
      <c r="AU154" s="451">
        <v>0</v>
      </c>
      <c r="AV154" s="451">
        <v>0</v>
      </c>
      <c r="AW154" s="451">
        <v>27450</v>
      </c>
      <c r="AX154" s="451">
        <v>0</v>
      </c>
      <c r="AY154" s="451">
        <v>0</v>
      </c>
      <c r="AZ154" s="451">
        <v>0</v>
      </c>
      <c r="BA154" s="451">
        <v>0</v>
      </c>
      <c r="BB154" s="451">
        <v>29154</v>
      </c>
      <c r="BC154" s="451">
        <v>0</v>
      </c>
      <c r="BD154" s="451">
        <v>0</v>
      </c>
      <c r="BE154" s="451">
        <v>29154</v>
      </c>
      <c r="BF154" s="451">
        <v>-453</v>
      </c>
      <c r="BG154" s="451">
        <v>0</v>
      </c>
      <c r="BH154" s="451">
        <v>0</v>
      </c>
      <c r="BI154" s="451">
        <v>-453</v>
      </c>
      <c r="BJ154" s="451">
        <v>6636</v>
      </c>
      <c r="BK154" s="451">
        <v>0</v>
      </c>
      <c r="BL154" s="451">
        <v>0</v>
      </c>
      <c r="BM154" s="451">
        <v>6636</v>
      </c>
      <c r="BN154" s="451">
        <v>0</v>
      </c>
      <c r="BO154" s="451">
        <v>0</v>
      </c>
      <c r="BP154" s="451">
        <v>0</v>
      </c>
      <c r="BQ154" s="451">
        <v>0</v>
      </c>
      <c r="BR154" s="451">
        <v>1273581</v>
      </c>
      <c r="BS154" s="451">
        <v>0</v>
      </c>
      <c r="BT154" s="451">
        <v>0</v>
      </c>
      <c r="BU154" s="451">
        <v>1273581</v>
      </c>
      <c r="BV154" s="451">
        <v>-229919</v>
      </c>
      <c r="BW154" s="451">
        <v>0</v>
      </c>
      <c r="BX154" s="451">
        <v>0</v>
      </c>
      <c r="BY154" s="451">
        <v>-229919</v>
      </c>
      <c r="BZ154" s="451">
        <v>100966</v>
      </c>
      <c r="CA154" s="451">
        <v>0</v>
      </c>
      <c r="CB154" s="451">
        <v>0</v>
      </c>
      <c r="CC154" s="451">
        <v>100966</v>
      </c>
      <c r="CD154" s="451">
        <v>662</v>
      </c>
      <c r="CE154" s="451">
        <v>0</v>
      </c>
      <c r="CF154" s="451">
        <v>0</v>
      </c>
      <c r="CG154" s="451">
        <v>662</v>
      </c>
      <c r="CH154" s="451">
        <v>25656</v>
      </c>
      <c r="CI154" s="451">
        <v>0</v>
      </c>
      <c r="CJ154" s="451">
        <v>0</v>
      </c>
      <c r="CK154" s="451">
        <v>25656</v>
      </c>
      <c r="CL154" s="451">
        <v>184</v>
      </c>
      <c r="CM154" s="451">
        <v>0</v>
      </c>
      <c r="CN154" s="451">
        <v>0</v>
      </c>
      <c r="CO154" s="451">
        <v>184</v>
      </c>
      <c r="CP154" s="451">
        <v>1154</v>
      </c>
      <c r="CQ154" s="451">
        <v>0</v>
      </c>
      <c r="CR154" s="451">
        <v>0</v>
      </c>
      <c r="CS154" s="451">
        <v>1154</v>
      </c>
      <c r="CT154" s="451">
        <v>0</v>
      </c>
      <c r="CU154" s="451">
        <v>0</v>
      </c>
      <c r="CV154" s="451">
        <v>0</v>
      </c>
      <c r="CW154" s="451">
        <v>0</v>
      </c>
      <c r="CX154" s="451">
        <v>3721</v>
      </c>
      <c r="CY154" s="451">
        <v>0</v>
      </c>
      <c r="CZ154" s="451">
        <v>0</v>
      </c>
      <c r="DA154" s="451">
        <v>3721</v>
      </c>
      <c r="DB154" s="451">
        <v>-341</v>
      </c>
      <c r="DC154" s="451">
        <v>0</v>
      </c>
      <c r="DD154" s="451">
        <v>0</v>
      </c>
      <c r="DE154" s="451">
        <v>-341</v>
      </c>
      <c r="DF154" s="451">
        <v>0</v>
      </c>
      <c r="DG154" s="451">
        <v>0</v>
      </c>
      <c r="DH154" s="451">
        <v>0</v>
      </c>
      <c r="DI154" s="451">
        <v>0</v>
      </c>
      <c r="DJ154" s="451">
        <v>0</v>
      </c>
      <c r="DK154" s="451">
        <v>0</v>
      </c>
      <c r="DL154" s="451">
        <v>0</v>
      </c>
      <c r="DM154" s="451">
        <v>0</v>
      </c>
      <c r="DN154" s="451">
        <v>0</v>
      </c>
      <c r="DO154" s="451">
        <v>0</v>
      </c>
      <c r="DP154" s="451">
        <v>0</v>
      </c>
      <c r="DQ154" s="451">
        <v>0</v>
      </c>
      <c r="DR154" s="451">
        <v>0</v>
      </c>
      <c r="DS154" s="451">
        <v>0</v>
      </c>
      <c r="DT154" s="451">
        <v>0</v>
      </c>
      <c r="DU154" s="451">
        <v>0</v>
      </c>
      <c r="DV154" s="451">
        <v>0</v>
      </c>
      <c r="DW154" s="451">
        <v>0</v>
      </c>
      <c r="DX154" s="451">
        <v>325</v>
      </c>
      <c r="DY154" s="451">
        <v>0</v>
      </c>
      <c r="DZ154" s="451">
        <v>0</v>
      </c>
      <c r="EA154" s="451">
        <v>325</v>
      </c>
      <c r="EB154" s="451">
        <v>10336</v>
      </c>
      <c r="EC154" s="451">
        <v>0</v>
      </c>
      <c r="ED154" s="451">
        <v>0</v>
      </c>
      <c r="EE154" s="451">
        <v>10336</v>
      </c>
      <c r="EF154" s="451">
        <v>57461</v>
      </c>
      <c r="EG154" s="451">
        <v>0</v>
      </c>
      <c r="EH154" s="451">
        <v>0</v>
      </c>
      <c r="EI154" s="451">
        <v>57461</v>
      </c>
      <c r="EJ154" s="451">
        <v>20857</v>
      </c>
      <c r="EK154" s="451">
        <v>0</v>
      </c>
      <c r="EL154" s="451">
        <v>0</v>
      </c>
      <c r="EM154" s="451">
        <v>20857</v>
      </c>
    </row>
    <row r="155" spans="1:143" ht="12.75" x14ac:dyDescent="0.2">
      <c r="A155" s="446">
        <v>149</v>
      </c>
      <c r="B155" s="447" t="s">
        <v>181</v>
      </c>
      <c r="C155" s="448" t="s">
        <v>1100</v>
      </c>
      <c r="D155" s="449" t="s">
        <v>1101</v>
      </c>
      <c r="E155" s="450" t="s">
        <v>180</v>
      </c>
      <c r="F155" s="451">
        <v>954796</v>
      </c>
      <c r="G155" s="451">
        <v>0</v>
      </c>
      <c r="H155" s="451">
        <v>0</v>
      </c>
      <c r="I155" s="451">
        <v>954796</v>
      </c>
      <c r="J155" s="451">
        <v>-1264460</v>
      </c>
      <c r="K155" s="451">
        <v>0</v>
      </c>
      <c r="L155" s="451">
        <v>0</v>
      </c>
      <c r="M155" s="451">
        <v>-1264460</v>
      </c>
      <c r="N155" s="451">
        <v>280070</v>
      </c>
      <c r="O155" s="451">
        <v>0</v>
      </c>
      <c r="P155" s="451">
        <v>0</v>
      </c>
      <c r="Q155" s="451">
        <v>280070</v>
      </c>
      <c r="R155" s="451">
        <v>688806</v>
      </c>
      <c r="S155" s="451">
        <v>0</v>
      </c>
      <c r="T155" s="451">
        <v>0</v>
      </c>
      <c r="U155" s="451">
        <v>688806</v>
      </c>
      <c r="V155" s="451">
        <v>15140153</v>
      </c>
      <c r="W155" s="451">
        <v>0</v>
      </c>
      <c r="X155" s="451">
        <v>0</v>
      </c>
      <c r="Y155" s="451">
        <v>15140153</v>
      </c>
      <c r="Z155" s="451">
        <v>357588</v>
      </c>
      <c r="AA155" s="451">
        <v>0</v>
      </c>
      <c r="AB155" s="451">
        <v>0</v>
      </c>
      <c r="AC155" s="451">
        <v>357588</v>
      </c>
      <c r="AD155" s="451">
        <v>7483782</v>
      </c>
      <c r="AE155" s="451">
        <v>0</v>
      </c>
      <c r="AF155" s="451">
        <v>17505</v>
      </c>
      <c r="AG155" s="451">
        <v>7501287</v>
      </c>
      <c r="AH155" s="451">
        <v>-152248</v>
      </c>
      <c r="AI155" s="451">
        <v>0</v>
      </c>
      <c r="AJ155" s="451">
        <v>0</v>
      </c>
      <c r="AK155" s="451">
        <v>-152248</v>
      </c>
      <c r="AL155" s="451">
        <v>21651716</v>
      </c>
      <c r="AM155" s="451">
        <v>0</v>
      </c>
      <c r="AN155" s="451">
        <v>0</v>
      </c>
      <c r="AO155" s="451">
        <v>21651716</v>
      </c>
      <c r="AP155" s="451">
        <v>49687</v>
      </c>
      <c r="AQ155" s="451">
        <v>0</v>
      </c>
      <c r="AR155" s="451">
        <v>0</v>
      </c>
      <c r="AS155" s="451">
        <v>49687</v>
      </c>
      <c r="AT155" s="451">
        <v>293368</v>
      </c>
      <c r="AU155" s="451">
        <v>0</v>
      </c>
      <c r="AV155" s="451">
        <v>0</v>
      </c>
      <c r="AW155" s="451">
        <v>293368</v>
      </c>
      <c r="AX155" s="451">
        <v>0</v>
      </c>
      <c r="AY155" s="451">
        <v>0</v>
      </c>
      <c r="AZ155" s="451">
        <v>0</v>
      </c>
      <c r="BA155" s="451">
        <v>0</v>
      </c>
      <c r="BB155" s="451">
        <v>10880</v>
      </c>
      <c r="BC155" s="451">
        <v>0</v>
      </c>
      <c r="BD155" s="451">
        <v>0</v>
      </c>
      <c r="BE155" s="451">
        <v>10880</v>
      </c>
      <c r="BF155" s="451">
        <v>0</v>
      </c>
      <c r="BG155" s="451">
        <v>0</v>
      </c>
      <c r="BH155" s="451">
        <v>0</v>
      </c>
      <c r="BI155" s="451">
        <v>0</v>
      </c>
      <c r="BJ155" s="451">
        <v>312423</v>
      </c>
      <c r="BK155" s="451">
        <v>0</v>
      </c>
      <c r="BL155" s="451">
        <v>0</v>
      </c>
      <c r="BM155" s="451">
        <v>312423</v>
      </c>
      <c r="BN155" s="451">
        <v>125767</v>
      </c>
      <c r="BO155" s="451">
        <v>0</v>
      </c>
      <c r="BP155" s="451">
        <v>0</v>
      </c>
      <c r="BQ155" s="451">
        <v>125767</v>
      </c>
      <c r="BR155" s="451">
        <v>22874019</v>
      </c>
      <c r="BS155" s="451">
        <v>0</v>
      </c>
      <c r="BT155" s="451">
        <v>0</v>
      </c>
      <c r="BU155" s="451">
        <v>22874019</v>
      </c>
      <c r="BV155" s="451">
        <v>-1110457</v>
      </c>
      <c r="BW155" s="451">
        <v>0</v>
      </c>
      <c r="BX155" s="451">
        <v>0</v>
      </c>
      <c r="BY155" s="451">
        <v>-1110457</v>
      </c>
      <c r="BZ155" s="451">
        <v>48848</v>
      </c>
      <c r="CA155" s="451">
        <v>0</v>
      </c>
      <c r="CB155" s="451">
        <v>0</v>
      </c>
      <c r="CC155" s="451">
        <v>48848</v>
      </c>
      <c r="CD155" s="451">
        <v>368</v>
      </c>
      <c r="CE155" s="451">
        <v>0</v>
      </c>
      <c r="CF155" s="451">
        <v>0</v>
      </c>
      <c r="CG155" s="451">
        <v>368</v>
      </c>
      <c r="CH155" s="451">
        <v>434734</v>
      </c>
      <c r="CI155" s="451">
        <v>0</v>
      </c>
      <c r="CJ155" s="451">
        <v>0</v>
      </c>
      <c r="CK155" s="451">
        <v>434734</v>
      </c>
      <c r="CL155" s="451">
        <v>42098</v>
      </c>
      <c r="CM155" s="451">
        <v>0</v>
      </c>
      <c r="CN155" s="451">
        <v>0</v>
      </c>
      <c r="CO155" s="451">
        <v>42098</v>
      </c>
      <c r="CP155" s="451">
        <v>20064</v>
      </c>
      <c r="CQ155" s="451">
        <v>0</v>
      </c>
      <c r="CR155" s="451">
        <v>0</v>
      </c>
      <c r="CS155" s="451">
        <v>20064</v>
      </c>
      <c r="CT155" s="451">
        <v>0</v>
      </c>
      <c r="CU155" s="451">
        <v>0</v>
      </c>
      <c r="CV155" s="451">
        <v>0</v>
      </c>
      <c r="CW155" s="451">
        <v>0</v>
      </c>
      <c r="CX155" s="451">
        <v>6123</v>
      </c>
      <c r="CY155" s="451">
        <v>0</v>
      </c>
      <c r="CZ155" s="451">
        <v>0</v>
      </c>
      <c r="DA155" s="451">
        <v>6123</v>
      </c>
      <c r="DB155" s="451">
        <v>0</v>
      </c>
      <c r="DC155" s="451">
        <v>0</v>
      </c>
      <c r="DD155" s="451">
        <v>0</v>
      </c>
      <c r="DE155" s="451">
        <v>0</v>
      </c>
      <c r="DF155" s="451">
        <v>7860.21</v>
      </c>
      <c r="DG155" s="451">
        <v>0</v>
      </c>
      <c r="DH155" s="451">
        <v>0</v>
      </c>
      <c r="DI155" s="451">
        <v>7860.21</v>
      </c>
      <c r="DJ155" s="451">
        <v>0</v>
      </c>
      <c r="DK155" s="451">
        <v>0</v>
      </c>
      <c r="DL155" s="451">
        <v>0</v>
      </c>
      <c r="DM155" s="451">
        <v>0</v>
      </c>
      <c r="DN155" s="451">
        <v>0</v>
      </c>
      <c r="DO155" s="451">
        <v>0</v>
      </c>
      <c r="DP155" s="451">
        <v>165000</v>
      </c>
      <c r="DQ155" s="451">
        <v>165000</v>
      </c>
      <c r="DR155" s="451">
        <v>0</v>
      </c>
      <c r="DS155" s="451">
        <v>0</v>
      </c>
      <c r="DT155" s="451">
        <v>109990</v>
      </c>
      <c r="DU155" s="451">
        <v>109990</v>
      </c>
      <c r="DV155" s="451">
        <v>274990</v>
      </c>
      <c r="DW155" s="451">
        <v>0</v>
      </c>
      <c r="DX155" s="451">
        <v>0</v>
      </c>
      <c r="DY155" s="451">
        <v>0</v>
      </c>
      <c r="DZ155" s="451">
        <v>0</v>
      </c>
      <c r="EA155" s="451">
        <v>0</v>
      </c>
      <c r="EB155" s="451">
        <v>0</v>
      </c>
      <c r="EC155" s="451">
        <v>0</v>
      </c>
      <c r="ED155" s="451">
        <v>0</v>
      </c>
      <c r="EE155" s="451">
        <v>0</v>
      </c>
      <c r="EF155" s="451">
        <v>246714</v>
      </c>
      <c r="EG155" s="451">
        <v>0</v>
      </c>
      <c r="EH155" s="451">
        <v>0</v>
      </c>
      <c r="EI155" s="451">
        <v>246714</v>
      </c>
      <c r="EJ155" s="451">
        <v>21229</v>
      </c>
      <c r="EK155" s="451">
        <v>0</v>
      </c>
      <c r="EL155" s="451">
        <v>0</v>
      </c>
      <c r="EM155" s="451">
        <v>21229</v>
      </c>
    </row>
    <row r="156" spans="1:143" ht="12.75" x14ac:dyDescent="0.2">
      <c r="A156" s="446">
        <v>150</v>
      </c>
      <c r="B156" s="447" t="s">
        <v>183</v>
      </c>
      <c r="C156" s="448" t="s">
        <v>794</v>
      </c>
      <c r="D156" s="449" t="s">
        <v>1096</v>
      </c>
      <c r="E156" s="450" t="s">
        <v>723</v>
      </c>
      <c r="F156" s="451">
        <v>46733</v>
      </c>
      <c r="G156" s="451">
        <v>0</v>
      </c>
      <c r="H156" s="451">
        <v>0</v>
      </c>
      <c r="I156" s="451">
        <v>46733</v>
      </c>
      <c r="J156" s="451">
        <v>-143165</v>
      </c>
      <c r="K156" s="451">
        <v>0</v>
      </c>
      <c r="L156" s="451">
        <v>0</v>
      </c>
      <c r="M156" s="451">
        <v>-143165</v>
      </c>
      <c r="N156" s="451">
        <v>98420</v>
      </c>
      <c r="O156" s="451">
        <v>0</v>
      </c>
      <c r="P156" s="451">
        <v>0</v>
      </c>
      <c r="Q156" s="451">
        <v>98420</v>
      </c>
      <c r="R156" s="451">
        <v>185335</v>
      </c>
      <c r="S156" s="451">
        <v>0</v>
      </c>
      <c r="T156" s="451">
        <v>0</v>
      </c>
      <c r="U156" s="451">
        <v>185335</v>
      </c>
      <c r="V156" s="451">
        <v>7804500</v>
      </c>
      <c r="W156" s="451">
        <v>0</v>
      </c>
      <c r="X156" s="451">
        <v>0</v>
      </c>
      <c r="Y156" s="451">
        <v>7804500</v>
      </c>
      <c r="Z156" s="451">
        <v>319647</v>
      </c>
      <c r="AA156" s="451">
        <v>0</v>
      </c>
      <c r="AB156" s="451">
        <v>0</v>
      </c>
      <c r="AC156" s="451">
        <v>319647</v>
      </c>
      <c r="AD156" s="451">
        <v>1947003</v>
      </c>
      <c r="AE156" s="451">
        <v>0</v>
      </c>
      <c r="AF156" s="451">
        <v>0</v>
      </c>
      <c r="AG156" s="451">
        <v>1947003</v>
      </c>
      <c r="AH156" s="451">
        <v>-28539</v>
      </c>
      <c r="AI156" s="451">
        <v>0</v>
      </c>
      <c r="AJ156" s="451">
        <v>0</v>
      </c>
      <c r="AK156" s="451">
        <v>-28539</v>
      </c>
      <c r="AL156" s="451">
        <v>7459006</v>
      </c>
      <c r="AM156" s="451">
        <v>0</v>
      </c>
      <c r="AN156" s="451">
        <v>0</v>
      </c>
      <c r="AO156" s="451">
        <v>7459006</v>
      </c>
      <c r="AP156" s="451">
        <v>46097</v>
      </c>
      <c r="AQ156" s="451">
        <v>0</v>
      </c>
      <c r="AR156" s="451">
        <v>0</v>
      </c>
      <c r="AS156" s="451">
        <v>46097</v>
      </c>
      <c r="AT156" s="451">
        <v>41392</v>
      </c>
      <c r="AU156" s="451">
        <v>0</v>
      </c>
      <c r="AV156" s="451">
        <v>0</v>
      </c>
      <c r="AW156" s="451">
        <v>41392</v>
      </c>
      <c r="AX156" s="451">
        <v>0</v>
      </c>
      <c r="AY156" s="451">
        <v>0</v>
      </c>
      <c r="AZ156" s="451">
        <v>0</v>
      </c>
      <c r="BA156" s="451">
        <v>0</v>
      </c>
      <c r="BB156" s="451">
        <v>0</v>
      </c>
      <c r="BC156" s="451">
        <v>0</v>
      </c>
      <c r="BD156" s="451">
        <v>0</v>
      </c>
      <c r="BE156" s="451">
        <v>0</v>
      </c>
      <c r="BF156" s="451">
        <v>0</v>
      </c>
      <c r="BG156" s="451">
        <v>0</v>
      </c>
      <c r="BH156" s="451">
        <v>0</v>
      </c>
      <c r="BI156" s="451">
        <v>0</v>
      </c>
      <c r="BJ156" s="451">
        <v>73033</v>
      </c>
      <c r="BK156" s="451">
        <v>0</v>
      </c>
      <c r="BL156" s="451">
        <v>0</v>
      </c>
      <c r="BM156" s="451">
        <v>73033</v>
      </c>
      <c r="BN156" s="451">
        <v>18651</v>
      </c>
      <c r="BO156" s="451">
        <v>0</v>
      </c>
      <c r="BP156" s="451">
        <v>0</v>
      </c>
      <c r="BQ156" s="451">
        <v>18651</v>
      </c>
      <c r="BR156" s="451">
        <v>4770187</v>
      </c>
      <c r="BS156" s="451">
        <v>0</v>
      </c>
      <c r="BT156" s="451">
        <v>0</v>
      </c>
      <c r="BU156" s="451">
        <v>4770187</v>
      </c>
      <c r="BV156" s="451">
        <v>-180418</v>
      </c>
      <c r="BW156" s="451">
        <v>0</v>
      </c>
      <c r="BX156" s="451">
        <v>0</v>
      </c>
      <c r="BY156" s="451">
        <v>-180418</v>
      </c>
      <c r="BZ156" s="451">
        <v>327022</v>
      </c>
      <c r="CA156" s="451">
        <v>0</v>
      </c>
      <c r="CB156" s="451">
        <v>0</v>
      </c>
      <c r="CC156" s="451">
        <v>327022</v>
      </c>
      <c r="CD156" s="451">
        <v>-2528</v>
      </c>
      <c r="CE156" s="451">
        <v>0</v>
      </c>
      <c r="CF156" s="451">
        <v>0</v>
      </c>
      <c r="CG156" s="451">
        <v>-2528</v>
      </c>
      <c r="CH156" s="451">
        <v>156997</v>
      </c>
      <c r="CI156" s="451">
        <v>0</v>
      </c>
      <c r="CJ156" s="451">
        <v>0</v>
      </c>
      <c r="CK156" s="451">
        <v>156997</v>
      </c>
      <c r="CL156" s="451">
        <v>-46018</v>
      </c>
      <c r="CM156" s="451">
        <v>0</v>
      </c>
      <c r="CN156" s="451">
        <v>0</v>
      </c>
      <c r="CO156" s="451">
        <v>-46018</v>
      </c>
      <c r="CP156" s="451">
        <v>0</v>
      </c>
      <c r="CQ156" s="451">
        <v>0</v>
      </c>
      <c r="CR156" s="451">
        <v>0</v>
      </c>
      <c r="CS156" s="451">
        <v>0</v>
      </c>
      <c r="CT156" s="451">
        <v>0</v>
      </c>
      <c r="CU156" s="451">
        <v>0</v>
      </c>
      <c r="CV156" s="451">
        <v>0</v>
      </c>
      <c r="CW156" s="451">
        <v>0</v>
      </c>
      <c r="CX156" s="451">
        <v>0</v>
      </c>
      <c r="CY156" s="451">
        <v>0</v>
      </c>
      <c r="CZ156" s="451">
        <v>0</v>
      </c>
      <c r="DA156" s="451">
        <v>0</v>
      </c>
      <c r="DB156" s="451">
        <v>0</v>
      </c>
      <c r="DC156" s="451">
        <v>0</v>
      </c>
      <c r="DD156" s="451">
        <v>0</v>
      </c>
      <c r="DE156" s="451">
        <v>0</v>
      </c>
      <c r="DF156" s="451">
        <v>0</v>
      </c>
      <c r="DG156" s="451">
        <v>0</v>
      </c>
      <c r="DH156" s="451">
        <v>0</v>
      </c>
      <c r="DI156" s="451">
        <v>0</v>
      </c>
      <c r="DJ156" s="451">
        <v>0</v>
      </c>
      <c r="DK156" s="451">
        <v>0</v>
      </c>
      <c r="DL156" s="451">
        <v>0</v>
      </c>
      <c r="DM156" s="451">
        <v>0</v>
      </c>
      <c r="DN156" s="451">
        <v>0</v>
      </c>
      <c r="DO156" s="451">
        <v>0</v>
      </c>
      <c r="DP156" s="451">
        <v>0</v>
      </c>
      <c r="DQ156" s="451">
        <v>0</v>
      </c>
      <c r="DR156" s="451">
        <v>0</v>
      </c>
      <c r="DS156" s="451">
        <v>0</v>
      </c>
      <c r="DT156" s="451">
        <v>0</v>
      </c>
      <c r="DU156" s="451">
        <v>0</v>
      </c>
      <c r="DV156" s="451">
        <v>0</v>
      </c>
      <c r="DW156" s="451">
        <v>0</v>
      </c>
      <c r="DX156" s="451">
        <v>8079</v>
      </c>
      <c r="DY156" s="451">
        <v>0</v>
      </c>
      <c r="DZ156" s="451">
        <v>0</v>
      </c>
      <c r="EA156" s="451">
        <v>8079</v>
      </c>
      <c r="EB156" s="451">
        <v>0</v>
      </c>
      <c r="EC156" s="451">
        <v>0</v>
      </c>
      <c r="ED156" s="451">
        <v>0</v>
      </c>
      <c r="EE156" s="451">
        <v>0</v>
      </c>
      <c r="EF156" s="451">
        <v>20711</v>
      </c>
      <c r="EG156" s="451">
        <v>0</v>
      </c>
      <c r="EH156" s="451">
        <v>0</v>
      </c>
      <c r="EI156" s="451">
        <v>20711</v>
      </c>
      <c r="EJ156" s="451">
        <v>755</v>
      </c>
      <c r="EK156" s="451">
        <v>0</v>
      </c>
      <c r="EL156" s="451">
        <v>0</v>
      </c>
      <c r="EM156" s="451">
        <v>755</v>
      </c>
    </row>
    <row r="157" spans="1:143" ht="12.75" x14ac:dyDescent="0.2">
      <c r="A157" s="446">
        <v>151</v>
      </c>
      <c r="B157" s="447" t="s">
        <v>185</v>
      </c>
      <c r="C157" s="448" t="s">
        <v>1093</v>
      </c>
      <c r="D157" s="449" t="s">
        <v>1094</v>
      </c>
      <c r="E157" s="450" t="s">
        <v>184</v>
      </c>
      <c r="F157" s="451">
        <v>179413</v>
      </c>
      <c r="G157" s="451">
        <v>0</v>
      </c>
      <c r="H157" s="451">
        <v>0</v>
      </c>
      <c r="I157" s="451">
        <v>179413</v>
      </c>
      <c r="J157" s="451">
        <v>-71695</v>
      </c>
      <c r="K157" s="451">
        <v>0</v>
      </c>
      <c r="L157" s="451">
        <v>0</v>
      </c>
      <c r="M157" s="451">
        <v>-71695</v>
      </c>
      <c r="N157" s="451">
        <v>18529</v>
      </c>
      <c r="O157" s="451">
        <v>0</v>
      </c>
      <c r="P157" s="451">
        <v>0</v>
      </c>
      <c r="Q157" s="451">
        <v>18529</v>
      </c>
      <c r="R157" s="451">
        <v>67389</v>
      </c>
      <c r="S157" s="451">
        <v>0</v>
      </c>
      <c r="T157" s="451">
        <v>0</v>
      </c>
      <c r="U157" s="451">
        <v>67389</v>
      </c>
      <c r="V157" s="451">
        <v>2093869</v>
      </c>
      <c r="W157" s="451">
        <v>0</v>
      </c>
      <c r="X157" s="451">
        <v>0</v>
      </c>
      <c r="Y157" s="451">
        <v>2093869</v>
      </c>
      <c r="Z157" s="451">
        <v>112213</v>
      </c>
      <c r="AA157" s="451">
        <v>0</v>
      </c>
      <c r="AB157" s="451">
        <v>0</v>
      </c>
      <c r="AC157" s="451">
        <v>112213</v>
      </c>
      <c r="AD157" s="451">
        <v>446303</v>
      </c>
      <c r="AE157" s="451">
        <v>0</v>
      </c>
      <c r="AF157" s="451">
        <v>0</v>
      </c>
      <c r="AG157" s="451">
        <v>446303</v>
      </c>
      <c r="AH157" s="451">
        <v>-7836</v>
      </c>
      <c r="AI157" s="451">
        <v>0</v>
      </c>
      <c r="AJ157" s="451">
        <v>0</v>
      </c>
      <c r="AK157" s="451">
        <v>-7836</v>
      </c>
      <c r="AL157" s="451">
        <v>1917322</v>
      </c>
      <c r="AM157" s="451">
        <v>0</v>
      </c>
      <c r="AN157" s="451">
        <v>0</v>
      </c>
      <c r="AO157" s="451">
        <v>1917322</v>
      </c>
      <c r="AP157" s="451">
        <v>1516</v>
      </c>
      <c r="AQ157" s="451">
        <v>0</v>
      </c>
      <c r="AR157" s="451">
        <v>0</v>
      </c>
      <c r="AS157" s="451">
        <v>1516</v>
      </c>
      <c r="AT157" s="451">
        <v>82378</v>
      </c>
      <c r="AU157" s="451">
        <v>0</v>
      </c>
      <c r="AV157" s="451">
        <v>0</v>
      </c>
      <c r="AW157" s="451">
        <v>82378</v>
      </c>
      <c r="AX157" s="451">
        <v>0</v>
      </c>
      <c r="AY157" s="451">
        <v>0</v>
      </c>
      <c r="AZ157" s="451">
        <v>0</v>
      </c>
      <c r="BA157" s="451">
        <v>0</v>
      </c>
      <c r="BB157" s="451">
        <v>11610</v>
      </c>
      <c r="BC157" s="451">
        <v>0</v>
      </c>
      <c r="BD157" s="451">
        <v>0</v>
      </c>
      <c r="BE157" s="451">
        <v>11610</v>
      </c>
      <c r="BF157" s="451">
        <v>0</v>
      </c>
      <c r="BG157" s="451">
        <v>0</v>
      </c>
      <c r="BH157" s="451">
        <v>0</v>
      </c>
      <c r="BI157" s="451">
        <v>0</v>
      </c>
      <c r="BJ157" s="451">
        <v>19147</v>
      </c>
      <c r="BK157" s="451">
        <v>0</v>
      </c>
      <c r="BL157" s="451">
        <v>0</v>
      </c>
      <c r="BM157" s="451">
        <v>19147</v>
      </c>
      <c r="BN157" s="451">
        <v>-1918</v>
      </c>
      <c r="BO157" s="451">
        <v>0</v>
      </c>
      <c r="BP157" s="451">
        <v>0</v>
      </c>
      <c r="BQ157" s="451">
        <v>-1918</v>
      </c>
      <c r="BR157" s="451">
        <v>815910</v>
      </c>
      <c r="BS157" s="451">
        <v>0</v>
      </c>
      <c r="BT157" s="451">
        <v>0</v>
      </c>
      <c r="BU157" s="451">
        <v>815910</v>
      </c>
      <c r="BV157" s="451">
        <v>17734</v>
      </c>
      <c r="BW157" s="451">
        <v>0</v>
      </c>
      <c r="BX157" s="451">
        <v>0</v>
      </c>
      <c r="BY157" s="451">
        <v>17734</v>
      </c>
      <c r="BZ157" s="451">
        <v>156452</v>
      </c>
      <c r="CA157" s="451">
        <v>0</v>
      </c>
      <c r="CB157" s="451">
        <v>0</v>
      </c>
      <c r="CC157" s="451">
        <v>156452</v>
      </c>
      <c r="CD157" s="451">
        <v>807</v>
      </c>
      <c r="CE157" s="451">
        <v>0</v>
      </c>
      <c r="CF157" s="451">
        <v>0</v>
      </c>
      <c r="CG157" s="451">
        <v>807</v>
      </c>
      <c r="CH157" s="451">
        <v>13975</v>
      </c>
      <c r="CI157" s="451">
        <v>0</v>
      </c>
      <c r="CJ157" s="451">
        <v>0</v>
      </c>
      <c r="CK157" s="451">
        <v>13975</v>
      </c>
      <c r="CL157" s="451">
        <v>1666</v>
      </c>
      <c r="CM157" s="451">
        <v>0</v>
      </c>
      <c r="CN157" s="451">
        <v>0</v>
      </c>
      <c r="CO157" s="451">
        <v>1666</v>
      </c>
      <c r="CP157" s="451">
        <v>518</v>
      </c>
      <c r="CQ157" s="451">
        <v>0</v>
      </c>
      <c r="CR157" s="451">
        <v>0</v>
      </c>
      <c r="CS157" s="451">
        <v>518</v>
      </c>
      <c r="CT157" s="451">
        <v>0</v>
      </c>
      <c r="CU157" s="451">
        <v>0</v>
      </c>
      <c r="CV157" s="451">
        <v>0</v>
      </c>
      <c r="CW157" s="451">
        <v>0</v>
      </c>
      <c r="CX157" s="451">
        <v>0</v>
      </c>
      <c r="CY157" s="451">
        <v>0</v>
      </c>
      <c r="CZ157" s="451">
        <v>0</v>
      </c>
      <c r="DA157" s="451">
        <v>0</v>
      </c>
      <c r="DB157" s="451">
        <v>0</v>
      </c>
      <c r="DC157" s="451">
        <v>0</v>
      </c>
      <c r="DD157" s="451">
        <v>0</v>
      </c>
      <c r="DE157" s="451">
        <v>0</v>
      </c>
      <c r="DF157" s="451">
        <v>0</v>
      </c>
      <c r="DG157" s="451">
        <v>0</v>
      </c>
      <c r="DH157" s="451">
        <v>0</v>
      </c>
      <c r="DI157" s="451">
        <v>0</v>
      </c>
      <c r="DJ157" s="451">
        <v>0</v>
      </c>
      <c r="DK157" s="451">
        <v>0</v>
      </c>
      <c r="DL157" s="451">
        <v>0</v>
      </c>
      <c r="DM157" s="451">
        <v>0</v>
      </c>
      <c r="DN157" s="451">
        <v>0</v>
      </c>
      <c r="DO157" s="451">
        <v>0</v>
      </c>
      <c r="DP157" s="451">
        <v>0</v>
      </c>
      <c r="DQ157" s="451">
        <v>0</v>
      </c>
      <c r="DR157" s="451">
        <v>0</v>
      </c>
      <c r="DS157" s="451">
        <v>0</v>
      </c>
      <c r="DT157" s="451">
        <v>0</v>
      </c>
      <c r="DU157" s="451">
        <v>0</v>
      </c>
      <c r="DV157" s="451">
        <v>0</v>
      </c>
      <c r="DW157" s="451">
        <v>0</v>
      </c>
      <c r="DX157" s="451">
        <v>0</v>
      </c>
      <c r="DY157" s="451">
        <v>0</v>
      </c>
      <c r="DZ157" s="451">
        <v>0</v>
      </c>
      <c r="EA157" s="451">
        <v>0</v>
      </c>
      <c r="EB157" s="451">
        <v>35742</v>
      </c>
      <c r="EC157" s="451">
        <v>0</v>
      </c>
      <c r="ED157" s="451">
        <v>0</v>
      </c>
      <c r="EE157" s="451">
        <v>35742</v>
      </c>
      <c r="EF157" s="451">
        <v>0</v>
      </c>
      <c r="EG157" s="451">
        <v>0</v>
      </c>
      <c r="EH157" s="451">
        <v>0</v>
      </c>
      <c r="EI157" s="451">
        <v>0</v>
      </c>
      <c r="EJ157" s="451">
        <v>0</v>
      </c>
      <c r="EK157" s="451">
        <v>0</v>
      </c>
      <c r="EL157" s="451">
        <v>0</v>
      </c>
      <c r="EM157" s="451">
        <v>0</v>
      </c>
    </row>
    <row r="158" spans="1:143" ht="12.75" x14ac:dyDescent="0.2">
      <c r="A158" s="446">
        <v>152</v>
      </c>
      <c r="B158" s="447" t="s">
        <v>187</v>
      </c>
      <c r="C158" s="448" t="s">
        <v>1104</v>
      </c>
      <c r="D158" s="449" t="s">
        <v>1099</v>
      </c>
      <c r="E158" s="450" t="s">
        <v>186</v>
      </c>
      <c r="F158" s="451">
        <v>176522</v>
      </c>
      <c r="G158" s="451">
        <v>0</v>
      </c>
      <c r="H158" s="451">
        <v>0</v>
      </c>
      <c r="I158" s="451">
        <v>176522</v>
      </c>
      <c r="J158" s="451">
        <v>-10819</v>
      </c>
      <c r="K158" s="451">
        <v>0</v>
      </c>
      <c r="L158" s="451">
        <v>0</v>
      </c>
      <c r="M158" s="451">
        <v>-10819</v>
      </c>
      <c r="N158" s="451">
        <v>108550</v>
      </c>
      <c r="O158" s="451">
        <v>0</v>
      </c>
      <c r="P158" s="451">
        <v>0</v>
      </c>
      <c r="Q158" s="451">
        <v>108550</v>
      </c>
      <c r="R158" s="451">
        <v>25966</v>
      </c>
      <c r="S158" s="451">
        <v>0</v>
      </c>
      <c r="T158" s="451">
        <v>0</v>
      </c>
      <c r="U158" s="451">
        <v>25966</v>
      </c>
      <c r="V158" s="451">
        <v>4589828</v>
      </c>
      <c r="W158" s="451">
        <v>0</v>
      </c>
      <c r="X158" s="451">
        <v>0</v>
      </c>
      <c r="Y158" s="451">
        <v>4589828</v>
      </c>
      <c r="Z158" s="451">
        <v>283879</v>
      </c>
      <c r="AA158" s="451">
        <v>0</v>
      </c>
      <c r="AB158" s="451">
        <v>0</v>
      </c>
      <c r="AC158" s="451">
        <v>283879</v>
      </c>
      <c r="AD158" s="451">
        <v>931424</v>
      </c>
      <c r="AE158" s="451">
        <v>0</v>
      </c>
      <c r="AF158" s="451">
        <v>0</v>
      </c>
      <c r="AG158" s="451">
        <v>931424</v>
      </c>
      <c r="AH158" s="451">
        <v>33762</v>
      </c>
      <c r="AI158" s="451">
        <v>0</v>
      </c>
      <c r="AJ158" s="451">
        <v>0</v>
      </c>
      <c r="AK158" s="451">
        <v>33762</v>
      </c>
      <c r="AL158" s="451">
        <v>5815240</v>
      </c>
      <c r="AM158" s="451">
        <v>0</v>
      </c>
      <c r="AN158" s="451">
        <v>0</v>
      </c>
      <c r="AO158" s="451">
        <v>5815240</v>
      </c>
      <c r="AP158" s="451">
        <v>-250060</v>
      </c>
      <c r="AQ158" s="451">
        <v>0</v>
      </c>
      <c r="AR158" s="451">
        <v>0</v>
      </c>
      <c r="AS158" s="451">
        <v>-250060</v>
      </c>
      <c r="AT158" s="451">
        <v>0</v>
      </c>
      <c r="AU158" s="451">
        <v>0</v>
      </c>
      <c r="AV158" s="451">
        <v>0</v>
      </c>
      <c r="AW158" s="451">
        <v>0</v>
      </c>
      <c r="AX158" s="451">
        <v>0</v>
      </c>
      <c r="AY158" s="451">
        <v>0</v>
      </c>
      <c r="AZ158" s="451">
        <v>0</v>
      </c>
      <c r="BA158" s="451">
        <v>0</v>
      </c>
      <c r="BB158" s="451">
        <v>0</v>
      </c>
      <c r="BC158" s="451">
        <v>0</v>
      </c>
      <c r="BD158" s="451">
        <v>0</v>
      </c>
      <c r="BE158" s="451">
        <v>0</v>
      </c>
      <c r="BF158" s="451">
        <v>0</v>
      </c>
      <c r="BG158" s="451">
        <v>0</v>
      </c>
      <c r="BH158" s="451">
        <v>0</v>
      </c>
      <c r="BI158" s="451">
        <v>0</v>
      </c>
      <c r="BJ158" s="451">
        <v>0</v>
      </c>
      <c r="BK158" s="451">
        <v>0</v>
      </c>
      <c r="BL158" s="451">
        <v>0</v>
      </c>
      <c r="BM158" s="451">
        <v>0</v>
      </c>
      <c r="BN158" s="451">
        <v>-11514</v>
      </c>
      <c r="BO158" s="451">
        <v>0</v>
      </c>
      <c r="BP158" s="451">
        <v>0</v>
      </c>
      <c r="BQ158" s="451">
        <v>-11514</v>
      </c>
      <c r="BR158" s="451">
        <v>1747094</v>
      </c>
      <c r="BS158" s="451">
        <v>0</v>
      </c>
      <c r="BT158" s="451">
        <v>0</v>
      </c>
      <c r="BU158" s="451">
        <v>1747094</v>
      </c>
      <c r="BV158" s="451">
        <v>66279</v>
      </c>
      <c r="BW158" s="451">
        <v>0</v>
      </c>
      <c r="BX158" s="451">
        <v>0</v>
      </c>
      <c r="BY158" s="451">
        <v>66279</v>
      </c>
      <c r="BZ158" s="451">
        <v>253452</v>
      </c>
      <c r="CA158" s="451">
        <v>0</v>
      </c>
      <c r="CB158" s="451">
        <v>0</v>
      </c>
      <c r="CC158" s="451">
        <v>253452</v>
      </c>
      <c r="CD158" s="451">
        <v>-1003</v>
      </c>
      <c r="CE158" s="451">
        <v>0</v>
      </c>
      <c r="CF158" s="451">
        <v>0</v>
      </c>
      <c r="CG158" s="451">
        <v>-1003</v>
      </c>
      <c r="CH158" s="451">
        <v>39940</v>
      </c>
      <c r="CI158" s="451">
        <v>0</v>
      </c>
      <c r="CJ158" s="451">
        <v>0</v>
      </c>
      <c r="CK158" s="451">
        <v>39940</v>
      </c>
      <c r="CL158" s="451">
        <v>-4157</v>
      </c>
      <c r="CM158" s="451">
        <v>0</v>
      </c>
      <c r="CN158" s="451">
        <v>0</v>
      </c>
      <c r="CO158" s="451">
        <v>-4157</v>
      </c>
      <c r="CP158" s="451">
        <v>0</v>
      </c>
      <c r="CQ158" s="451">
        <v>0</v>
      </c>
      <c r="CR158" s="451">
        <v>0</v>
      </c>
      <c r="CS158" s="451">
        <v>0</v>
      </c>
      <c r="CT158" s="451">
        <v>0</v>
      </c>
      <c r="CU158" s="451">
        <v>0</v>
      </c>
      <c r="CV158" s="451">
        <v>0</v>
      </c>
      <c r="CW158" s="451">
        <v>0</v>
      </c>
      <c r="CX158" s="451">
        <v>0</v>
      </c>
      <c r="CY158" s="451">
        <v>0</v>
      </c>
      <c r="CZ158" s="451">
        <v>0</v>
      </c>
      <c r="DA158" s="451">
        <v>0</v>
      </c>
      <c r="DB158" s="451">
        <v>0</v>
      </c>
      <c r="DC158" s="451">
        <v>0</v>
      </c>
      <c r="DD158" s="451">
        <v>0</v>
      </c>
      <c r="DE158" s="451">
        <v>0</v>
      </c>
      <c r="DF158" s="451">
        <v>0</v>
      </c>
      <c r="DG158" s="451">
        <v>0</v>
      </c>
      <c r="DH158" s="451">
        <v>0</v>
      </c>
      <c r="DI158" s="451">
        <v>0</v>
      </c>
      <c r="DJ158" s="451">
        <v>0</v>
      </c>
      <c r="DK158" s="451">
        <v>0</v>
      </c>
      <c r="DL158" s="451">
        <v>0</v>
      </c>
      <c r="DM158" s="451">
        <v>0</v>
      </c>
      <c r="DN158" s="451">
        <v>0</v>
      </c>
      <c r="DO158" s="451">
        <v>0</v>
      </c>
      <c r="DP158" s="451">
        <v>0</v>
      </c>
      <c r="DQ158" s="451">
        <v>0</v>
      </c>
      <c r="DR158" s="451">
        <v>0</v>
      </c>
      <c r="DS158" s="451">
        <v>0</v>
      </c>
      <c r="DT158" s="451">
        <v>0</v>
      </c>
      <c r="DU158" s="451">
        <v>0</v>
      </c>
      <c r="DV158" s="451">
        <v>0</v>
      </c>
      <c r="DW158" s="451">
        <v>0</v>
      </c>
      <c r="DX158" s="451">
        <v>0</v>
      </c>
      <c r="DY158" s="451">
        <v>0</v>
      </c>
      <c r="DZ158" s="451">
        <v>0</v>
      </c>
      <c r="EA158" s="451">
        <v>0</v>
      </c>
      <c r="EB158" s="451">
        <v>0</v>
      </c>
      <c r="EC158" s="451">
        <v>0</v>
      </c>
      <c r="ED158" s="451">
        <v>0</v>
      </c>
      <c r="EE158" s="451">
        <v>0</v>
      </c>
      <c r="EF158" s="451">
        <v>0</v>
      </c>
      <c r="EG158" s="451">
        <v>0</v>
      </c>
      <c r="EH158" s="451">
        <v>0</v>
      </c>
      <c r="EI158" s="451">
        <v>0</v>
      </c>
      <c r="EJ158" s="451">
        <v>0</v>
      </c>
      <c r="EK158" s="451">
        <v>0</v>
      </c>
      <c r="EL158" s="451">
        <v>0</v>
      </c>
      <c r="EM158" s="451">
        <v>0</v>
      </c>
    </row>
    <row r="159" spans="1:143" ht="12.75" x14ac:dyDescent="0.2">
      <c r="A159" s="446">
        <v>153</v>
      </c>
      <c r="B159" s="447" t="s">
        <v>189</v>
      </c>
      <c r="C159" s="448" t="s">
        <v>1093</v>
      </c>
      <c r="D159" s="449" t="s">
        <v>1103</v>
      </c>
      <c r="E159" s="450" t="s">
        <v>188</v>
      </c>
      <c r="F159" s="451">
        <v>96859</v>
      </c>
      <c r="G159" s="451">
        <v>0</v>
      </c>
      <c r="H159" s="451">
        <v>0</v>
      </c>
      <c r="I159" s="451">
        <v>96859</v>
      </c>
      <c r="J159" s="451">
        <v>96424</v>
      </c>
      <c r="K159" s="451">
        <v>0</v>
      </c>
      <c r="L159" s="451">
        <v>0</v>
      </c>
      <c r="M159" s="451">
        <v>96424</v>
      </c>
      <c r="N159" s="451">
        <v>2524</v>
      </c>
      <c r="O159" s="451">
        <v>0</v>
      </c>
      <c r="P159" s="451">
        <v>0</v>
      </c>
      <c r="Q159" s="451">
        <v>2524</v>
      </c>
      <c r="R159" s="451">
        <v>76477</v>
      </c>
      <c r="S159" s="451">
        <v>0</v>
      </c>
      <c r="T159" s="451">
        <v>0</v>
      </c>
      <c r="U159" s="451">
        <v>76477</v>
      </c>
      <c r="V159" s="451">
        <v>1548071.86</v>
      </c>
      <c r="W159" s="451">
        <v>0</v>
      </c>
      <c r="X159" s="451">
        <v>0</v>
      </c>
      <c r="Y159" s="451">
        <v>1548071.86</v>
      </c>
      <c r="Z159" s="451">
        <v>86720.7</v>
      </c>
      <c r="AA159" s="451">
        <v>0</v>
      </c>
      <c r="AB159" s="451">
        <v>0</v>
      </c>
      <c r="AC159" s="451">
        <v>86720.7</v>
      </c>
      <c r="AD159" s="451">
        <v>627144.26</v>
      </c>
      <c r="AE159" s="451">
        <v>0</v>
      </c>
      <c r="AF159" s="451">
        <v>0</v>
      </c>
      <c r="AG159" s="451">
        <v>627144.26</v>
      </c>
      <c r="AH159" s="451">
        <v>2818.15</v>
      </c>
      <c r="AI159" s="451">
        <v>0</v>
      </c>
      <c r="AJ159" s="451">
        <v>0</v>
      </c>
      <c r="AK159" s="451">
        <v>2818.15</v>
      </c>
      <c r="AL159" s="451">
        <v>984033.01</v>
      </c>
      <c r="AM159" s="451">
        <v>0</v>
      </c>
      <c r="AN159" s="451">
        <v>0</v>
      </c>
      <c r="AO159" s="451">
        <v>984033.01</v>
      </c>
      <c r="AP159" s="451">
        <v>7834.57</v>
      </c>
      <c r="AQ159" s="451">
        <v>0</v>
      </c>
      <c r="AR159" s="451">
        <v>0</v>
      </c>
      <c r="AS159" s="451">
        <v>7834.57</v>
      </c>
      <c r="AT159" s="451">
        <v>55143.46</v>
      </c>
      <c r="AU159" s="451">
        <v>0</v>
      </c>
      <c r="AV159" s="451">
        <v>0</v>
      </c>
      <c r="AW159" s="451">
        <v>55143.46</v>
      </c>
      <c r="AX159" s="451">
        <v>0</v>
      </c>
      <c r="AY159" s="451">
        <v>0</v>
      </c>
      <c r="AZ159" s="451">
        <v>0</v>
      </c>
      <c r="BA159" s="451">
        <v>0</v>
      </c>
      <c r="BB159" s="451">
        <v>6281.98</v>
      </c>
      <c r="BC159" s="451">
        <v>0</v>
      </c>
      <c r="BD159" s="451">
        <v>0</v>
      </c>
      <c r="BE159" s="451">
        <v>6281.98</v>
      </c>
      <c r="BF159" s="451">
        <v>0</v>
      </c>
      <c r="BG159" s="451">
        <v>0</v>
      </c>
      <c r="BH159" s="451">
        <v>0</v>
      </c>
      <c r="BI159" s="451">
        <v>0</v>
      </c>
      <c r="BJ159" s="451">
        <v>563101</v>
      </c>
      <c r="BK159" s="451">
        <v>0</v>
      </c>
      <c r="BL159" s="451">
        <v>0</v>
      </c>
      <c r="BM159" s="451">
        <v>563101</v>
      </c>
      <c r="BN159" s="451">
        <v>124868</v>
      </c>
      <c r="BO159" s="451">
        <v>0</v>
      </c>
      <c r="BP159" s="451">
        <v>0</v>
      </c>
      <c r="BQ159" s="451">
        <v>124868</v>
      </c>
      <c r="BR159" s="451">
        <v>1667039</v>
      </c>
      <c r="BS159" s="451">
        <v>0</v>
      </c>
      <c r="BT159" s="451">
        <v>0</v>
      </c>
      <c r="BU159" s="451">
        <v>1667039</v>
      </c>
      <c r="BV159" s="451">
        <v>31794</v>
      </c>
      <c r="BW159" s="451">
        <v>0</v>
      </c>
      <c r="BX159" s="451">
        <v>0</v>
      </c>
      <c r="BY159" s="451">
        <v>31794</v>
      </c>
      <c r="BZ159" s="451">
        <v>31829</v>
      </c>
      <c r="CA159" s="451">
        <v>0</v>
      </c>
      <c r="CB159" s="451">
        <v>0</v>
      </c>
      <c r="CC159" s="451">
        <v>31829</v>
      </c>
      <c r="CD159" s="451">
        <v>0</v>
      </c>
      <c r="CE159" s="451">
        <v>0</v>
      </c>
      <c r="CF159" s="451">
        <v>0</v>
      </c>
      <c r="CG159" s="451">
        <v>0</v>
      </c>
      <c r="CH159" s="451">
        <v>37278</v>
      </c>
      <c r="CI159" s="451">
        <v>0</v>
      </c>
      <c r="CJ159" s="451">
        <v>0</v>
      </c>
      <c r="CK159" s="451">
        <v>37278</v>
      </c>
      <c r="CL159" s="451">
        <v>0</v>
      </c>
      <c r="CM159" s="451">
        <v>0</v>
      </c>
      <c r="CN159" s="451">
        <v>0</v>
      </c>
      <c r="CO159" s="451">
        <v>0</v>
      </c>
      <c r="CP159" s="451">
        <v>0</v>
      </c>
      <c r="CQ159" s="451">
        <v>0</v>
      </c>
      <c r="CR159" s="451">
        <v>0</v>
      </c>
      <c r="CS159" s="451">
        <v>0</v>
      </c>
      <c r="CT159" s="451">
        <v>0</v>
      </c>
      <c r="CU159" s="451">
        <v>0</v>
      </c>
      <c r="CV159" s="451">
        <v>0</v>
      </c>
      <c r="CW159" s="451">
        <v>0</v>
      </c>
      <c r="CX159" s="451">
        <v>3768</v>
      </c>
      <c r="CY159" s="451">
        <v>0</v>
      </c>
      <c r="CZ159" s="451">
        <v>0</v>
      </c>
      <c r="DA159" s="451">
        <v>3768</v>
      </c>
      <c r="DB159" s="451">
        <v>0</v>
      </c>
      <c r="DC159" s="451">
        <v>0</v>
      </c>
      <c r="DD159" s="451">
        <v>0</v>
      </c>
      <c r="DE159" s="451">
        <v>0</v>
      </c>
      <c r="DF159" s="451">
        <v>0</v>
      </c>
      <c r="DG159" s="451">
        <v>0</v>
      </c>
      <c r="DH159" s="451">
        <v>0</v>
      </c>
      <c r="DI159" s="451">
        <v>0</v>
      </c>
      <c r="DJ159" s="451">
        <v>0</v>
      </c>
      <c r="DK159" s="451">
        <v>0</v>
      </c>
      <c r="DL159" s="451">
        <v>0</v>
      </c>
      <c r="DM159" s="451">
        <v>0</v>
      </c>
      <c r="DN159" s="451">
        <v>0</v>
      </c>
      <c r="DO159" s="451">
        <v>0</v>
      </c>
      <c r="DP159" s="451">
        <v>0</v>
      </c>
      <c r="DQ159" s="451">
        <v>0</v>
      </c>
      <c r="DR159" s="451">
        <v>0</v>
      </c>
      <c r="DS159" s="451">
        <v>0</v>
      </c>
      <c r="DT159" s="451">
        <v>0</v>
      </c>
      <c r="DU159" s="451">
        <v>0</v>
      </c>
      <c r="DV159" s="451">
        <v>0</v>
      </c>
      <c r="DW159" s="451">
        <v>0</v>
      </c>
      <c r="DX159" s="451">
        <v>0</v>
      </c>
      <c r="DY159" s="451">
        <v>0</v>
      </c>
      <c r="DZ159" s="451">
        <v>0</v>
      </c>
      <c r="EA159" s="451">
        <v>0</v>
      </c>
      <c r="EB159" s="451">
        <v>0</v>
      </c>
      <c r="EC159" s="451">
        <v>0</v>
      </c>
      <c r="ED159" s="451">
        <v>0</v>
      </c>
      <c r="EE159" s="451">
        <v>0</v>
      </c>
      <c r="EF159" s="451">
        <v>0</v>
      </c>
      <c r="EG159" s="451">
        <v>0</v>
      </c>
      <c r="EH159" s="451">
        <v>0</v>
      </c>
      <c r="EI159" s="451">
        <v>0</v>
      </c>
      <c r="EJ159" s="451">
        <v>0</v>
      </c>
      <c r="EK159" s="451">
        <v>0</v>
      </c>
      <c r="EL159" s="451">
        <v>0</v>
      </c>
      <c r="EM159" s="451">
        <v>0</v>
      </c>
    </row>
    <row r="160" spans="1:143" ht="12.75" x14ac:dyDescent="0.2">
      <c r="A160" s="446">
        <v>154</v>
      </c>
      <c r="B160" s="447" t="s">
        <v>191</v>
      </c>
      <c r="C160" s="448" t="s">
        <v>1093</v>
      </c>
      <c r="D160" s="449" t="s">
        <v>1096</v>
      </c>
      <c r="E160" s="450" t="s">
        <v>190</v>
      </c>
      <c r="F160" s="451">
        <v>46396</v>
      </c>
      <c r="G160" s="451">
        <v>0</v>
      </c>
      <c r="H160" s="451">
        <v>0</v>
      </c>
      <c r="I160" s="451">
        <v>46396</v>
      </c>
      <c r="J160" s="451">
        <v>-20475</v>
      </c>
      <c r="K160" s="451">
        <v>0</v>
      </c>
      <c r="L160" s="451">
        <v>0</v>
      </c>
      <c r="M160" s="451">
        <v>-20475</v>
      </c>
      <c r="N160" s="451">
        <v>54370</v>
      </c>
      <c r="O160" s="451">
        <v>0</v>
      </c>
      <c r="P160" s="451">
        <v>0</v>
      </c>
      <c r="Q160" s="451">
        <v>54370</v>
      </c>
      <c r="R160" s="451">
        <v>217205</v>
      </c>
      <c r="S160" s="451">
        <v>0</v>
      </c>
      <c r="T160" s="451">
        <v>0</v>
      </c>
      <c r="U160" s="451">
        <v>217205</v>
      </c>
      <c r="V160" s="451">
        <v>1760897</v>
      </c>
      <c r="W160" s="451">
        <v>0</v>
      </c>
      <c r="X160" s="451">
        <v>0</v>
      </c>
      <c r="Y160" s="451">
        <v>1760897</v>
      </c>
      <c r="Z160" s="451">
        <v>42415</v>
      </c>
      <c r="AA160" s="451">
        <v>0</v>
      </c>
      <c r="AB160" s="451">
        <v>0</v>
      </c>
      <c r="AC160" s="451">
        <v>42415</v>
      </c>
      <c r="AD160" s="451">
        <v>809151</v>
      </c>
      <c r="AE160" s="451">
        <v>0</v>
      </c>
      <c r="AF160" s="451">
        <v>0</v>
      </c>
      <c r="AG160" s="451">
        <v>809151</v>
      </c>
      <c r="AH160" s="451">
        <v>4309</v>
      </c>
      <c r="AI160" s="451">
        <v>0</v>
      </c>
      <c r="AJ160" s="451">
        <v>0</v>
      </c>
      <c r="AK160" s="451">
        <v>4309</v>
      </c>
      <c r="AL160" s="451">
        <v>3644057</v>
      </c>
      <c r="AM160" s="451">
        <v>0</v>
      </c>
      <c r="AN160" s="451">
        <v>0</v>
      </c>
      <c r="AO160" s="451">
        <v>3644057</v>
      </c>
      <c r="AP160" s="451">
        <v>-36294</v>
      </c>
      <c r="AQ160" s="451">
        <v>0</v>
      </c>
      <c r="AR160" s="451">
        <v>0</v>
      </c>
      <c r="AS160" s="451">
        <v>-36294</v>
      </c>
      <c r="AT160" s="451">
        <v>74739</v>
      </c>
      <c r="AU160" s="451">
        <v>0</v>
      </c>
      <c r="AV160" s="451">
        <v>0</v>
      </c>
      <c r="AW160" s="451">
        <v>74739</v>
      </c>
      <c r="AX160" s="451">
        <v>0</v>
      </c>
      <c r="AY160" s="451">
        <v>0</v>
      </c>
      <c r="AZ160" s="451">
        <v>0</v>
      </c>
      <c r="BA160" s="451">
        <v>0</v>
      </c>
      <c r="BB160" s="451">
        <v>0</v>
      </c>
      <c r="BC160" s="451">
        <v>0</v>
      </c>
      <c r="BD160" s="451">
        <v>0</v>
      </c>
      <c r="BE160" s="451">
        <v>0</v>
      </c>
      <c r="BF160" s="451">
        <v>0</v>
      </c>
      <c r="BG160" s="451">
        <v>0</v>
      </c>
      <c r="BH160" s="451">
        <v>0</v>
      </c>
      <c r="BI160" s="451">
        <v>0</v>
      </c>
      <c r="BJ160" s="451">
        <v>1904</v>
      </c>
      <c r="BK160" s="451">
        <v>0</v>
      </c>
      <c r="BL160" s="451">
        <v>0</v>
      </c>
      <c r="BM160" s="451">
        <v>1904</v>
      </c>
      <c r="BN160" s="451">
        <v>0</v>
      </c>
      <c r="BO160" s="451">
        <v>0</v>
      </c>
      <c r="BP160" s="451">
        <v>0</v>
      </c>
      <c r="BQ160" s="451">
        <v>0</v>
      </c>
      <c r="BR160" s="451">
        <v>1529310</v>
      </c>
      <c r="BS160" s="451">
        <v>0</v>
      </c>
      <c r="BT160" s="451">
        <v>0</v>
      </c>
      <c r="BU160" s="451">
        <v>1529310</v>
      </c>
      <c r="BV160" s="451">
        <v>-19940</v>
      </c>
      <c r="BW160" s="451">
        <v>0</v>
      </c>
      <c r="BX160" s="451">
        <v>0</v>
      </c>
      <c r="BY160" s="451">
        <v>-19940</v>
      </c>
      <c r="BZ160" s="451">
        <v>33525</v>
      </c>
      <c r="CA160" s="451">
        <v>0</v>
      </c>
      <c r="CB160" s="451">
        <v>0</v>
      </c>
      <c r="CC160" s="451">
        <v>33525</v>
      </c>
      <c r="CD160" s="451">
        <v>-18</v>
      </c>
      <c r="CE160" s="451">
        <v>0</v>
      </c>
      <c r="CF160" s="451">
        <v>0</v>
      </c>
      <c r="CG160" s="451">
        <v>-18</v>
      </c>
      <c r="CH160" s="451">
        <v>289</v>
      </c>
      <c r="CI160" s="451">
        <v>0</v>
      </c>
      <c r="CJ160" s="451">
        <v>0</v>
      </c>
      <c r="CK160" s="451">
        <v>289</v>
      </c>
      <c r="CL160" s="451">
        <v>0</v>
      </c>
      <c r="CM160" s="451">
        <v>0</v>
      </c>
      <c r="CN160" s="451">
        <v>0</v>
      </c>
      <c r="CO160" s="451">
        <v>0</v>
      </c>
      <c r="CP160" s="451">
        <v>3631</v>
      </c>
      <c r="CQ160" s="451">
        <v>0</v>
      </c>
      <c r="CR160" s="451">
        <v>0</v>
      </c>
      <c r="CS160" s="451">
        <v>3631</v>
      </c>
      <c r="CT160" s="451">
        <v>0</v>
      </c>
      <c r="CU160" s="451">
        <v>0</v>
      </c>
      <c r="CV160" s="451">
        <v>0</v>
      </c>
      <c r="CW160" s="451">
        <v>0</v>
      </c>
      <c r="CX160" s="451">
        <v>0</v>
      </c>
      <c r="CY160" s="451">
        <v>0</v>
      </c>
      <c r="CZ160" s="451">
        <v>0</v>
      </c>
      <c r="DA160" s="451">
        <v>0</v>
      </c>
      <c r="DB160" s="451">
        <v>0</v>
      </c>
      <c r="DC160" s="451">
        <v>0</v>
      </c>
      <c r="DD160" s="451">
        <v>0</v>
      </c>
      <c r="DE160" s="451">
        <v>0</v>
      </c>
      <c r="DF160" s="451">
        <v>0</v>
      </c>
      <c r="DG160" s="451">
        <v>0</v>
      </c>
      <c r="DH160" s="451">
        <v>0</v>
      </c>
      <c r="DI160" s="451">
        <v>0</v>
      </c>
      <c r="DJ160" s="451">
        <v>0</v>
      </c>
      <c r="DK160" s="451">
        <v>0</v>
      </c>
      <c r="DL160" s="451">
        <v>0</v>
      </c>
      <c r="DM160" s="451">
        <v>0</v>
      </c>
      <c r="DN160" s="451">
        <v>0</v>
      </c>
      <c r="DO160" s="451">
        <v>0</v>
      </c>
      <c r="DP160" s="451">
        <v>0</v>
      </c>
      <c r="DQ160" s="451">
        <v>0</v>
      </c>
      <c r="DR160" s="451">
        <v>0</v>
      </c>
      <c r="DS160" s="451">
        <v>0</v>
      </c>
      <c r="DT160" s="451">
        <v>0</v>
      </c>
      <c r="DU160" s="451">
        <v>0</v>
      </c>
      <c r="DV160" s="451">
        <v>0</v>
      </c>
      <c r="DW160" s="451">
        <v>0</v>
      </c>
      <c r="DX160" s="451">
        <v>2958</v>
      </c>
      <c r="DY160" s="451">
        <v>0</v>
      </c>
      <c r="DZ160" s="451">
        <v>0</v>
      </c>
      <c r="EA160" s="451">
        <v>2958</v>
      </c>
      <c r="EB160" s="451">
        <v>0</v>
      </c>
      <c r="EC160" s="451">
        <v>0</v>
      </c>
      <c r="ED160" s="451">
        <v>0</v>
      </c>
      <c r="EE160" s="451">
        <v>0</v>
      </c>
      <c r="EF160" s="451">
        <v>0</v>
      </c>
      <c r="EG160" s="451">
        <v>0</v>
      </c>
      <c r="EH160" s="451">
        <v>0</v>
      </c>
      <c r="EI160" s="451">
        <v>0</v>
      </c>
      <c r="EJ160" s="451">
        <v>0</v>
      </c>
      <c r="EK160" s="451">
        <v>0</v>
      </c>
      <c r="EL160" s="451">
        <v>0</v>
      </c>
      <c r="EM160" s="451">
        <v>0</v>
      </c>
    </row>
    <row r="161" spans="1:143" ht="12.75" x14ac:dyDescent="0.2">
      <c r="A161" s="446">
        <v>155</v>
      </c>
      <c r="B161" s="447" t="s">
        <v>193</v>
      </c>
      <c r="C161" s="448" t="s">
        <v>1100</v>
      </c>
      <c r="D161" s="449" t="s">
        <v>1095</v>
      </c>
      <c r="E161" s="450" t="s">
        <v>192</v>
      </c>
      <c r="F161" s="451">
        <v>569648</v>
      </c>
      <c r="G161" s="451">
        <v>0</v>
      </c>
      <c r="H161" s="451">
        <v>92436</v>
      </c>
      <c r="I161" s="451">
        <v>662084</v>
      </c>
      <c r="J161" s="451">
        <v>-1991024</v>
      </c>
      <c r="K161" s="451">
        <v>0</v>
      </c>
      <c r="L161" s="451">
        <v>-43829</v>
      </c>
      <c r="M161" s="451">
        <v>-2034853</v>
      </c>
      <c r="N161" s="451">
        <v>172534</v>
      </c>
      <c r="O161" s="451">
        <v>0</v>
      </c>
      <c r="P161" s="451">
        <v>28952</v>
      </c>
      <c r="Q161" s="451">
        <v>201486</v>
      </c>
      <c r="R161" s="451">
        <v>599399</v>
      </c>
      <c r="S161" s="451">
        <v>0</v>
      </c>
      <c r="T161" s="451">
        <v>15649</v>
      </c>
      <c r="U161" s="451">
        <v>615048</v>
      </c>
      <c r="V161" s="451">
        <v>7303095</v>
      </c>
      <c r="W161" s="451">
        <v>0</v>
      </c>
      <c r="X161" s="451">
        <v>420392</v>
      </c>
      <c r="Y161" s="451">
        <v>7723487</v>
      </c>
      <c r="Z161" s="451">
        <v>528900</v>
      </c>
      <c r="AA161" s="451">
        <v>0</v>
      </c>
      <c r="AB161" s="451">
        <v>54785</v>
      </c>
      <c r="AC161" s="451">
        <v>583685</v>
      </c>
      <c r="AD161" s="451">
        <v>4115383</v>
      </c>
      <c r="AE161" s="451">
        <v>0</v>
      </c>
      <c r="AF161" s="451">
        <v>49536</v>
      </c>
      <c r="AG161" s="451">
        <v>4164919</v>
      </c>
      <c r="AH161" s="451">
        <v>4733</v>
      </c>
      <c r="AI161" s="451">
        <v>0</v>
      </c>
      <c r="AJ161" s="451">
        <v>0</v>
      </c>
      <c r="AK161" s="451">
        <v>4733</v>
      </c>
      <c r="AL161" s="451">
        <v>14822242</v>
      </c>
      <c r="AM161" s="451">
        <v>0</v>
      </c>
      <c r="AN161" s="451">
        <v>776347</v>
      </c>
      <c r="AO161" s="451">
        <v>15598589</v>
      </c>
      <c r="AP161" s="451">
        <v>-1083803</v>
      </c>
      <c r="AQ161" s="451">
        <v>0</v>
      </c>
      <c r="AR161" s="451">
        <v>575507</v>
      </c>
      <c r="AS161" s="451">
        <v>-508296</v>
      </c>
      <c r="AT161" s="451">
        <v>0</v>
      </c>
      <c r="AU161" s="451">
        <v>0</v>
      </c>
      <c r="AV161" s="451">
        <v>0</v>
      </c>
      <c r="AW161" s="451">
        <v>0</v>
      </c>
      <c r="AX161" s="451">
        <v>0</v>
      </c>
      <c r="AY161" s="451">
        <v>0</v>
      </c>
      <c r="AZ161" s="451">
        <v>0</v>
      </c>
      <c r="BA161" s="451">
        <v>0</v>
      </c>
      <c r="BB161" s="451">
        <v>0</v>
      </c>
      <c r="BC161" s="451">
        <v>0</v>
      </c>
      <c r="BD161" s="451">
        <v>0</v>
      </c>
      <c r="BE161" s="451">
        <v>0</v>
      </c>
      <c r="BF161" s="451">
        <v>0</v>
      </c>
      <c r="BG161" s="451">
        <v>0</v>
      </c>
      <c r="BH161" s="451">
        <v>0</v>
      </c>
      <c r="BI161" s="451">
        <v>0</v>
      </c>
      <c r="BJ161" s="451">
        <v>72149</v>
      </c>
      <c r="BK161" s="451">
        <v>0</v>
      </c>
      <c r="BL161" s="451">
        <v>1724</v>
      </c>
      <c r="BM161" s="451">
        <v>73873</v>
      </c>
      <c r="BN161" s="451">
        <v>66516</v>
      </c>
      <c r="BO161" s="451">
        <v>0</v>
      </c>
      <c r="BP161" s="451">
        <v>-13752</v>
      </c>
      <c r="BQ161" s="451">
        <v>52764</v>
      </c>
      <c r="BR161" s="451">
        <v>11743193</v>
      </c>
      <c r="BS161" s="451">
        <v>0</v>
      </c>
      <c r="BT161" s="451">
        <v>8579431</v>
      </c>
      <c r="BU161" s="451">
        <v>20322624</v>
      </c>
      <c r="BV161" s="451">
        <v>91734</v>
      </c>
      <c r="BW161" s="451">
        <v>0</v>
      </c>
      <c r="BX161" s="451">
        <v>74794</v>
      </c>
      <c r="BY161" s="451">
        <v>166528</v>
      </c>
      <c r="BZ161" s="451">
        <v>37596</v>
      </c>
      <c r="CA161" s="451">
        <v>0</v>
      </c>
      <c r="CB161" s="451">
        <v>0</v>
      </c>
      <c r="CC161" s="451">
        <v>37596</v>
      </c>
      <c r="CD161" s="451">
        <v>29664</v>
      </c>
      <c r="CE161" s="451">
        <v>0</v>
      </c>
      <c r="CF161" s="451">
        <v>0</v>
      </c>
      <c r="CG161" s="451">
        <v>29664</v>
      </c>
      <c r="CH161" s="451">
        <v>89797</v>
      </c>
      <c r="CI161" s="451">
        <v>0</v>
      </c>
      <c r="CJ161" s="451">
        <v>9655.5</v>
      </c>
      <c r="CK161" s="451">
        <v>99452.5</v>
      </c>
      <c r="CL161" s="451">
        <v>-38958</v>
      </c>
      <c r="CM161" s="451">
        <v>0</v>
      </c>
      <c r="CN161" s="451">
        <v>454</v>
      </c>
      <c r="CO161" s="451">
        <v>-38504</v>
      </c>
      <c r="CP161" s="451">
        <v>0</v>
      </c>
      <c r="CQ161" s="451">
        <v>0</v>
      </c>
      <c r="CR161" s="451">
        <v>0</v>
      </c>
      <c r="CS161" s="451">
        <v>0</v>
      </c>
      <c r="CT161" s="451">
        <v>0</v>
      </c>
      <c r="CU161" s="451">
        <v>0</v>
      </c>
      <c r="CV161" s="451">
        <v>0</v>
      </c>
      <c r="CW161" s="451">
        <v>0</v>
      </c>
      <c r="CX161" s="451">
        <v>0</v>
      </c>
      <c r="CY161" s="451">
        <v>0</v>
      </c>
      <c r="CZ161" s="451">
        <v>0</v>
      </c>
      <c r="DA161" s="451">
        <v>0</v>
      </c>
      <c r="DB161" s="451">
        <v>0</v>
      </c>
      <c r="DC161" s="451">
        <v>0</v>
      </c>
      <c r="DD161" s="451">
        <v>0</v>
      </c>
      <c r="DE161" s="451">
        <v>0</v>
      </c>
      <c r="DF161" s="451">
        <v>0</v>
      </c>
      <c r="DG161" s="451">
        <v>0</v>
      </c>
      <c r="DH161" s="451">
        <v>0</v>
      </c>
      <c r="DI161" s="451">
        <v>0</v>
      </c>
      <c r="DJ161" s="451">
        <v>0</v>
      </c>
      <c r="DK161" s="451">
        <v>0</v>
      </c>
      <c r="DL161" s="451">
        <v>0</v>
      </c>
      <c r="DM161" s="451">
        <v>0</v>
      </c>
      <c r="DN161" s="451">
        <v>0</v>
      </c>
      <c r="DO161" s="451">
        <v>0</v>
      </c>
      <c r="DP161" s="451">
        <v>0</v>
      </c>
      <c r="DQ161" s="451">
        <v>0</v>
      </c>
      <c r="DR161" s="451">
        <v>0</v>
      </c>
      <c r="DS161" s="451">
        <v>0</v>
      </c>
      <c r="DT161" s="451">
        <v>0</v>
      </c>
      <c r="DU161" s="451">
        <v>0</v>
      </c>
      <c r="DV161" s="451">
        <v>0</v>
      </c>
      <c r="DW161" s="451">
        <v>0</v>
      </c>
      <c r="DX161" s="451">
        <v>0</v>
      </c>
      <c r="DY161" s="451">
        <v>0</v>
      </c>
      <c r="DZ161" s="451">
        <v>0</v>
      </c>
      <c r="EA161" s="451">
        <v>0</v>
      </c>
      <c r="EB161" s="451">
        <v>0</v>
      </c>
      <c r="EC161" s="451">
        <v>0</v>
      </c>
      <c r="ED161" s="451">
        <v>0</v>
      </c>
      <c r="EE161" s="451">
        <v>0</v>
      </c>
      <c r="EF161" s="451">
        <v>0</v>
      </c>
      <c r="EG161" s="451">
        <v>0</v>
      </c>
      <c r="EH161" s="451">
        <v>0</v>
      </c>
      <c r="EI161" s="451">
        <v>0</v>
      </c>
      <c r="EJ161" s="451">
        <v>0</v>
      </c>
      <c r="EK161" s="451">
        <v>0</v>
      </c>
      <c r="EL161" s="451">
        <v>0</v>
      </c>
      <c r="EM161" s="451">
        <v>0</v>
      </c>
    </row>
    <row r="162" spans="1:143" ht="12.75" x14ac:dyDescent="0.2">
      <c r="A162" s="446">
        <v>156</v>
      </c>
      <c r="B162" s="447" t="s">
        <v>195</v>
      </c>
      <c r="C162" s="448" t="s">
        <v>794</v>
      </c>
      <c r="D162" s="449" t="s">
        <v>1097</v>
      </c>
      <c r="E162" s="450" t="s">
        <v>724</v>
      </c>
      <c r="F162" s="451">
        <v>102868.56</v>
      </c>
      <c r="G162" s="451">
        <v>0</v>
      </c>
      <c r="H162" s="451">
        <v>0</v>
      </c>
      <c r="I162" s="451">
        <v>102868.56</v>
      </c>
      <c r="J162" s="451">
        <v>-280532.77</v>
      </c>
      <c r="K162" s="451">
        <v>0</v>
      </c>
      <c r="L162" s="451">
        <v>0</v>
      </c>
      <c r="M162" s="451">
        <v>-280532.77</v>
      </c>
      <c r="N162" s="451">
        <v>168504.61</v>
      </c>
      <c r="O162" s="451">
        <v>0</v>
      </c>
      <c r="P162" s="451">
        <v>0</v>
      </c>
      <c r="Q162" s="451">
        <v>168504.61</v>
      </c>
      <c r="R162" s="451">
        <v>320637.64</v>
      </c>
      <c r="S162" s="451">
        <v>0</v>
      </c>
      <c r="T162" s="451">
        <v>0</v>
      </c>
      <c r="U162" s="451">
        <v>320637.64</v>
      </c>
      <c r="V162" s="451">
        <v>2602700.2599999998</v>
      </c>
      <c r="W162" s="451">
        <v>0</v>
      </c>
      <c r="X162" s="451">
        <v>0</v>
      </c>
      <c r="Y162" s="451">
        <v>2602700.2599999998</v>
      </c>
      <c r="Z162" s="451">
        <v>243982.36</v>
      </c>
      <c r="AA162" s="451">
        <v>0</v>
      </c>
      <c r="AB162" s="451">
        <v>0</v>
      </c>
      <c r="AC162" s="451">
        <v>243982.36</v>
      </c>
      <c r="AD162" s="451">
        <v>1349644.42</v>
      </c>
      <c r="AE162" s="451">
        <v>0</v>
      </c>
      <c r="AF162" s="451">
        <v>0</v>
      </c>
      <c r="AG162" s="451">
        <v>1349644.42</v>
      </c>
      <c r="AH162" s="451">
        <v>25305.87</v>
      </c>
      <c r="AI162" s="451">
        <v>0</v>
      </c>
      <c r="AJ162" s="451">
        <v>0</v>
      </c>
      <c r="AK162" s="451">
        <v>25305.87</v>
      </c>
      <c r="AL162" s="451">
        <v>4721405.8</v>
      </c>
      <c r="AM162" s="451">
        <v>0</v>
      </c>
      <c r="AN162" s="451">
        <v>0</v>
      </c>
      <c r="AO162" s="451">
        <v>4721405.8</v>
      </c>
      <c r="AP162" s="451">
        <v>40802.949999999997</v>
      </c>
      <c r="AQ162" s="451">
        <v>0</v>
      </c>
      <c r="AR162" s="451">
        <v>0</v>
      </c>
      <c r="AS162" s="451">
        <v>40802.949999999997</v>
      </c>
      <c r="AT162" s="451">
        <v>39234.69</v>
      </c>
      <c r="AU162" s="451">
        <v>0</v>
      </c>
      <c r="AV162" s="451">
        <v>0</v>
      </c>
      <c r="AW162" s="451">
        <v>39234.69</v>
      </c>
      <c r="AX162" s="451">
        <v>0</v>
      </c>
      <c r="AY162" s="451">
        <v>0</v>
      </c>
      <c r="AZ162" s="451">
        <v>0</v>
      </c>
      <c r="BA162" s="451">
        <v>0</v>
      </c>
      <c r="BB162" s="451">
        <v>0</v>
      </c>
      <c r="BC162" s="451">
        <v>0</v>
      </c>
      <c r="BD162" s="451">
        <v>0</v>
      </c>
      <c r="BE162" s="451">
        <v>0</v>
      </c>
      <c r="BF162" s="451">
        <v>0</v>
      </c>
      <c r="BG162" s="451">
        <v>0</v>
      </c>
      <c r="BH162" s="451">
        <v>0</v>
      </c>
      <c r="BI162" s="451">
        <v>0</v>
      </c>
      <c r="BJ162" s="451">
        <v>54929.89</v>
      </c>
      <c r="BK162" s="451">
        <v>0</v>
      </c>
      <c r="BL162" s="451">
        <v>0</v>
      </c>
      <c r="BM162" s="451">
        <v>54929.89</v>
      </c>
      <c r="BN162" s="451">
        <v>37412.68</v>
      </c>
      <c r="BO162" s="451">
        <v>0</v>
      </c>
      <c r="BP162" s="451">
        <v>0</v>
      </c>
      <c r="BQ162" s="451">
        <v>37412.68</v>
      </c>
      <c r="BR162" s="451">
        <v>2753992.99</v>
      </c>
      <c r="BS162" s="451">
        <v>0</v>
      </c>
      <c r="BT162" s="451">
        <v>0</v>
      </c>
      <c r="BU162" s="451">
        <v>2753992.99</v>
      </c>
      <c r="BV162" s="451">
        <v>48900.87</v>
      </c>
      <c r="BW162" s="451">
        <v>0</v>
      </c>
      <c r="BX162" s="451">
        <v>0</v>
      </c>
      <c r="BY162" s="451">
        <v>48900.87</v>
      </c>
      <c r="BZ162" s="451">
        <v>127884.32</v>
      </c>
      <c r="CA162" s="451">
        <v>0</v>
      </c>
      <c r="CB162" s="451">
        <v>0</v>
      </c>
      <c r="CC162" s="451">
        <v>127884.32</v>
      </c>
      <c r="CD162" s="451">
        <v>10717.96</v>
      </c>
      <c r="CE162" s="451">
        <v>0</v>
      </c>
      <c r="CF162" s="451">
        <v>0</v>
      </c>
      <c r="CG162" s="451">
        <v>10717.96</v>
      </c>
      <c r="CH162" s="451">
        <v>62981.54</v>
      </c>
      <c r="CI162" s="451">
        <v>0</v>
      </c>
      <c r="CJ162" s="451">
        <v>0</v>
      </c>
      <c r="CK162" s="451">
        <v>62981.54</v>
      </c>
      <c r="CL162" s="451">
        <v>3002.74</v>
      </c>
      <c r="CM162" s="451">
        <v>0</v>
      </c>
      <c r="CN162" s="451">
        <v>0</v>
      </c>
      <c r="CO162" s="451">
        <v>3002.74</v>
      </c>
      <c r="CP162" s="451">
        <v>0</v>
      </c>
      <c r="CQ162" s="451">
        <v>0</v>
      </c>
      <c r="CR162" s="451">
        <v>0</v>
      </c>
      <c r="CS162" s="451">
        <v>0</v>
      </c>
      <c r="CT162" s="451">
        <v>0</v>
      </c>
      <c r="CU162" s="451">
        <v>0</v>
      </c>
      <c r="CV162" s="451">
        <v>0</v>
      </c>
      <c r="CW162" s="451">
        <v>0</v>
      </c>
      <c r="CX162" s="451">
        <v>0</v>
      </c>
      <c r="CY162" s="451">
        <v>0</v>
      </c>
      <c r="CZ162" s="451">
        <v>0</v>
      </c>
      <c r="DA162" s="451">
        <v>0</v>
      </c>
      <c r="DB162" s="451">
        <v>0</v>
      </c>
      <c r="DC162" s="451">
        <v>0</v>
      </c>
      <c r="DD162" s="451">
        <v>0</v>
      </c>
      <c r="DE162" s="451">
        <v>0</v>
      </c>
      <c r="DF162" s="451">
        <v>0</v>
      </c>
      <c r="DG162" s="451">
        <v>0</v>
      </c>
      <c r="DH162" s="451">
        <v>0</v>
      </c>
      <c r="DI162" s="451">
        <v>0</v>
      </c>
      <c r="DJ162" s="451">
        <v>0</v>
      </c>
      <c r="DK162" s="451">
        <v>0</v>
      </c>
      <c r="DL162" s="451">
        <v>0</v>
      </c>
      <c r="DM162" s="451">
        <v>0</v>
      </c>
      <c r="DN162" s="451">
        <v>394.29</v>
      </c>
      <c r="DO162" s="451">
        <v>0</v>
      </c>
      <c r="DP162" s="451">
        <v>0</v>
      </c>
      <c r="DQ162" s="451">
        <v>394.29</v>
      </c>
      <c r="DR162" s="451">
        <v>0</v>
      </c>
      <c r="DS162" s="451">
        <v>0</v>
      </c>
      <c r="DT162" s="451">
        <v>0</v>
      </c>
      <c r="DU162" s="451">
        <v>0</v>
      </c>
      <c r="DV162" s="451">
        <v>0</v>
      </c>
      <c r="DW162" s="451">
        <v>0</v>
      </c>
      <c r="DX162" s="451">
        <v>0</v>
      </c>
      <c r="DY162" s="451">
        <v>0</v>
      </c>
      <c r="DZ162" s="451">
        <v>0</v>
      </c>
      <c r="EA162" s="451">
        <v>0</v>
      </c>
      <c r="EB162" s="451">
        <v>0</v>
      </c>
      <c r="EC162" s="451">
        <v>0</v>
      </c>
      <c r="ED162" s="451">
        <v>0</v>
      </c>
      <c r="EE162" s="451">
        <v>0</v>
      </c>
      <c r="EF162" s="451">
        <v>4958.22</v>
      </c>
      <c r="EG162" s="451">
        <v>0</v>
      </c>
      <c r="EH162" s="451">
        <v>0</v>
      </c>
      <c r="EI162" s="451">
        <v>4958.22</v>
      </c>
      <c r="EJ162" s="451">
        <v>0</v>
      </c>
      <c r="EK162" s="451">
        <v>0</v>
      </c>
      <c r="EL162" s="451">
        <v>0</v>
      </c>
      <c r="EM162" s="451">
        <v>0</v>
      </c>
    </row>
    <row r="163" spans="1:143" ht="12.75" x14ac:dyDescent="0.2">
      <c r="A163" s="446">
        <v>157</v>
      </c>
      <c r="B163" s="447" t="s">
        <v>197</v>
      </c>
      <c r="C163" s="448" t="s">
        <v>1093</v>
      </c>
      <c r="D163" s="449" t="s">
        <v>1094</v>
      </c>
      <c r="E163" s="450" t="s">
        <v>196</v>
      </c>
      <c r="F163" s="451">
        <v>73170.91</v>
      </c>
      <c r="G163" s="451">
        <v>0</v>
      </c>
      <c r="H163" s="451">
        <v>0</v>
      </c>
      <c r="I163" s="451">
        <v>73170.91</v>
      </c>
      <c r="J163" s="451">
        <v>66373.289999999994</v>
      </c>
      <c r="K163" s="451">
        <v>0</v>
      </c>
      <c r="L163" s="451">
        <v>0</v>
      </c>
      <c r="M163" s="451">
        <v>66373.289999999994</v>
      </c>
      <c r="N163" s="451">
        <v>99254.76</v>
      </c>
      <c r="O163" s="451">
        <v>0</v>
      </c>
      <c r="P163" s="451">
        <v>0</v>
      </c>
      <c r="Q163" s="451">
        <v>99254.76</v>
      </c>
      <c r="R163" s="451">
        <v>62926.8</v>
      </c>
      <c r="S163" s="451">
        <v>0</v>
      </c>
      <c r="T163" s="451">
        <v>0</v>
      </c>
      <c r="U163" s="451">
        <v>62926.8</v>
      </c>
      <c r="V163" s="451">
        <v>2193901.12</v>
      </c>
      <c r="W163" s="451">
        <v>0</v>
      </c>
      <c r="X163" s="451">
        <v>0</v>
      </c>
      <c r="Y163" s="451">
        <v>2193901.12</v>
      </c>
      <c r="Z163" s="451">
        <v>154102.04999999999</v>
      </c>
      <c r="AA163" s="451">
        <v>0</v>
      </c>
      <c r="AB163" s="451">
        <v>0</v>
      </c>
      <c r="AC163" s="451">
        <v>154102.04999999999</v>
      </c>
      <c r="AD163" s="451">
        <v>1107025.8799999999</v>
      </c>
      <c r="AE163" s="451">
        <v>0</v>
      </c>
      <c r="AF163" s="451">
        <v>0</v>
      </c>
      <c r="AG163" s="451">
        <v>1107025.8799999999</v>
      </c>
      <c r="AH163" s="451">
        <v>-19169.54</v>
      </c>
      <c r="AI163" s="451">
        <v>0</v>
      </c>
      <c r="AJ163" s="451">
        <v>0</v>
      </c>
      <c r="AK163" s="451">
        <v>-19169.54</v>
      </c>
      <c r="AL163" s="451">
        <v>3626717.26</v>
      </c>
      <c r="AM163" s="451">
        <v>0</v>
      </c>
      <c r="AN163" s="451">
        <v>0</v>
      </c>
      <c r="AO163" s="451">
        <v>3626717.26</v>
      </c>
      <c r="AP163" s="451">
        <v>-9478.25</v>
      </c>
      <c r="AQ163" s="451">
        <v>0</v>
      </c>
      <c r="AR163" s="451">
        <v>0</v>
      </c>
      <c r="AS163" s="451">
        <v>-9478.25</v>
      </c>
      <c r="AT163" s="451">
        <v>86911.58</v>
      </c>
      <c r="AU163" s="451">
        <v>0</v>
      </c>
      <c r="AV163" s="451">
        <v>0</v>
      </c>
      <c r="AW163" s="451">
        <v>86911.58</v>
      </c>
      <c r="AX163" s="451">
        <v>0</v>
      </c>
      <c r="AY163" s="451">
        <v>0</v>
      </c>
      <c r="AZ163" s="451">
        <v>0</v>
      </c>
      <c r="BA163" s="451">
        <v>0</v>
      </c>
      <c r="BB163" s="451">
        <v>5304.63</v>
      </c>
      <c r="BC163" s="451">
        <v>0</v>
      </c>
      <c r="BD163" s="451">
        <v>0</v>
      </c>
      <c r="BE163" s="451">
        <v>5304.63</v>
      </c>
      <c r="BF163" s="451">
        <v>-1004.04</v>
      </c>
      <c r="BG163" s="451">
        <v>0</v>
      </c>
      <c r="BH163" s="451">
        <v>0</v>
      </c>
      <c r="BI163" s="451">
        <v>-1004.04</v>
      </c>
      <c r="BJ163" s="451">
        <v>46986.239999999998</v>
      </c>
      <c r="BK163" s="451">
        <v>0</v>
      </c>
      <c r="BL163" s="451">
        <v>0</v>
      </c>
      <c r="BM163" s="451">
        <v>46986.239999999998</v>
      </c>
      <c r="BN163" s="451">
        <v>-1488.45</v>
      </c>
      <c r="BO163" s="451">
        <v>0</v>
      </c>
      <c r="BP163" s="451">
        <v>0</v>
      </c>
      <c r="BQ163" s="451">
        <v>-1488.45</v>
      </c>
      <c r="BR163" s="451">
        <v>2692269.8</v>
      </c>
      <c r="BS163" s="451">
        <v>0</v>
      </c>
      <c r="BT163" s="451">
        <v>0</v>
      </c>
      <c r="BU163" s="451">
        <v>2692269.8</v>
      </c>
      <c r="BV163" s="451">
        <v>213283.16</v>
      </c>
      <c r="BW163" s="451">
        <v>0</v>
      </c>
      <c r="BX163" s="451">
        <v>0</v>
      </c>
      <c r="BY163" s="451">
        <v>213283.16</v>
      </c>
      <c r="BZ163" s="451">
        <v>114039</v>
      </c>
      <c r="CA163" s="451">
        <v>0</v>
      </c>
      <c r="CB163" s="451">
        <v>0</v>
      </c>
      <c r="CC163" s="451">
        <v>114039</v>
      </c>
      <c r="CD163" s="451">
        <v>0</v>
      </c>
      <c r="CE163" s="451">
        <v>0</v>
      </c>
      <c r="CF163" s="451">
        <v>0</v>
      </c>
      <c r="CG163" s="451">
        <v>0</v>
      </c>
      <c r="CH163" s="451">
        <v>8748.1</v>
      </c>
      <c r="CI163" s="451">
        <v>0</v>
      </c>
      <c r="CJ163" s="451">
        <v>0</v>
      </c>
      <c r="CK163" s="451">
        <v>8748.1</v>
      </c>
      <c r="CL163" s="451">
        <v>0</v>
      </c>
      <c r="CM163" s="451">
        <v>0</v>
      </c>
      <c r="CN163" s="451">
        <v>0</v>
      </c>
      <c r="CO163" s="451">
        <v>0</v>
      </c>
      <c r="CP163" s="451">
        <v>4316</v>
      </c>
      <c r="CQ163" s="451">
        <v>0</v>
      </c>
      <c r="CR163" s="451">
        <v>0</v>
      </c>
      <c r="CS163" s="451">
        <v>4316</v>
      </c>
      <c r="CT163" s="451">
        <v>0</v>
      </c>
      <c r="CU163" s="451">
        <v>0</v>
      </c>
      <c r="CV163" s="451">
        <v>0</v>
      </c>
      <c r="CW163" s="451">
        <v>0</v>
      </c>
      <c r="CX163" s="451">
        <v>3285.22</v>
      </c>
      <c r="CY163" s="451">
        <v>0</v>
      </c>
      <c r="CZ163" s="451">
        <v>0</v>
      </c>
      <c r="DA163" s="451">
        <v>3285.22</v>
      </c>
      <c r="DB163" s="451">
        <v>-1004.04</v>
      </c>
      <c r="DC163" s="451">
        <v>0</v>
      </c>
      <c r="DD163" s="451">
        <v>0</v>
      </c>
      <c r="DE163" s="451">
        <v>-1004.04</v>
      </c>
      <c r="DF163" s="451">
        <v>0</v>
      </c>
      <c r="DG163" s="451">
        <v>0</v>
      </c>
      <c r="DH163" s="451">
        <v>0</v>
      </c>
      <c r="DI163" s="451">
        <v>0</v>
      </c>
      <c r="DJ163" s="451">
        <v>0</v>
      </c>
      <c r="DK163" s="451">
        <v>0</v>
      </c>
      <c r="DL163" s="451">
        <v>0</v>
      </c>
      <c r="DM163" s="451">
        <v>0</v>
      </c>
      <c r="DN163" s="451">
        <v>0</v>
      </c>
      <c r="DO163" s="451">
        <v>0</v>
      </c>
      <c r="DP163" s="451">
        <v>0</v>
      </c>
      <c r="DQ163" s="451">
        <v>0</v>
      </c>
      <c r="DR163" s="451">
        <v>0</v>
      </c>
      <c r="DS163" s="451">
        <v>0</v>
      </c>
      <c r="DT163" s="451">
        <v>0</v>
      </c>
      <c r="DU163" s="451">
        <v>0</v>
      </c>
      <c r="DV163" s="451">
        <v>0</v>
      </c>
      <c r="DW163" s="451">
        <v>0</v>
      </c>
      <c r="DX163" s="451">
        <v>0</v>
      </c>
      <c r="DY163" s="451">
        <v>0</v>
      </c>
      <c r="DZ163" s="451">
        <v>0</v>
      </c>
      <c r="EA163" s="451">
        <v>0</v>
      </c>
      <c r="EB163" s="451">
        <v>0</v>
      </c>
      <c r="EC163" s="451">
        <v>0</v>
      </c>
      <c r="ED163" s="451">
        <v>0</v>
      </c>
      <c r="EE163" s="451">
        <v>0</v>
      </c>
      <c r="EF163" s="451">
        <v>0</v>
      </c>
      <c r="EG163" s="451">
        <v>0</v>
      </c>
      <c r="EH163" s="451">
        <v>0</v>
      </c>
      <c r="EI163" s="451">
        <v>0</v>
      </c>
      <c r="EJ163" s="451">
        <v>0</v>
      </c>
      <c r="EK163" s="451">
        <v>0</v>
      </c>
      <c r="EL163" s="451">
        <v>0</v>
      </c>
      <c r="EM163" s="451">
        <v>0</v>
      </c>
    </row>
    <row r="164" spans="1:143" ht="12.75" x14ac:dyDescent="0.2">
      <c r="A164" s="446">
        <v>158</v>
      </c>
      <c r="B164" s="447" t="s">
        <v>199</v>
      </c>
      <c r="C164" s="448" t="s">
        <v>1093</v>
      </c>
      <c r="D164" s="449" t="s">
        <v>1097</v>
      </c>
      <c r="E164" s="450" t="s">
        <v>198</v>
      </c>
      <c r="F164" s="451">
        <v>48551.31</v>
      </c>
      <c r="G164" s="451">
        <v>0</v>
      </c>
      <c r="H164" s="451">
        <v>0</v>
      </c>
      <c r="I164" s="451">
        <v>48551.31</v>
      </c>
      <c r="J164" s="451">
        <v>-36177.29</v>
      </c>
      <c r="K164" s="451">
        <v>0</v>
      </c>
      <c r="L164" s="451">
        <v>0</v>
      </c>
      <c r="M164" s="451">
        <v>-36177.29</v>
      </c>
      <c r="N164" s="451">
        <v>1088.19</v>
      </c>
      <c r="O164" s="451">
        <v>0</v>
      </c>
      <c r="P164" s="451">
        <v>0</v>
      </c>
      <c r="Q164" s="451">
        <v>1088.19</v>
      </c>
      <c r="R164" s="451">
        <v>43732.39</v>
      </c>
      <c r="S164" s="451">
        <v>0</v>
      </c>
      <c r="T164" s="451">
        <v>0</v>
      </c>
      <c r="U164" s="451">
        <v>43732.39</v>
      </c>
      <c r="V164" s="451">
        <v>1697274.46</v>
      </c>
      <c r="W164" s="451">
        <v>0</v>
      </c>
      <c r="X164" s="451">
        <v>0</v>
      </c>
      <c r="Y164" s="451">
        <v>1697274.46</v>
      </c>
      <c r="Z164" s="451">
        <v>64554.11</v>
      </c>
      <c r="AA164" s="451">
        <v>0</v>
      </c>
      <c r="AB164" s="451">
        <v>0</v>
      </c>
      <c r="AC164" s="451">
        <v>64554.11</v>
      </c>
      <c r="AD164" s="451">
        <v>226263</v>
      </c>
      <c r="AE164" s="451">
        <v>0</v>
      </c>
      <c r="AF164" s="451">
        <v>0</v>
      </c>
      <c r="AG164" s="451">
        <v>226263</v>
      </c>
      <c r="AH164" s="451">
        <v>3860.79</v>
      </c>
      <c r="AI164" s="451">
        <v>0</v>
      </c>
      <c r="AJ164" s="451">
        <v>0</v>
      </c>
      <c r="AK164" s="451">
        <v>3860.79</v>
      </c>
      <c r="AL164" s="451">
        <v>759122.27</v>
      </c>
      <c r="AM164" s="451">
        <v>0</v>
      </c>
      <c r="AN164" s="451">
        <v>0</v>
      </c>
      <c r="AO164" s="451">
        <v>759122.27</v>
      </c>
      <c r="AP164" s="451">
        <v>6486.55</v>
      </c>
      <c r="AQ164" s="451">
        <v>0</v>
      </c>
      <c r="AR164" s="451">
        <v>0</v>
      </c>
      <c r="AS164" s="451">
        <v>6486.55</v>
      </c>
      <c r="AT164" s="451">
        <v>24241.86</v>
      </c>
      <c r="AU164" s="451">
        <v>0</v>
      </c>
      <c r="AV164" s="451">
        <v>0</v>
      </c>
      <c r="AW164" s="451">
        <v>24241.86</v>
      </c>
      <c r="AX164" s="451">
        <v>0</v>
      </c>
      <c r="AY164" s="451">
        <v>0</v>
      </c>
      <c r="AZ164" s="451">
        <v>0</v>
      </c>
      <c r="BA164" s="451">
        <v>0</v>
      </c>
      <c r="BB164" s="451">
        <v>14879.18</v>
      </c>
      <c r="BC164" s="451">
        <v>0</v>
      </c>
      <c r="BD164" s="451">
        <v>0</v>
      </c>
      <c r="BE164" s="451">
        <v>14879.18</v>
      </c>
      <c r="BF164" s="451">
        <v>0.02</v>
      </c>
      <c r="BG164" s="451">
        <v>0</v>
      </c>
      <c r="BH164" s="451">
        <v>0</v>
      </c>
      <c r="BI164" s="451">
        <v>0.02</v>
      </c>
      <c r="BJ164" s="451">
        <v>0</v>
      </c>
      <c r="BK164" s="451">
        <v>0</v>
      </c>
      <c r="BL164" s="451">
        <v>0</v>
      </c>
      <c r="BM164" s="451">
        <v>0</v>
      </c>
      <c r="BN164" s="451">
        <v>-12610.36</v>
      </c>
      <c r="BO164" s="451">
        <v>0</v>
      </c>
      <c r="BP164" s="451">
        <v>0</v>
      </c>
      <c r="BQ164" s="451">
        <v>-12610.36</v>
      </c>
      <c r="BR164" s="451">
        <v>408424.17</v>
      </c>
      <c r="BS164" s="451">
        <v>0</v>
      </c>
      <c r="BT164" s="451">
        <v>0</v>
      </c>
      <c r="BU164" s="451">
        <v>408424.17</v>
      </c>
      <c r="BV164" s="451">
        <v>-4632.21</v>
      </c>
      <c r="BW164" s="451">
        <v>0</v>
      </c>
      <c r="BX164" s="451">
        <v>0</v>
      </c>
      <c r="BY164" s="451">
        <v>-4632.21</v>
      </c>
      <c r="BZ164" s="451">
        <v>33518.69</v>
      </c>
      <c r="CA164" s="451">
        <v>0</v>
      </c>
      <c r="CB164" s="451">
        <v>0</v>
      </c>
      <c r="CC164" s="451">
        <v>33518.69</v>
      </c>
      <c r="CD164" s="451">
        <v>720.25</v>
      </c>
      <c r="CE164" s="451">
        <v>0</v>
      </c>
      <c r="CF164" s="451">
        <v>0</v>
      </c>
      <c r="CG164" s="451">
        <v>720.25</v>
      </c>
      <c r="CH164" s="451">
        <v>12946.64</v>
      </c>
      <c r="CI164" s="451">
        <v>0</v>
      </c>
      <c r="CJ164" s="451">
        <v>0</v>
      </c>
      <c r="CK164" s="451">
        <v>12946.64</v>
      </c>
      <c r="CL164" s="451">
        <v>501.55</v>
      </c>
      <c r="CM164" s="451">
        <v>0</v>
      </c>
      <c r="CN164" s="451">
        <v>0</v>
      </c>
      <c r="CO164" s="451">
        <v>501.55</v>
      </c>
      <c r="CP164" s="451">
        <v>165.9</v>
      </c>
      <c r="CQ164" s="451">
        <v>0</v>
      </c>
      <c r="CR164" s="451">
        <v>0</v>
      </c>
      <c r="CS164" s="451">
        <v>165.9</v>
      </c>
      <c r="CT164" s="451">
        <v>0</v>
      </c>
      <c r="CU164" s="451">
        <v>0</v>
      </c>
      <c r="CV164" s="451">
        <v>0</v>
      </c>
      <c r="CW164" s="451">
        <v>0</v>
      </c>
      <c r="CX164" s="451">
        <v>818.62</v>
      </c>
      <c r="CY164" s="451">
        <v>0</v>
      </c>
      <c r="CZ164" s="451">
        <v>0</v>
      </c>
      <c r="DA164" s="451">
        <v>818.62</v>
      </c>
      <c r="DB164" s="451">
        <v>0</v>
      </c>
      <c r="DC164" s="451">
        <v>0</v>
      </c>
      <c r="DD164" s="451">
        <v>0</v>
      </c>
      <c r="DE164" s="451">
        <v>0</v>
      </c>
      <c r="DF164" s="451">
        <v>0</v>
      </c>
      <c r="DG164" s="451">
        <v>0</v>
      </c>
      <c r="DH164" s="451">
        <v>0</v>
      </c>
      <c r="DI164" s="451">
        <v>0</v>
      </c>
      <c r="DJ164" s="451">
        <v>0</v>
      </c>
      <c r="DK164" s="451">
        <v>0</v>
      </c>
      <c r="DL164" s="451">
        <v>0</v>
      </c>
      <c r="DM164" s="451">
        <v>0</v>
      </c>
      <c r="DN164" s="451">
        <v>0</v>
      </c>
      <c r="DO164" s="451">
        <v>0</v>
      </c>
      <c r="DP164" s="451">
        <v>0</v>
      </c>
      <c r="DQ164" s="451">
        <v>0</v>
      </c>
      <c r="DR164" s="451">
        <v>0</v>
      </c>
      <c r="DS164" s="451">
        <v>0</v>
      </c>
      <c r="DT164" s="451">
        <v>0</v>
      </c>
      <c r="DU164" s="451">
        <v>0</v>
      </c>
      <c r="DV164" s="451">
        <v>0</v>
      </c>
      <c r="DW164" s="451">
        <v>0</v>
      </c>
      <c r="DX164" s="451">
        <v>0</v>
      </c>
      <c r="DY164" s="451">
        <v>0</v>
      </c>
      <c r="DZ164" s="451">
        <v>0</v>
      </c>
      <c r="EA164" s="451">
        <v>0</v>
      </c>
      <c r="EB164" s="451">
        <v>0</v>
      </c>
      <c r="EC164" s="451">
        <v>0</v>
      </c>
      <c r="ED164" s="451">
        <v>0</v>
      </c>
      <c r="EE164" s="451">
        <v>0</v>
      </c>
      <c r="EF164" s="451">
        <v>0</v>
      </c>
      <c r="EG164" s="451">
        <v>0</v>
      </c>
      <c r="EH164" s="451">
        <v>0</v>
      </c>
      <c r="EI164" s="451">
        <v>0</v>
      </c>
      <c r="EJ164" s="451">
        <v>0</v>
      </c>
      <c r="EK164" s="451">
        <v>0</v>
      </c>
      <c r="EL164" s="451">
        <v>0</v>
      </c>
      <c r="EM164" s="451">
        <v>0</v>
      </c>
    </row>
    <row r="165" spans="1:143" ht="12.75" x14ac:dyDescent="0.2">
      <c r="A165" s="446">
        <v>159</v>
      </c>
      <c r="B165" s="447" t="s">
        <v>201</v>
      </c>
      <c r="C165" s="448" t="s">
        <v>1093</v>
      </c>
      <c r="D165" s="449" t="s">
        <v>1103</v>
      </c>
      <c r="E165" s="450" t="s">
        <v>1117</v>
      </c>
      <c r="F165" s="451">
        <v>81742</v>
      </c>
      <c r="G165" s="451">
        <v>0</v>
      </c>
      <c r="H165" s="451">
        <v>0</v>
      </c>
      <c r="I165" s="451">
        <v>81742</v>
      </c>
      <c r="J165" s="451">
        <v>-99816</v>
      </c>
      <c r="K165" s="451">
        <v>0</v>
      </c>
      <c r="L165" s="451">
        <v>0</v>
      </c>
      <c r="M165" s="451">
        <v>-99816</v>
      </c>
      <c r="N165" s="451">
        <v>2670</v>
      </c>
      <c r="O165" s="451">
        <v>0</v>
      </c>
      <c r="P165" s="451">
        <v>0</v>
      </c>
      <c r="Q165" s="451">
        <v>2670</v>
      </c>
      <c r="R165" s="451">
        <v>-591</v>
      </c>
      <c r="S165" s="451">
        <v>0</v>
      </c>
      <c r="T165" s="451">
        <v>0</v>
      </c>
      <c r="U165" s="451">
        <v>-591</v>
      </c>
      <c r="V165" s="451">
        <v>1884369</v>
      </c>
      <c r="W165" s="451">
        <v>0</v>
      </c>
      <c r="X165" s="451">
        <v>0</v>
      </c>
      <c r="Y165" s="451">
        <v>1884369</v>
      </c>
      <c r="Z165" s="451">
        <v>31512</v>
      </c>
      <c r="AA165" s="451">
        <v>0</v>
      </c>
      <c r="AB165" s="451">
        <v>0</v>
      </c>
      <c r="AC165" s="451">
        <v>31512</v>
      </c>
      <c r="AD165" s="451">
        <v>281728</v>
      </c>
      <c r="AE165" s="451">
        <v>0</v>
      </c>
      <c r="AF165" s="451">
        <v>0</v>
      </c>
      <c r="AG165" s="451">
        <v>281728</v>
      </c>
      <c r="AH165" s="451">
        <v>-13255</v>
      </c>
      <c r="AI165" s="451">
        <v>0</v>
      </c>
      <c r="AJ165" s="451">
        <v>0</v>
      </c>
      <c r="AK165" s="451">
        <v>-13255</v>
      </c>
      <c r="AL165" s="451">
        <v>1617731</v>
      </c>
      <c r="AM165" s="451">
        <v>0</v>
      </c>
      <c r="AN165" s="451">
        <v>0</v>
      </c>
      <c r="AO165" s="451">
        <v>1617731</v>
      </c>
      <c r="AP165" s="451">
        <v>-816</v>
      </c>
      <c r="AQ165" s="451">
        <v>0</v>
      </c>
      <c r="AR165" s="451">
        <v>0</v>
      </c>
      <c r="AS165" s="451">
        <v>-816</v>
      </c>
      <c r="AT165" s="451">
        <v>41373</v>
      </c>
      <c r="AU165" s="451">
        <v>0</v>
      </c>
      <c r="AV165" s="451">
        <v>0</v>
      </c>
      <c r="AW165" s="451">
        <v>41373</v>
      </c>
      <c r="AX165" s="451">
        <v>0</v>
      </c>
      <c r="AY165" s="451">
        <v>0</v>
      </c>
      <c r="AZ165" s="451">
        <v>0</v>
      </c>
      <c r="BA165" s="451">
        <v>0</v>
      </c>
      <c r="BB165" s="451">
        <v>56743</v>
      </c>
      <c r="BC165" s="451">
        <v>0</v>
      </c>
      <c r="BD165" s="451">
        <v>0</v>
      </c>
      <c r="BE165" s="451">
        <v>56743</v>
      </c>
      <c r="BF165" s="451">
        <v>-0.02</v>
      </c>
      <c r="BG165" s="451">
        <v>0</v>
      </c>
      <c r="BH165" s="451">
        <v>0</v>
      </c>
      <c r="BI165" s="451">
        <v>-0.02</v>
      </c>
      <c r="BJ165" s="451">
        <v>17753</v>
      </c>
      <c r="BK165" s="451">
        <v>0</v>
      </c>
      <c r="BL165" s="451">
        <v>0</v>
      </c>
      <c r="BM165" s="451">
        <v>17753</v>
      </c>
      <c r="BN165" s="451">
        <v>2192</v>
      </c>
      <c r="BO165" s="451">
        <v>0</v>
      </c>
      <c r="BP165" s="451">
        <v>0</v>
      </c>
      <c r="BQ165" s="451">
        <v>2192</v>
      </c>
      <c r="BR165" s="451">
        <v>365241</v>
      </c>
      <c r="BS165" s="451">
        <v>0</v>
      </c>
      <c r="BT165" s="451">
        <v>0</v>
      </c>
      <c r="BU165" s="451">
        <v>365241</v>
      </c>
      <c r="BV165" s="451">
        <v>8557</v>
      </c>
      <c r="BW165" s="451">
        <v>0</v>
      </c>
      <c r="BX165" s="451">
        <v>0</v>
      </c>
      <c r="BY165" s="451">
        <v>8557</v>
      </c>
      <c r="BZ165" s="451">
        <v>89597</v>
      </c>
      <c r="CA165" s="451">
        <v>0</v>
      </c>
      <c r="CB165" s="451">
        <v>0</v>
      </c>
      <c r="CC165" s="451">
        <v>89597</v>
      </c>
      <c r="CD165" s="451">
        <v>8370</v>
      </c>
      <c r="CE165" s="451">
        <v>0</v>
      </c>
      <c r="CF165" s="451">
        <v>0</v>
      </c>
      <c r="CG165" s="451">
        <v>8370</v>
      </c>
      <c r="CH165" s="451">
        <v>54723</v>
      </c>
      <c r="CI165" s="451">
        <v>0</v>
      </c>
      <c r="CJ165" s="451">
        <v>0</v>
      </c>
      <c r="CK165" s="451">
        <v>54723</v>
      </c>
      <c r="CL165" s="451">
        <v>277</v>
      </c>
      <c r="CM165" s="451">
        <v>0</v>
      </c>
      <c r="CN165" s="451">
        <v>0</v>
      </c>
      <c r="CO165" s="451">
        <v>277</v>
      </c>
      <c r="CP165" s="451">
        <v>10256</v>
      </c>
      <c r="CQ165" s="451">
        <v>0</v>
      </c>
      <c r="CR165" s="451">
        <v>0</v>
      </c>
      <c r="CS165" s="451">
        <v>10256</v>
      </c>
      <c r="CT165" s="451">
        <v>0</v>
      </c>
      <c r="CU165" s="451">
        <v>0</v>
      </c>
      <c r="CV165" s="451">
        <v>0</v>
      </c>
      <c r="CW165" s="451">
        <v>0</v>
      </c>
      <c r="CX165" s="451">
        <v>34707</v>
      </c>
      <c r="CY165" s="451">
        <v>0</v>
      </c>
      <c r="CZ165" s="451">
        <v>0</v>
      </c>
      <c r="DA165" s="451">
        <v>34707</v>
      </c>
      <c r="DB165" s="451">
        <v>1444</v>
      </c>
      <c r="DC165" s="451">
        <v>0</v>
      </c>
      <c r="DD165" s="451">
        <v>0</v>
      </c>
      <c r="DE165" s="451">
        <v>1444</v>
      </c>
      <c r="DF165" s="451">
        <v>30827</v>
      </c>
      <c r="DG165" s="451">
        <v>0</v>
      </c>
      <c r="DH165" s="451">
        <v>0</v>
      </c>
      <c r="DI165" s="451">
        <v>30827</v>
      </c>
      <c r="DJ165" s="451">
        <v>3038</v>
      </c>
      <c r="DK165" s="451">
        <v>0</v>
      </c>
      <c r="DL165" s="451">
        <v>0</v>
      </c>
      <c r="DM165" s="451">
        <v>3038</v>
      </c>
      <c r="DN165" s="451">
        <v>0</v>
      </c>
      <c r="DO165" s="451">
        <v>0</v>
      </c>
      <c r="DP165" s="451">
        <v>0</v>
      </c>
      <c r="DQ165" s="451">
        <v>0</v>
      </c>
      <c r="DR165" s="451">
        <v>0</v>
      </c>
      <c r="DS165" s="451">
        <v>0</v>
      </c>
      <c r="DT165" s="451">
        <v>0</v>
      </c>
      <c r="DU165" s="451">
        <v>0</v>
      </c>
      <c r="DV165" s="451">
        <v>0</v>
      </c>
      <c r="DW165" s="451">
        <v>0</v>
      </c>
      <c r="DX165" s="451">
        <v>0</v>
      </c>
      <c r="DY165" s="451">
        <v>0</v>
      </c>
      <c r="DZ165" s="451">
        <v>0</v>
      </c>
      <c r="EA165" s="451">
        <v>0</v>
      </c>
      <c r="EB165" s="451">
        <v>13865</v>
      </c>
      <c r="EC165" s="451">
        <v>0</v>
      </c>
      <c r="ED165" s="451">
        <v>0</v>
      </c>
      <c r="EE165" s="451">
        <v>13865</v>
      </c>
      <c r="EF165" s="451">
        <v>0</v>
      </c>
      <c r="EG165" s="451">
        <v>0</v>
      </c>
      <c r="EH165" s="451">
        <v>0</v>
      </c>
      <c r="EI165" s="451">
        <v>0</v>
      </c>
      <c r="EJ165" s="451">
        <v>0</v>
      </c>
      <c r="EK165" s="451">
        <v>0</v>
      </c>
      <c r="EL165" s="451">
        <v>0</v>
      </c>
      <c r="EM165" s="451">
        <v>0</v>
      </c>
    </row>
    <row r="166" spans="1:143" ht="12.75" x14ac:dyDescent="0.2">
      <c r="A166" s="446">
        <v>160</v>
      </c>
      <c r="B166" s="447" t="s">
        <v>203</v>
      </c>
      <c r="C166" s="448" t="s">
        <v>1100</v>
      </c>
      <c r="D166" s="449" t="s">
        <v>1095</v>
      </c>
      <c r="E166" s="450" t="s">
        <v>202</v>
      </c>
      <c r="F166" s="451">
        <v>1171779</v>
      </c>
      <c r="G166" s="451">
        <v>0</v>
      </c>
      <c r="H166" s="451">
        <v>5166</v>
      </c>
      <c r="I166" s="451">
        <v>1176945</v>
      </c>
      <c r="J166" s="451">
        <v>-2290660</v>
      </c>
      <c r="K166" s="451">
        <v>0</v>
      </c>
      <c r="L166" s="451">
        <v>-23996</v>
      </c>
      <c r="M166" s="451">
        <v>-2314656</v>
      </c>
      <c r="N166" s="451">
        <v>365108</v>
      </c>
      <c r="O166" s="451">
        <v>0</v>
      </c>
      <c r="P166" s="451">
        <v>7239</v>
      </c>
      <c r="Q166" s="451">
        <v>372347</v>
      </c>
      <c r="R166" s="451">
        <v>2174888</v>
      </c>
      <c r="S166" s="451">
        <v>0</v>
      </c>
      <c r="T166" s="451">
        <v>29543</v>
      </c>
      <c r="U166" s="451">
        <v>2204431</v>
      </c>
      <c r="V166" s="451">
        <v>9029375</v>
      </c>
      <c r="W166" s="451">
        <v>0</v>
      </c>
      <c r="X166" s="451">
        <v>22398</v>
      </c>
      <c r="Y166" s="451">
        <v>9051773</v>
      </c>
      <c r="Z166" s="451">
        <v>717178</v>
      </c>
      <c r="AA166" s="451">
        <v>0</v>
      </c>
      <c r="AB166" s="451">
        <v>2491</v>
      </c>
      <c r="AC166" s="451">
        <v>719669</v>
      </c>
      <c r="AD166" s="451">
        <v>6868215</v>
      </c>
      <c r="AE166" s="451">
        <v>0</v>
      </c>
      <c r="AF166" s="451">
        <v>105965</v>
      </c>
      <c r="AG166" s="451">
        <v>6974180</v>
      </c>
      <c r="AH166" s="451">
        <v>-284889</v>
      </c>
      <c r="AI166" s="451">
        <v>0</v>
      </c>
      <c r="AJ166" s="451">
        <v>-13631</v>
      </c>
      <c r="AK166" s="451">
        <v>-298520</v>
      </c>
      <c r="AL166" s="451">
        <v>23955626</v>
      </c>
      <c r="AM166" s="451">
        <v>0</v>
      </c>
      <c r="AN166" s="451">
        <v>0</v>
      </c>
      <c r="AO166" s="451">
        <v>23955626</v>
      </c>
      <c r="AP166" s="451">
        <v>-205162</v>
      </c>
      <c r="AQ166" s="451">
        <v>0</v>
      </c>
      <c r="AR166" s="451">
        <v>-29955</v>
      </c>
      <c r="AS166" s="451">
        <v>-235117</v>
      </c>
      <c r="AT166" s="451">
        <v>105496</v>
      </c>
      <c r="AU166" s="451">
        <v>0</v>
      </c>
      <c r="AV166" s="451">
        <v>0</v>
      </c>
      <c r="AW166" s="451">
        <v>105496</v>
      </c>
      <c r="AX166" s="451">
        <v>944</v>
      </c>
      <c r="AY166" s="451">
        <v>0</v>
      </c>
      <c r="AZ166" s="451">
        <v>0</v>
      </c>
      <c r="BA166" s="451">
        <v>944</v>
      </c>
      <c r="BB166" s="451">
        <v>0</v>
      </c>
      <c r="BC166" s="451">
        <v>0</v>
      </c>
      <c r="BD166" s="451">
        <v>0</v>
      </c>
      <c r="BE166" s="451">
        <v>0</v>
      </c>
      <c r="BF166" s="451">
        <v>0</v>
      </c>
      <c r="BG166" s="451">
        <v>0</v>
      </c>
      <c r="BH166" s="451">
        <v>0</v>
      </c>
      <c r="BI166" s="451">
        <v>0</v>
      </c>
      <c r="BJ166" s="451">
        <v>26228</v>
      </c>
      <c r="BK166" s="451">
        <v>0</v>
      </c>
      <c r="BL166" s="451">
        <v>0</v>
      </c>
      <c r="BM166" s="451">
        <v>26228</v>
      </c>
      <c r="BN166" s="451">
        <v>81070</v>
      </c>
      <c r="BO166" s="451">
        <v>0</v>
      </c>
      <c r="BP166" s="451">
        <v>0</v>
      </c>
      <c r="BQ166" s="451">
        <v>81070</v>
      </c>
      <c r="BR166" s="451">
        <v>30619620</v>
      </c>
      <c r="BS166" s="451">
        <v>0</v>
      </c>
      <c r="BT166" s="451">
        <v>553811</v>
      </c>
      <c r="BU166" s="451">
        <v>31173431</v>
      </c>
      <c r="BV166" s="451">
        <v>645382</v>
      </c>
      <c r="BW166" s="451">
        <v>0</v>
      </c>
      <c r="BX166" s="451">
        <v>-22197</v>
      </c>
      <c r="BY166" s="451">
        <v>623185</v>
      </c>
      <c r="BZ166" s="451">
        <v>703349</v>
      </c>
      <c r="CA166" s="451">
        <v>0</v>
      </c>
      <c r="CB166" s="451">
        <v>0</v>
      </c>
      <c r="CC166" s="451">
        <v>703349</v>
      </c>
      <c r="CD166" s="451">
        <v>-41821</v>
      </c>
      <c r="CE166" s="451">
        <v>0</v>
      </c>
      <c r="CF166" s="451">
        <v>0</v>
      </c>
      <c r="CG166" s="451">
        <v>-41821</v>
      </c>
      <c r="CH166" s="451">
        <v>543914</v>
      </c>
      <c r="CI166" s="451">
        <v>0</v>
      </c>
      <c r="CJ166" s="451">
        <v>0</v>
      </c>
      <c r="CK166" s="451">
        <v>543914</v>
      </c>
      <c r="CL166" s="451">
        <v>-39915</v>
      </c>
      <c r="CM166" s="451">
        <v>0</v>
      </c>
      <c r="CN166" s="451">
        <v>0</v>
      </c>
      <c r="CO166" s="451">
        <v>-39915</v>
      </c>
      <c r="CP166" s="451">
        <v>0</v>
      </c>
      <c r="CQ166" s="451">
        <v>0</v>
      </c>
      <c r="CR166" s="451">
        <v>0</v>
      </c>
      <c r="CS166" s="451">
        <v>0</v>
      </c>
      <c r="CT166" s="451">
        <v>0</v>
      </c>
      <c r="CU166" s="451">
        <v>0</v>
      </c>
      <c r="CV166" s="451">
        <v>0</v>
      </c>
      <c r="CW166" s="451">
        <v>0</v>
      </c>
      <c r="CX166" s="451">
        <v>0</v>
      </c>
      <c r="CY166" s="451">
        <v>0</v>
      </c>
      <c r="CZ166" s="451">
        <v>0</v>
      </c>
      <c r="DA166" s="451">
        <v>0</v>
      </c>
      <c r="DB166" s="451">
        <v>0</v>
      </c>
      <c r="DC166" s="451">
        <v>0</v>
      </c>
      <c r="DD166" s="451">
        <v>0</v>
      </c>
      <c r="DE166" s="451">
        <v>0</v>
      </c>
      <c r="DF166" s="451">
        <v>0</v>
      </c>
      <c r="DG166" s="451">
        <v>0</v>
      </c>
      <c r="DH166" s="451">
        <v>0</v>
      </c>
      <c r="DI166" s="451">
        <v>0</v>
      </c>
      <c r="DJ166" s="451">
        <v>0</v>
      </c>
      <c r="DK166" s="451">
        <v>0</v>
      </c>
      <c r="DL166" s="451">
        <v>0</v>
      </c>
      <c r="DM166" s="451">
        <v>0</v>
      </c>
      <c r="DN166" s="451">
        <v>0</v>
      </c>
      <c r="DO166" s="451">
        <v>0</v>
      </c>
      <c r="DP166" s="451">
        <v>303999</v>
      </c>
      <c r="DQ166" s="451">
        <v>303999</v>
      </c>
      <c r="DR166" s="451">
        <v>0</v>
      </c>
      <c r="DS166" s="451">
        <v>0</v>
      </c>
      <c r="DT166" s="451">
        <v>-1354</v>
      </c>
      <c r="DU166" s="451">
        <v>-1354</v>
      </c>
      <c r="DV166" s="451">
        <v>302645</v>
      </c>
      <c r="DW166" s="451">
        <v>0</v>
      </c>
      <c r="DX166" s="451">
        <v>0</v>
      </c>
      <c r="DY166" s="451">
        <v>0</v>
      </c>
      <c r="DZ166" s="451">
        <v>0</v>
      </c>
      <c r="EA166" s="451">
        <v>0</v>
      </c>
      <c r="EB166" s="451">
        <v>0</v>
      </c>
      <c r="EC166" s="451">
        <v>0</v>
      </c>
      <c r="ED166" s="451">
        <v>0</v>
      </c>
      <c r="EE166" s="451">
        <v>0</v>
      </c>
      <c r="EF166" s="451">
        <v>0</v>
      </c>
      <c r="EG166" s="451">
        <v>0</v>
      </c>
      <c r="EH166" s="451">
        <v>0</v>
      </c>
      <c r="EI166" s="451">
        <v>0</v>
      </c>
      <c r="EJ166" s="451">
        <v>4061</v>
      </c>
      <c r="EK166" s="451">
        <v>0</v>
      </c>
      <c r="EL166" s="451">
        <v>0</v>
      </c>
      <c r="EM166" s="451">
        <v>4061</v>
      </c>
    </row>
    <row r="167" spans="1:143" ht="12.75" x14ac:dyDescent="0.2">
      <c r="A167" s="446">
        <v>161</v>
      </c>
      <c r="B167" s="447" t="s">
        <v>205</v>
      </c>
      <c r="C167" s="448" t="s">
        <v>1093</v>
      </c>
      <c r="D167" s="449" t="s">
        <v>1096</v>
      </c>
      <c r="E167" s="450" t="s">
        <v>204</v>
      </c>
      <c r="F167" s="451">
        <v>37534</v>
      </c>
      <c r="G167" s="451">
        <v>0</v>
      </c>
      <c r="H167" s="451">
        <v>0</v>
      </c>
      <c r="I167" s="451">
        <v>37534</v>
      </c>
      <c r="J167" s="451">
        <v>-4556</v>
      </c>
      <c r="K167" s="451">
        <v>0</v>
      </c>
      <c r="L167" s="451">
        <v>0</v>
      </c>
      <c r="M167" s="451">
        <v>-4556</v>
      </c>
      <c r="N167" s="451">
        <v>142677</v>
      </c>
      <c r="O167" s="451">
        <v>0</v>
      </c>
      <c r="P167" s="451">
        <v>0</v>
      </c>
      <c r="Q167" s="451">
        <v>142677</v>
      </c>
      <c r="R167" s="451">
        <v>-1103</v>
      </c>
      <c r="S167" s="451">
        <v>0</v>
      </c>
      <c r="T167" s="451">
        <v>0</v>
      </c>
      <c r="U167" s="451">
        <v>-1103</v>
      </c>
      <c r="V167" s="451">
        <v>1606596</v>
      </c>
      <c r="W167" s="451">
        <v>0</v>
      </c>
      <c r="X167" s="451">
        <v>0</v>
      </c>
      <c r="Y167" s="451">
        <v>1606596</v>
      </c>
      <c r="Z167" s="451">
        <v>140544</v>
      </c>
      <c r="AA167" s="451">
        <v>0</v>
      </c>
      <c r="AB167" s="451">
        <v>0</v>
      </c>
      <c r="AC167" s="451">
        <v>140544</v>
      </c>
      <c r="AD167" s="451">
        <v>554595</v>
      </c>
      <c r="AE167" s="451">
        <v>0</v>
      </c>
      <c r="AF167" s="451">
        <v>0</v>
      </c>
      <c r="AG167" s="451">
        <v>554595</v>
      </c>
      <c r="AH167" s="451">
        <v>10460</v>
      </c>
      <c r="AI167" s="451">
        <v>0</v>
      </c>
      <c r="AJ167" s="451">
        <v>0</v>
      </c>
      <c r="AK167" s="451">
        <v>10460</v>
      </c>
      <c r="AL167" s="451">
        <v>1881539</v>
      </c>
      <c r="AM167" s="451">
        <v>0</v>
      </c>
      <c r="AN167" s="451">
        <v>0</v>
      </c>
      <c r="AO167" s="451">
        <v>1881539</v>
      </c>
      <c r="AP167" s="451">
        <v>5910</v>
      </c>
      <c r="AQ167" s="451">
        <v>0</v>
      </c>
      <c r="AR167" s="451">
        <v>0</v>
      </c>
      <c r="AS167" s="451">
        <v>5910</v>
      </c>
      <c r="AT167" s="451">
        <v>15072</v>
      </c>
      <c r="AU167" s="451">
        <v>0</v>
      </c>
      <c r="AV167" s="451">
        <v>0</v>
      </c>
      <c r="AW167" s="451">
        <v>15072</v>
      </c>
      <c r="AX167" s="451">
        <v>0</v>
      </c>
      <c r="AY167" s="451">
        <v>0</v>
      </c>
      <c r="AZ167" s="451">
        <v>0</v>
      </c>
      <c r="BA167" s="451">
        <v>0</v>
      </c>
      <c r="BB167" s="451">
        <v>0</v>
      </c>
      <c r="BC167" s="451">
        <v>0</v>
      </c>
      <c r="BD167" s="451">
        <v>0</v>
      </c>
      <c r="BE167" s="451">
        <v>0</v>
      </c>
      <c r="BF167" s="451">
        <v>0</v>
      </c>
      <c r="BG167" s="451">
        <v>0</v>
      </c>
      <c r="BH167" s="451">
        <v>0</v>
      </c>
      <c r="BI167" s="451">
        <v>0</v>
      </c>
      <c r="BJ167" s="451">
        <v>17685</v>
      </c>
      <c r="BK167" s="451">
        <v>0</v>
      </c>
      <c r="BL167" s="451">
        <v>0</v>
      </c>
      <c r="BM167" s="451">
        <v>17685</v>
      </c>
      <c r="BN167" s="451">
        <v>-39407</v>
      </c>
      <c r="BO167" s="451">
        <v>0</v>
      </c>
      <c r="BP167" s="451">
        <v>0</v>
      </c>
      <c r="BQ167" s="451">
        <v>-39407</v>
      </c>
      <c r="BR167" s="451">
        <v>1130181</v>
      </c>
      <c r="BS167" s="451">
        <v>0</v>
      </c>
      <c r="BT167" s="451">
        <v>0</v>
      </c>
      <c r="BU167" s="451">
        <v>1130181</v>
      </c>
      <c r="BV167" s="451">
        <v>86279</v>
      </c>
      <c r="BW167" s="451">
        <v>0</v>
      </c>
      <c r="BX167" s="451">
        <v>0</v>
      </c>
      <c r="BY167" s="451">
        <v>86279</v>
      </c>
      <c r="BZ167" s="451">
        <v>7710</v>
      </c>
      <c r="CA167" s="451">
        <v>0</v>
      </c>
      <c r="CB167" s="451">
        <v>0</v>
      </c>
      <c r="CC167" s="451">
        <v>7710</v>
      </c>
      <c r="CD167" s="451">
        <v>346</v>
      </c>
      <c r="CE167" s="451">
        <v>0</v>
      </c>
      <c r="CF167" s="451">
        <v>0</v>
      </c>
      <c r="CG167" s="451">
        <v>346</v>
      </c>
      <c r="CH167" s="451">
        <v>83591</v>
      </c>
      <c r="CI167" s="451">
        <v>0</v>
      </c>
      <c r="CJ167" s="451">
        <v>0</v>
      </c>
      <c r="CK167" s="451">
        <v>83591</v>
      </c>
      <c r="CL167" s="451">
        <v>748</v>
      </c>
      <c r="CM167" s="451">
        <v>0</v>
      </c>
      <c r="CN167" s="451">
        <v>0</v>
      </c>
      <c r="CO167" s="451">
        <v>748</v>
      </c>
      <c r="CP167" s="451">
        <v>0</v>
      </c>
      <c r="CQ167" s="451">
        <v>0</v>
      </c>
      <c r="CR167" s="451">
        <v>0</v>
      </c>
      <c r="CS167" s="451">
        <v>0</v>
      </c>
      <c r="CT167" s="451">
        <v>0</v>
      </c>
      <c r="CU167" s="451">
        <v>0</v>
      </c>
      <c r="CV167" s="451">
        <v>0</v>
      </c>
      <c r="CW167" s="451">
        <v>0</v>
      </c>
      <c r="CX167" s="451">
        <v>0</v>
      </c>
      <c r="CY167" s="451">
        <v>0</v>
      </c>
      <c r="CZ167" s="451">
        <v>0</v>
      </c>
      <c r="DA167" s="451">
        <v>0</v>
      </c>
      <c r="DB167" s="451">
        <v>0</v>
      </c>
      <c r="DC167" s="451">
        <v>0</v>
      </c>
      <c r="DD167" s="451">
        <v>0</v>
      </c>
      <c r="DE167" s="451">
        <v>0</v>
      </c>
      <c r="DF167" s="451">
        <v>0</v>
      </c>
      <c r="DG167" s="451">
        <v>0</v>
      </c>
      <c r="DH167" s="451">
        <v>0</v>
      </c>
      <c r="DI167" s="451">
        <v>0</v>
      </c>
      <c r="DJ167" s="451">
        <v>0</v>
      </c>
      <c r="DK167" s="451">
        <v>0</v>
      </c>
      <c r="DL167" s="451">
        <v>0</v>
      </c>
      <c r="DM167" s="451">
        <v>0</v>
      </c>
      <c r="DN167" s="451">
        <v>0</v>
      </c>
      <c r="DO167" s="451">
        <v>0</v>
      </c>
      <c r="DP167" s="451">
        <v>0</v>
      </c>
      <c r="DQ167" s="451">
        <v>0</v>
      </c>
      <c r="DR167" s="451">
        <v>0</v>
      </c>
      <c r="DS167" s="451">
        <v>0</v>
      </c>
      <c r="DT167" s="451">
        <v>0</v>
      </c>
      <c r="DU167" s="451">
        <v>0</v>
      </c>
      <c r="DV167" s="451">
        <v>0</v>
      </c>
      <c r="DW167" s="451">
        <v>0</v>
      </c>
      <c r="DX167" s="451">
        <v>0</v>
      </c>
      <c r="DY167" s="451">
        <v>0</v>
      </c>
      <c r="DZ167" s="451">
        <v>0</v>
      </c>
      <c r="EA167" s="451">
        <v>0</v>
      </c>
      <c r="EB167" s="451">
        <v>0</v>
      </c>
      <c r="EC167" s="451">
        <v>0</v>
      </c>
      <c r="ED167" s="451">
        <v>0</v>
      </c>
      <c r="EE167" s="451">
        <v>0</v>
      </c>
      <c r="EF167" s="451">
        <v>82134</v>
      </c>
      <c r="EG167" s="451">
        <v>0</v>
      </c>
      <c r="EH167" s="451">
        <v>0</v>
      </c>
      <c r="EI167" s="451">
        <v>82134</v>
      </c>
      <c r="EJ167" s="451">
        <v>-30701</v>
      </c>
      <c r="EK167" s="451">
        <v>0</v>
      </c>
      <c r="EL167" s="451">
        <v>0</v>
      </c>
      <c r="EM167" s="451">
        <v>-30701</v>
      </c>
    </row>
    <row r="168" spans="1:143" ht="12.75" x14ac:dyDescent="0.2">
      <c r="A168" s="446">
        <v>162</v>
      </c>
      <c r="B168" s="447" t="s">
        <v>207</v>
      </c>
      <c r="C168" s="448" t="s">
        <v>794</v>
      </c>
      <c r="D168" s="449" t="s">
        <v>1094</v>
      </c>
      <c r="E168" s="450" t="s">
        <v>725</v>
      </c>
      <c r="F168" s="451">
        <v>2117930</v>
      </c>
      <c r="G168" s="451">
        <v>0</v>
      </c>
      <c r="H168" s="451">
        <v>0</v>
      </c>
      <c r="I168" s="451">
        <v>2117930</v>
      </c>
      <c r="J168" s="451">
        <v>-147704</v>
      </c>
      <c r="K168" s="451">
        <v>0</v>
      </c>
      <c r="L168" s="451">
        <v>0</v>
      </c>
      <c r="M168" s="451">
        <v>-147704</v>
      </c>
      <c r="N168" s="451">
        <v>89861</v>
      </c>
      <c r="O168" s="451">
        <v>0</v>
      </c>
      <c r="P168" s="451">
        <v>0</v>
      </c>
      <c r="Q168" s="451">
        <v>89861</v>
      </c>
      <c r="R168" s="451">
        <v>342755</v>
      </c>
      <c r="S168" s="451">
        <v>0</v>
      </c>
      <c r="T168" s="451">
        <v>0</v>
      </c>
      <c r="U168" s="451">
        <v>342755</v>
      </c>
      <c r="V168" s="451">
        <v>3630405</v>
      </c>
      <c r="W168" s="451">
        <v>0</v>
      </c>
      <c r="X168" s="451">
        <v>0</v>
      </c>
      <c r="Y168" s="451">
        <v>3630405</v>
      </c>
      <c r="Z168" s="451">
        <v>335405</v>
      </c>
      <c r="AA168" s="451">
        <v>0</v>
      </c>
      <c r="AB168" s="451">
        <v>0</v>
      </c>
      <c r="AC168" s="451">
        <v>335405</v>
      </c>
      <c r="AD168" s="451">
        <v>1878175</v>
      </c>
      <c r="AE168" s="451">
        <v>0</v>
      </c>
      <c r="AF168" s="451">
        <v>0</v>
      </c>
      <c r="AG168" s="451">
        <v>1878175</v>
      </c>
      <c r="AH168" s="451">
        <v>59669</v>
      </c>
      <c r="AI168" s="451">
        <v>0</v>
      </c>
      <c r="AJ168" s="451">
        <v>0</v>
      </c>
      <c r="AK168" s="451">
        <v>59669</v>
      </c>
      <c r="AL168" s="451">
        <v>6456361</v>
      </c>
      <c r="AM168" s="451">
        <v>0</v>
      </c>
      <c r="AN168" s="451">
        <v>0</v>
      </c>
      <c r="AO168" s="451">
        <v>6456361</v>
      </c>
      <c r="AP168" s="451">
        <v>93881</v>
      </c>
      <c r="AQ168" s="451">
        <v>0</v>
      </c>
      <c r="AR168" s="451">
        <v>0</v>
      </c>
      <c r="AS168" s="451">
        <v>93881</v>
      </c>
      <c r="AT168" s="451">
        <v>103520</v>
      </c>
      <c r="AU168" s="451">
        <v>0</v>
      </c>
      <c r="AV168" s="451">
        <v>0</v>
      </c>
      <c r="AW168" s="451">
        <v>103520</v>
      </c>
      <c r="AX168" s="451">
        <v>0</v>
      </c>
      <c r="AY168" s="451">
        <v>0</v>
      </c>
      <c r="AZ168" s="451">
        <v>0</v>
      </c>
      <c r="BA168" s="451">
        <v>0</v>
      </c>
      <c r="BB168" s="451">
        <v>6082</v>
      </c>
      <c r="BC168" s="451">
        <v>0</v>
      </c>
      <c r="BD168" s="451">
        <v>0</v>
      </c>
      <c r="BE168" s="451">
        <v>6082</v>
      </c>
      <c r="BF168" s="451">
        <v>0</v>
      </c>
      <c r="BG168" s="451">
        <v>0</v>
      </c>
      <c r="BH168" s="451">
        <v>0</v>
      </c>
      <c r="BI168" s="451">
        <v>0</v>
      </c>
      <c r="BJ168" s="451">
        <v>3482</v>
      </c>
      <c r="BK168" s="451">
        <v>0</v>
      </c>
      <c r="BL168" s="451">
        <v>0</v>
      </c>
      <c r="BM168" s="451">
        <v>3482</v>
      </c>
      <c r="BN168" s="451">
        <v>-9704</v>
      </c>
      <c r="BO168" s="451">
        <v>0</v>
      </c>
      <c r="BP168" s="451">
        <v>0</v>
      </c>
      <c r="BQ168" s="451">
        <v>-9704</v>
      </c>
      <c r="BR168" s="451">
        <v>3278244</v>
      </c>
      <c r="BS168" s="451">
        <v>0</v>
      </c>
      <c r="BT168" s="451">
        <v>0</v>
      </c>
      <c r="BU168" s="451">
        <v>3278244</v>
      </c>
      <c r="BV168" s="451">
        <v>-2458795</v>
      </c>
      <c r="BW168" s="451">
        <v>0</v>
      </c>
      <c r="BX168" s="451">
        <v>0</v>
      </c>
      <c r="BY168" s="451">
        <v>-2458795</v>
      </c>
      <c r="BZ168" s="451">
        <v>305280</v>
      </c>
      <c r="CA168" s="451">
        <v>0</v>
      </c>
      <c r="CB168" s="451">
        <v>0</v>
      </c>
      <c r="CC168" s="451">
        <v>305280</v>
      </c>
      <c r="CD168" s="451">
        <v>11126</v>
      </c>
      <c r="CE168" s="451">
        <v>0</v>
      </c>
      <c r="CF168" s="451">
        <v>0</v>
      </c>
      <c r="CG168" s="451">
        <v>11126</v>
      </c>
      <c r="CH168" s="451">
        <v>189742</v>
      </c>
      <c r="CI168" s="451">
        <v>0</v>
      </c>
      <c r="CJ168" s="451">
        <v>0</v>
      </c>
      <c r="CK168" s="451">
        <v>189742</v>
      </c>
      <c r="CL168" s="451">
        <v>-24576</v>
      </c>
      <c r="CM168" s="451">
        <v>0</v>
      </c>
      <c r="CN168" s="451">
        <v>0</v>
      </c>
      <c r="CO168" s="451">
        <v>-24576</v>
      </c>
      <c r="CP168" s="451">
        <v>24467</v>
      </c>
      <c r="CQ168" s="451">
        <v>0</v>
      </c>
      <c r="CR168" s="451">
        <v>0</v>
      </c>
      <c r="CS168" s="451">
        <v>24467</v>
      </c>
      <c r="CT168" s="451">
        <v>0</v>
      </c>
      <c r="CU168" s="451">
        <v>0</v>
      </c>
      <c r="CV168" s="451">
        <v>0</v>
      </c>
      <c r="CW168" s="451">
        <v>0</v>
      </c>
      <c r="CX168" s="451">
        <v>2310</v>
      </c>
      <c r="CY168" s="451">
        <v>0</v>
      </c>
      <c r="CZ168" s="451">
        <v>0</v>
      </c>
      <c r="DA168" s="451">
        <v>2310</v>
      </c>
      <c r="DB168" s="451">
        <v>0</v>
      </c>
      <c r="DC168" s="451">
        <v>0</v>
      </c>
      <c r="DD168" s="451">
        <v>0</v>
      </c>
      <c r="DE168" s="451">
        <v>0</v>
      </c>
      <c r="DF168" s="451">
        <v>0</v>
      </c>
      <c r="DG168" s="451">
        <v>0</v>
      </c>
      <c r="DH168" s="451">
        <v>0</v>
      </c>
      <c r="DI168" s="451">
        <v>0</v>
      </c>
      <c r="DJ168" s="451">
        <v>0</v>
      </c>
      <c r="DK168" s="451">
        <v>0</v>
      </c>
      <c r="DL168" s="451">
        <v>0</v>
      </c>
      <c r="DM168" s="451">
        <v>0</v>
      </c>
      <c r="DN168" s="451">
        <v>0</v>
      </c>
      <c r="DO168" s="451">
        <v>0</v>
      </c>
      <c r="DP168" s="451">
        <v>0</v>
      </c>
      <c r="DQ168" s="451">
        <v>0</v>
      </c>
      <c r="DR168" s="451">
        <v>0</v>
      </c>
      <c r="DS168" s="451">
        <v>0</v>
      </c>
      <c r="DT168" s="451">
        <v>0</v>
      </c>
      <c r="DU168" s="451">
        <v>0</v>
      </c>
      <c r="DV168" s="451">
        <v>0</v>
      </c>
      <c r="DW168" s="451">
        <v>0</v>
      </c>
      <c r="DX168" s="451">
        <v>0</v>
      </c>
      <c r="DY168" s="451">
        <v>0</v>
      </c>
      <c r="DZ168" s="451">
        <v>0</v>
      </c>
      <c r="EA168" s="451">
        <v>0</v>
      </c>
      <c r="EB168" s="451">
        <v>0</v>
      </c>
      <c r="EC168" s="451">
        <v>0</v>
      </c>
      <c r="ED168" s="451">
        <v>0</v>
      </c>
      <c r="EE168" s="451">
        <v>0</v>
      </c>
      <c r="EF168" s="451">
        <v>0</v>
      </c>
      <c r="EG168" s="451">
        <v>0</v>
      </c>
      <c r="EH168" s="451">
        <v>0</v>
      </c>
      <c r="EI168" s="451">
        <v>0</v>
      </c>
      <c r="EJ168" s="451">
        <v>0</v>
      </c>
      <c r="EK168" s="451">
        <v>0</v>
      </c>
      <c r="EL168" s="451">
        <v>0</v>
      </c>
      <c r="EM168" s="451">
        <v>0</v>
      </c>
    </row>
    <row r="169" spans="1:143" ht="12.75" x14ac:dyDescent="0.2">
      <c r="A169" s="446">
        <v>163</v>
      </c>
      <c r="B169" s="447" t="s">
        <v>209</v>
      </c>
      <c r="C169" s="448" t="s">
        <v>1093</v>
      </c>
      <c r="D169" s="449" t="s">
        <v>1096</v>
      </c>
      <c r="E169" s="450" t="s">
        <v>208</v>
      </c>
      <c r="F169" s="451">
        <v>76523</v>
      </c>
      <c r="G169" s="451">
        <v>0</v>
      </c>
      <c r="H169" s="451">
        <v>0</v>
      </c>
      <c r="I169" s="451">
        <v>76523</v>
      </c>
      <c r="J169" s="451">
        <v>-4434</v>
      </c>
      <c r="K169" s="451">
        <v>0</v>
      </c>
      <c r="L169" s="451">
        <v>0</v>
      </c>
      <c r="M169" s="451">
        <v>-4434</v>
      </c>
      <c r="N169" s="451">
        <v>3957</v>
      </c>
      <c r="O169" s="451">
        <v>0</v>
      </c>
      <c r="P169" s="451">
        <v>0</v>
      </c>
      <c r="Q169" s="451">
        <v>3957</v>
      </c>
      <c r="R169" s="451">
        <v>8645</v>
      </c>
      <c r="S169" s="451">
        <v>0</v>
      </c>
      <c r="T169" s="451">
        <v>0</v>
      </c>
      <c r="U169" s="451">
        <v>8645</v>
      </c>
      <c r="V169" s="451">
        <v>1007684</v>
      </c>
      <c r="W169" s="451">
        <v>0</v>
      </c>
      <c r="X169" s="451">
        <v>0</v>
      </c>
      <c r="Y169" s="451">
        <v>1007684</v>
      </c>
      <c r="Z169" s="451">
        <v>121270</v>
      </c>
      <c r="AA169" s="451">
        <v>0</v>
      </c>
      <c r="AB169" s="451">
        <v>0</v>
      </c>
      <c r="AC169" s="451">
        <v>121270</v>
      </c>
      <c r="AD169" s="451">
        <v>246205</v>
      </c>
      <c r="AE169" s="451">
        <v>0</v>
      </c>
      <c r="AF169" s="451">
        <v>0</v>
      </c>
      <c r="AG169" s="451">
        <v>246205</v>
      </c>
      <c r="AH169" s="451">
        <v>-1923</v>
      </c>
      <c r="AI169" s="451">
        <v>0</v>
      </c>
      <c r="AJ169" s="451">
        <v>0</v>
      </c>
      <c r="AK169" s="451">
        <v>-1923</v>
      </c>
      <c r="AL169" s="451">
        <v>860650</v>
      </c>
      <c r="AM169" s="451">
        <v>0</v>
      </c>
      <c r="AN169" s="451">
        <v>0</v>
      </c>
      <c r="AO169" s="451">
        <v>860650</v>
      </c>
      <c r="AP169" s="451">
        <v>5161</v>
      </c>
      <c r="AQ169" s="451">
        <v>0</v>
      </c>
      <c r="AR169" s="451">
        <v>0</v>
      </c>
      <c r="AS169" s="451">
        <v>5161</v>
      </c>
      <c r="AT169" s="451">
        <v>35127</v>
      </c>
      <c r="AU169" s="451">
        <v>0</v>
      </c>
      <c r="AV169" s="451">
        <v>0</v>
      </c>
      <c r="AW169" s="451">
        <v>35127</v>
      </c>
      <c r="AX169" s="451">
        <v>0</v>
      </c>
      <c r="AY169" s="451">
        <v>0</v>
      </c>
      <c r="AZ169" s="451">
        <v>0</v>
      </c>
      <c r="BA169" s="451">
        <v>0</v>
      </c>
      <c r="BB169" s="451">
        <v>23847</v>
      </c>
      <c r="BC169" s="451">
        <v>0</v>
      </c>
      <c r="BD169" s="451">
        <v>0</v>
      </c>
      <c r="BE169" s="451">
        <v>23847</v>
      </c>
      <c r="BF169" s="451">
        <v>0</v>
      </c>
      <c r="BG169" s="451">
        <v>0</v>
      </c>
      <c r="BH169" s="451">
        <v>0</v>
      </c>
      <c r="BI169" s="451">
        <v>0</v>
      </c>
      <c r="BJ169" s="451">
        <v>12073</v>
      </c>
      <c r="BK169" s="451">
        <v>0</v>
      </c>
      <c r="BL169" s="451">
        <v>0</v>
      </c>
      <c r="BM169" s="451">
        <v>12073</v>
      </c>
      <c r="BN169" s="451">
        <v>447</v>
      </c>
      <c r="BO169" s="451">
        <v>0</v>
      </c>
      <c r="BP169" s="451">
        <v>0</v>
      </c>
      <c r="BQ169" s="451">
        <v>447</v>
      </c>
      <c r="BR169" s="451">
        <v>413163</v>
      </c>
      <c r="BS169" s="451">
        <v>0</v>
      </c>
      <c r="BT169" s="451">
        <v>0</v>
      </c>
      <c r="BU169" s="451">
        <v>413163</v>
      </c>
      <c r="BV169" s="451">
        <v>41662</v>
      </c>
      <c r="BW169" s="451">
        <v>0</v>
      </c>
      <c r="BX169" s="451">
        <v>0</v>
      </c>
      <c r="BY169" s="451">
        <v>41662</v>
      </c>
      <c r="BZ169" s="451">
        <v>13714</v>
      </c>
      <c r="CA169" s="451">
        <v>0</v>
      </c>
      <c r="CB169" s="451">
        <v>0</v>
      </c>
      <c r="CC169" s="451">
        <v>13714</v>
      </c>
      <c r="CD169" s="451">
        <v>0</v>
      </c>
      <c r="CE169" s="451">
        <v>0</v>
      </c>
      <c r="CF169" s="451">
        <v>0</v>
      </c>
      <c r="CG169" s="451">
        <v>0</v>
      </c>
      <c r="CH169" s="451">
        <v>14413</v>
      </c>
      <c r="CI169" s="451">
        <v>0</v>
      </c>
      <c r="CJ169" s="451">
        <v>0</v>
      </c>
      <c r="CK169" s="451">
        <v>14413</v>
      </c>
      <c r="CL169" s="451">
        <v>8000</v>
      </c>
      <c r="CM169" s="451">
        <v>0</v>
      </c>
      <c r="CN169" s="451">
        <v>0</v>
      </c>
      <c r="CO169" s="451">
        <v>8000</v>
      </c>
      <c r="CP169" s="451">
        <v>94</v>
      </c>
      <c r="CQ169" s="451">
        <v>0</v>
      </c>
      <c r="CR169" s="451">
        <v>0</v>
      </c>
      <c r="CS169" s="451">
        <v>94</v>
      </c>
      <c r="CT169" s="451">
        <v>0</v>
      </c>
      <c r="CU169" s="451">
        <v>0</v>
      </c>
      <c r="CV169" s="451">
        <v>0</v>
      </c>
      <c r="CW169" s="451">
        <v>0</v>
      </c>
      <c r="CX169" s="451">
        <v>6369</v>
      </c>
      <c r="CY169" s="451">
        <v>0</v>
      </c>
      <c r="CZ169" s="451">
        <v>0</v>
      </c>
      <c r="DA169" s="451">
        <v>6369</v>
      </c>
      <c r="DB169" s="451">
        <v>0</v>
      </c>
      <c r="DC169" s="451">
        <v>0</v>
      </c>
      <c r="DD169" s="451">
        <v>0</v>
      </c>
      <c r="DE169" s="451">
        <v>0</v>
      </c>
      <c r="DF169" s="451">
        <v>1167</v>
      </c>
      <c r="DG169" s="451">
        <v>0</v>
      </c>
      <c r="DH169" s="451">
        <v>0</v>
      </c>
      <c r="DI169" s="451">
        <v>1167</v>
      </c>
      <c r="DJ169" s="451">
        <v>0</v>
      </c>
      <c r="DK169" s="451">
        <v>0</v>
      </c>
      <c r="DL169" s="451">
        <v>0</v>
      </c>
      <c r="DM169" s="451">
        <v>0</v>
      </c>
      <c r="DN169" s="451">
        <v>0</v>
      </c>
      <c r="DO169" s="451">
        <v>0</v>
      </c>
      <c r="DP169" s="451">
        <v>0</v>
      </c>
      <c r="DQ169" s="451">
        <v>0</v>
      </c>
      <c r="DR169" s="451">
        <v>0</v>
      </c>
      <c r="DS169" s="451">
        <v>0</v>
      </c>
      <c r="DT169" s="451">
        <v>0</v>
      </c>
      <c r="DU169" s="451">
        <v>0</v>
      </c>
      <c r="DV169" s="451">
        <v>0</v>
      </c>
      <c r="DW169" s="451">
        <v>0</v>
      </c>
      <c r="DX169" s="451">
        <v>0</v>
      </c>
      <c r="DY169" s="451">
        <v>0</v>
      </c>
      <c r="DZ169" s="451">
        <v>0</v>
      </c>
      <c r="EA169" s="451">
        <v>0</v>
      </c>
      <c r="EB169" s="451">
        <v>0</v>
      </c>
      <c r="EC169" s="451">
        <v>0</v>
      </c>
      <c r="ED169" s="451">
        <v>0</v>
      </c>
      <c r="EE169" s="451">
        <v>0</v>
      </c>
      <c r="EF169" s="451">
        <v>0</v>
      </c>
      <c r="EG169" s="451">
        <v>0</v>
      </c>
      <c r="EH169" s="451">
        <v>0</v>
      </c>
      <c r="EI169" s="451">
        <v>0</v>
      </c>
      <c r="EJ169" s="451">
        <v>0</v>
      </c>
      <c r="EK169" s="451">
        <v>0</v>
      </c>
      <c r="EL169" s="451">
        <v>0</v>
      </c>
      <c r="EM169" s="451">
        <v>0</v>
      </c>
    </row>
    <row r="170" spans="1:143" ht="12.75" x14ac:dyDescent="0.2">
      <c r="A170" s="446">
        <v>164</v>
      </c>
      <c r="B170" s="447" t="s">
        <v>211</v>
      </c>
      <c r="C170" s="448" t="s">
        <v>1093</v>
      </c>
      <c r="D170" s="449" t="s">
        <v>1102</v>
      </c>
      <c r="E170" s="450" t="s">
        <v>210</v>
      </c>
      <c r="F170" s="451">
        <v>248460</v>
      </c>
      <c r="G170" s="451">
        <v>0</v>
      </c>
      <c r="H170" s="451">
        <v>0</v>
      </c>
      <c r="I170" s="451">
        <v>248460</v>
      </c>
      <c r="J170" s="451">
        <v>-203102</v>
      </c>
      <c r="K170" s="451">
        <v>0</v>
      </c>
      <c r="L170" s="451">
        <v>0</v>
      </c>
      <c r="M170" s="451">
        <v>-203102</v>
      </c>
      <c r="N170" s="451">
        <v>38751</v>
      </c>
      <c r="O170" s="451">
        <v>0</v>
      </c>
      <c r="P170" s="451">
        <v>0</v>
      </c>
      <c r="Q170" s="451">
        <v>38751</v>
      </c>
      <c r="R170" s="451">
        <v>53786</v>
      </c>
      <c r="S170" s="451">
        <v>0</v>
      </c>
      <c r="T170" s="451">
        <v>0</v>
      </c>
      <c r="U170" s="451">
        <v>53786</v>
      </c>
      <c r="V170" s="451">
        <v>2842547</v>
      </c>
      <c r="W170" s="451">
        <v>0</v>
      </c>
      <c r="X170" s="451">
        <v>0</v>
      </c>
      <c r="Y170" s="451">
        <v>2842547</v>
      </c>
      <c r="Z170" s="451">
        <v>148319</v>
      </c>
      <c r="AA170" s="451">
        <v>0</v>
      </c>
      <c r="AB170" s="451">
        <v>0</v>
      </c>
      <c r="AC170" s="451">
        <v>148319</v>
      </c>
      <c r="AD170" s="451">
        <v>617946</v>
      </c>
      <c r="AE170" s="451">
        <v>0</v>
      </c>
      <c r="AF170" s="451">
        <v>0</v>
      </c>
      <c r="AG170" s="451">
        <v>617946</v>
      </c>
      <c r="AH170" s="451">
        <v>-2456</v>
      </c>
      <c r="AI170" s="451">
        <v>0</v>
      </c>
      <c r="AJ170" s="451">
        <v>0</v>
      </c>
      <c r="AK170" s="451">
        <v>-2456</v>
      </c>
      <c r="AL170" s="451">
        <v>2730414</v>
      </c>
      <c r="AM170" s="451">
        <v>0</v>
      </c>
      <c r="AN170" s="451">
        <v>0</v>
      </c>
      <c r="AO170" s="451">
        <v>2730414</v>
      </c>
      <c r="AP170" s="451">
        <v>23920</v>
      </c>
      <c r="AQ170" s="451">
        <v>0</v>
      </c>
      <c r="AR170" s="451">
        <v>0</v>
      </c>
      <c r="AS170" s="451">
        <v>23920</v>
      </c>
      <c r="AT170" s="451">
        <v>78413</v>
      </c>
      <c r="AU170" s="451">
        <v>0</v>
      </c>
      <c r="AV170" s="451">
        <v>0</v>
      </c>
      <c r="AW170" s="451">
        <v>78413</v>
      </c>
      <c r="AX170" s="451">
        <v>0</v>
      </c>
      <c r="AY170" s="451">
        <v>0</v>
      </c>
      <c r="AZ170" s="451">
        <v>0</v>
      </c>
      <c r="BA170" s="451">
        <v>0</v>
      </c>
      <c r="BB170" s="451">
        <v>41006</v>
      </c>
      <c r="BC170" s="451">
        <v>0</v>
      </c>
      <c r="BD170" s="451">
        <v>0</v>
      </c>
      <c r="BE170" s="451">
        <v>41006</v>
      </c>
      <c r="BF170" s="451">
        <v>0</v>
      </c>
      <c r="BG170" s="451">
        <v>0</v>
      </c>
      <c r="BH170" s="451">
        <v>0</v>
      </c>
      <c r="BI170" s="451">
        <v>0</v>
      </c>
      <c r="BJ170" s="451">
        <v>0</v>
      </c>
      <c r="BK170" s="451">
        <v>0</v>
      </c>
      <c r="BL170" s="451">
        <v>0</v>
      </c>
      <c r="BM170" s="451">
        <v>0</v>
      </c>
      <c r="BN170" s="451">
        <v>-2165</v>
      </c>
      <c r="BO170" s="451">
        <v>0</v>
      </c>
      <c r="BP170" s="451">
        <v>0</v>
      </c>
      <c r="BQ170" s="451">
        <v>-2165</v>
      </c>
      <c r="BR170" s="451">
        <v>956054</v>
      </c>
      <c r="BS170" s="451">
        <v>0</v>
      </c>
      <c r="BT170" s="451">
        <v>0</v>
      </c>
      <c r="BU170" s="451">
        <v>956054</v>
      </c>
      <c r="BV170" s="451">
        <v>-145374</v>
      </c>
      <c r="BW170" s="451">
        <v>0</v>
      </c>
      <c r="BX170" s="451">
        <v>0</v>
      </c>
      <c r="BY170" s="451">
        <v>-145374</v>
      </c>
      <c r="BZ170" s="451">
        <v>38665</v>
      </c>
      <c r="CA170" s="451">
        <v>0</v>
      </c>
      <c r="CB170" s="451">
        <v>0</v>
      </c>
      <c r="CC170" s="451">
        <v>38665</v>
      </c>
      <c r="CD170" s="451">
        <v>-585</v>
      </c>
      <c r="CE170" s="451">
        <v>0</v>
      </c>
      <c r="CF170" s="451">
        <v>0</v>
      </c>
      <c r="CG170" s="451">
        <v>-585</v>
      </c>
      <c r="CH170" s="451">
        <v>21937</v>
      </c>
      <c r="CI170" s="451">
        <v>0</v>
      </c>
      <c r="CJ170" s="451">
        <v>0</v>
      </c>
      <c r="CK170" s="451">
        <v>21937</v>
      </c>
      <c r="CL170" s="451">
        <v>-4111</v>
      </c>
      <c r="CM170" s="451">
        <v>0</v>
      </c>
      <c r="CN170" s="451">
        <v>0</v>
      </c>
      <c r="CO170" s="451">
        <v>-4111</v>
      </c>
      <c r="CP170" s="451">
        <v>2651</v>
      </c>
      <c r="CQ170" s="451">
        <v>0</v>
      </c>
      <c r="CR170" s="451">
        <v>0</v>
      </c>
      <c r="CS170" s="451">
        <v>2651</v>
      </c>
      <c r="CT170" s="451">
        <v>0</v>
      </c>
      <c r="CU170" s="451">
        <v>0</v>
      </c>
      <c r="CV170" s="451">
        <v>0</v>
      </c>
      <c r="CW170" s="451">
        <v>0</v>
      </c>
      <c r="CX170" s="451">
        <v>23051</v>
      </c>
      <c r="CY170" s="451">
        <v>0</v>
      </c>
      <c r="CZ170" s="451">
        <v>0</v>
      </c>
      <c r="DA170" s="451">
        <v>23051</v>
      </c>
      <c r="DB170" s="451">
        <v>0</v>
      </c>
      <c r="DC170" s="451">
        <v>0</v>
      </c>
      <c r="DD170" s="451">
        <v>0</v>
      </c>
      <c r="DE170" s="451">
        <v>0</v>
      </c>
      <c r="DF170" s="451">
        <v>19566</v>
      </c>
      <c r="DG170" s="451">
        <v>0</v>
      </c>
      <c r="DH170" s="451">
        <v>0</v>
      </c>
      <c r="DI170" s="451">
        <v>19566</v>
      </c>
      <c r="DJ170" s="451">
        <v>0</v>
      </c>
      <c r="DK170" s="451">
        <v>0</v>
      </c>
      <c r="DL170" s="451">
        <v>0</v>
      </c>
      <c r="DM170" s="451">
        <v>0</v>
      </c>
      <c r="DN170" s="451">
        <v>0</v>
      </c>
      <c r="DO170" s="451">
        <v>0</v>
      </c>
      <c r="DP170" s="451">
        <v>0</v>
      </c>
      <c r="DQ170" s="451">
        <v>0</v>
      </c>
      <c r="DR170" s="451">
        <v>0</v>
      </c>
      <c r="DS170" s="451">
        <v>0</v>
      </c>
      <c r="DT170" s="451">
        <v>0</v>
      </c>
      <c r="DU170" s="451">
        <v>0</v>
      </c>
      <c r="DV170" s="451">
        <v>0</v>
      </c>
      <c r="DW170" s="451">
        <v>0</v>
      </c>
      <c r="DX170" s="451">
        <v>0</v>
      </c>
      <c r="DY170" s="451">
        <v>0</v>
      </c>
      <c r="DZ170" s="451">
        <v>0</v>
      </c>
      <c r="EA170" s="451">
        <v>0</v>
      </c>
      <c r="EB170" s="451">
        <v>0</v>
      </c>
      <c r="EC170" s="451">
        <v>0</v>
      </c>
      <c r="ED170" s="451">
        <v>0</v>
      </c>
      <c r="EE170" s="451">
        <v>0</v>
      </c>
      <c r="EF170" s="451">
        <v>0</v>
      </c>
      <c r="EG170" s="451">
        <v>0</v>
      </c>
      <c r="EH170" s="451">
        <v>0</v>
      </c>
      <c r="EI170" s="451">
        <v>0</v>
      </c>
      <c r="EJ170" s="451">
        <v>3206</v>
      </c>
      <c r="EK170" s="451">
        <v>0</v>
      </c>
      <c r="EL170" s="451">
        <v>0</v>
      </c>
      <c r="EM170" s="451">
        <v>3206</v>
      </c>
    </row>
    <row r="171" spans="1:143" ht="12.75" x14ac:dyDescent="0.2">
      <c r="A171" s="446">
        <v>165</v>
      </c>
      <c r="B171" s="447" t="s">
        <v>213</v>
      </c>
      <c r="C171" s="448" t="s">
        <v>1098</v>
      </c>
      <c r="D171" s="449" t="s">
        <v>1099</v>
      </c>
      <c r="E171" s="450" t="s">
        <v>212</v>
      </c>
      <c r="F171" s="451">
        <v>141292.41</v>
      </c>
      <c r="G171" s="451">
        <v>0</v>
      </c>
      <c r="H171" s="451">
        <v>0</v>
      </c>
      <c r="I171" s="451">
        <v>141292.41</v>
      </c>
      <c r="J171" s="451">
        <v>-17737</v>
      </c>
      <c r="K171" s="451">
        <v>0</v>
      </c>
      <c r="L171" s="451">
        <v>0</v>
      </c>
      <c r="M171" s="451">
        <v>-17737</v>
      </c>
      <c r="N171" s="451">
        <v>45886.03</v>
      </c>
      <c r="O171" s="451">
        <v>0</v>
      </c>
      <c r="P171" s="451">
        <v>0</v>
      </c>
      <c r="Q171" s="451">
        <v>45886.03</v>
      </c>
      <c r="R171" s="451">
        <v>248332.55</v>
      </c>
      <c r="S171" s="451">
        <v>0</v>
      </c>
      <c r="T171" s="451">
        <v>0</v>
      </c>
      <c r="U171" s="451">
        <v>248332.55</v>
      </c>
      <c r="V171" s="451">
        <v>2671907.9500000002</v>
      </c>
      <c r="W171" s="451">
        <v>0</v>
      </c>
      <c r="X171" s="451">
        <v>0</v>
      </c>
      <c r="Y171" s="451">
        <v>2671907.9500000002</v>
      </c>
      <c r="Z171" s="451">
        <v>90449.22</v>
      </c>
      <c r="AA171" s="451">
        <v>0</v>
      </c>
      <c r="AB171" s="451">
        <v>0</v>
      </c>
      <c r="AC171" s="451">
        <v>90449.22</v>
      </c>
      <c r="AD171" s="451">
        <v>1580653.77</v>
      </c>
      <c r="AE171" s="451">
        <v>0</v>
      </c>
      <c r="AF171" s="451">
        <v>0</v>
      </c>
      <c r="AG171" s="451">
        <v>1580653.77</v>
      </c>
      <c r="AH171" s="451">
        <v>-26670.91</v>
      </c>
      <c r="AI171" s="451">
        <v>0</v>
      </c>
      <c r="AJ171" s="451">
        <v>0</v>
      </c>
      <c r="AK171" s="451">
        <v>-26670.91</v>
      </c>
      <c r="AL171" s="451">
        <v>4888912.17</v>
      </c>
      <c r="AM171" s="451">
        <v>0</v>
      </c>
      <c r="AN171" s="451">
        <v>0</v>
      </c>
      <c r="AO171" s="451">
        <v>4888912.17</v>
      </c>
      <c r="AP171" s="451">
        <v>263598.96000000002</v>
      </c>
      <c r="AQ171" s="451">
        <v>0</v>
      </c>
      <c r="AR171" s="451">
        <v>0</v>
      </c>
      <c r="AS171" s="451">
        <v>263598.96000000002</v>
      </c>
      <c r="AT171" s="451">
        <v>95839.08</v>
      </c>
      <c r="AU171" s="451">
        <v>0</v>
      </c>
      <c r="AV171" s="451">
        <v>0</v>
      </c>
      <c r="AW171" s="451">
        <v>95839.08</v>
      </c>
      <c r="AX171" s="451">
        <v>-4650.9799999999996</v>
      </c>
      <c r="AY171" s="451">
        <v>0</v>
      </c>
      <c r="AZ171" s="451">
        <v>0</v>
      </c>
      <c r="BA171" s="451">
        <v>-4650.9799999999996</v>
      </c>
      <c r="BB171" s="451">
        <v>0</v>
      </c>
      <c r="BC171" s="451">
        <v>0</v>
      </c>
      <c r="BD171" s="451">
        <v>0</v>
      </c>
      <c r="BE171" s="451">
        <v>0</v>
      </c>
      <c r="BF171" s="451">
        <v>0</v>
      </c>
      <c r="BG171" s="451">
        <v>0</v>
      </c>
      <c r="BH171" s="451">
        <v>0</v>
      </c>
      <c r="BI171" s="451">
        <v>0</v>
      </c>
      <c r="BJ171" s="451">
        <v>4439.43</v>
      </c>
      <c r="BK171" s="451">
        <v>0</v>
      </c>
      <c r="BL171" s="451">
        <v>0</v>
      </c>
      <c r="BM171" s="451">
        <v>4439.43</v>
      </c>
      <c r="BN171" s="451">
        <v>13520.03</v>
      </c>
      <c r="BO171" s="451">
        <v>0</v>
      </c>
      <c r="BP171" s="451">
        <v>0</v>
      </c>
      <c r="BQ171" s="451">
        <v>13520.03</v>
      </c>
      <c r="BR171" s="451">
        <v>1927468.5</v>
      </c>
      <c r="BS171" s="451">
        <v>0</v>
      </c>
      <c r="BT171" s="451">
        <v>0</v>
      </c>
      <c r="BU171" s="451">
        <v>1927468.5</v>
      </c>
      <c r="BV171" s="451">
        <v>113283.98</v>
      </c>
      <c r="BW171" s="451">
        <v>0</v>
      </c>
      <c r="BX171" s="451">
        <v>0</v>
      </c>
      <c r="BY171" s="451">
        <v>113283.98</v>
      </c>
      <c r="BZ171" s="451">
        <v>447530.63</v>
      </c>
      <c r="CA171" s="451">
        <v>0</v>
      </c>
      <c r="CB171" s="451">
        <v>0</v>
      </c>
      <c r="CC171" s="451">
        <v>447530.63</v>
      </c>
      <c r="CD171" s="451">
        <v>-12948.79</v>
      </c>
      <c r="CE171" s="451">
        <v>0</v>
      </c>
      <c r="CF171" s="451">
        <v>0</v>
      </c>
      <c r="CG171" s="451">
        <v>-12948.79</v>
      </c>
      <c r="CH171" s="451">
        <v>94505.17</v>
      </c>
      <c r="CI171" s="451">
        <v>0</v>
      </c>
      <c r="CJ171" s="451">
        <v>0</v>
      </c>
      <c r="CK171" s="451">
        <v>94505.17</v>
      </c>
      <c r="CL171" s="451">
        <v>2317.36</v>
      </c>
      <c r="CM171" s="451">
        <v>0</v>
      </c>
      <c r="CN171" s="451">
        <v>0</v>
      </c>
      <c r="CO171" s="451">
        <v>2317.36</v>
      </c>
      <c r="CP171" s="451">
        <v>183.69</v>
      </c>
      <c r="CQ171" s="451">
        <v>0</v>
      </c>
      <c r="CR171" s="451">
        <v>0</v>
      </c>
      <c r="CS171" s="451">
        <v>183.69</v>
      </c>
      <c r="CT171" s="451">
        <v>0</v>
      </c>
      <c r="CU171" s="451">
        <v>0</v>
      </c>
      <c r="CV171" s="451">
        <v>0</v>
      </c>
      <c r="CW171" s="451">
        <v>0</v>
      </c>
      <c r="CX171" s="451">
        <v>0</v>
      </c>
      <c r="CY171" s="451">
        <v>0</v>
      </c>
      <c r="CZ171" s="451">
        <v>0</v>
      </c>
      <c r="DA171" s="451">
        <v>0</v>
      </c>
      <c r="DB171" s="451">
        <v>0</v>
      </c>
      <c r="DC171" s="451">
        <v>0</v>
      </c>
      <c r="DD171" s="451">
        <v>0</v>
      </c>
      <c r="DE171" s="451">
        <v>0</v>
      </c>
      <c r="DF171" s="451">
        <v>0</v>
      </c>
      <c r="DG171" s="451">
        <v>0</v>
      </c>
      <c r="DH171" s="451">
        <v>0</v>
      </c>
      <c r="DI171" s="451">
        <v>0</v>
      </c>
      <c r="DJ171" s="451">
        <v>0</v>
      </c>
      <c r="DK171" s="451">
        <v>0</v>
      </c>
      <c r="DL171" s="451">
        <v>0</v>
      </c>
      <c r="DM171" s="451">
        <v>0</v>
      </c>
      <c r="DN171" s="451">
        <v>0</v>
      </c>
      <c r="DO171" s="451">
        <v>0</v>
      </c>
      <c r="DP171" s="451">
        <v>0</v>
      </c>
      <c r="DQ171" s="451">
        <v>0</v>
      </c>
      <c r="DR171" s="451">
        <v>0</v>
      </c>
      <c r="DS171" s="451">
        <v>0</v>
      </c>
      <c r="DT171" s="451">
        <v>0</v>
      </c>
      <c r="DU171" s="451">
        <v>0</v>
      </c>
      <c r="DV171" s="451">
        <v>0</v>
      </c>
      <c r="DW171" s="451">
        <v>0</v>
      </c>
      <c r="DX171" s="451">
        <v>0</v>
      </c>
      <c r="DY171" s="451">
        <v>0</v>
      </c>
      <c r="DZ171" s="451">
        <v>0</v>
      </c>
      <c r="EA171" s="451">
        <v>0</v>
      </c>
      <c r="EB171" s="451">
        <v>0</v>
      </c>
      <c r="EC171" s="451">
        <v>0</v>
      </c>
      <c r="ED171" s="451">
        <v>0</v>
      </c>
      <c r="EE171" s="451">
        <v>0</v>
      </c>
      <c r="EF171" s="451">
        <v>22803.51</v>
      </c>
      <c r="EG171" s="451">
        <v>0</v>
      </c>
      <c r="EH171" s="451">
        <v>0</v>
      </c>
      <c r="EI171" s="451">
        <v>22803.51</v>
      </c>
      <c r="EJ171" s="451">
        <v>5236.03</v>
      </c>
      <c r="EK171" s="451">
        <v>0</v>
      </c>
      <c r="EL171" s="451">
        <v>0</v>
      </c>
      <c r="EM171" s="451">
        <v>5236.03</v>
      </c>
    </row>
    <row r="172" spans="1:143" ht="12.75" x14ac:dyDescent="0.2">
      <c r="A172" s="446">
        <v>166</v>
      </c>
      <c r="B172" s="447" t="s">
        <v>215</v>
      </c>
      <c r="C172" s="448" t="s">
        <v>1093</v>
      </c>
      <c r="D172" s="449" t="s">
        <v>1102</v>
      </c>
      <c r="E172" s="450" t="s">
        <v>214</v>
      </c>
      <c r="F172" s="451">
        <v>133533</v>
      </c>
      <c r="G172" s="451">
        <v>0</v>
      </c>
      <c r="H172" s="451">
        <v>0</v>
      </c>
      <c r="I172" s="451">
        <v>133533</v>
      </c>
      <c r="J172" s="451">
        <v>-42428</v>
      </c>
      <c r="K172" s="451">
        <v>0</v>
      </c>
      <c r="L172" s="451">
        <v>0</v>
      </c>
      <c r="M172" s="451">
        <v>-42428</v>
      </c>
      <c r="N172" s="451">
        <v>12696</v>
      </c>
      <c r="O172" s="451">
        <v>0</v>
      </c>
      <c r="P172" s="451">
        <v>0</v>
      </c>
      <c r="Q172" s="451">
        <v>12696</v>
      </c>
      <c r="R172" s="451">
        <v>532</v>
      </c>
      <c r="S172" s="451">
        <v>0</v>
      </c>
      <c r="T172" s="451">
        <v>0</v>
      </c>
      <c r="U172" s="451">
        <v>532</v>
      </c>
      <c r="V172" s="451">
        <v>1853639</v>
      </c>
      <c r="W172" s="451">
        <v>0</v>
      </c>
      <c r="X172" s="451">
        <v>0</v>
      </c>
      <c r="Y172" s="451">
        <v>1853639</v>
      </c>
      <c r="Z172" s="451">
        <v>57563</v>
      </c>
      <c r="AA172" s="451">
        <v>0</v>
      </c>
      <c r="AB172" s="451">
        <v>0</v>
      </c>
      <c r="AC172" s="451">
        <v>57563</v>
      </c>
      <c r="AD172" s="451">
        <v>301312</v>
      </c>
      <c r="AE172" s="451">
        <v>0</v>
      </c>
      <c r="AF172" s="451">
        <v>0</v>
      </c>
      <c r="AG172" s="451">
        <v>301312</v>
      </c>
      <c r="AH172" s="451">
        <v>0</v>
      </c>
      <c r="AI172" s="451">
        <v>0</v>
      </c>
      <c r="AJ172" s="451">
        <v>0</v>
      </c>
      <c r="AK172" s="451">
        <v>0</v>
      </c>
      <c r="AL172" s="451">
        <v>1151702</v>
      </c>
      <c r="AM172" s="451">
        <v>0</v>
      </c>
      <c r="AN172" s="451">
        <v>0</v>
      </c>
      <c r="AO172" s="451">
        <v>1151702</v>
      </c>
      <c r="AP172" s="451">
        <v>22103</v>
      </c>
      <c r="AQ172" s="451">
        <v>0</v>
      </c>
      <c r="AR172" s="451">
        <v>0</v>
      </c>
      <c r="AS172" s="451">
        <v>22103</v>
      </c>
      <c r="AT172" s="451">
        <v>23903</v>
      </c>
      <c r="AU172" s="451">
        <v>0</v>
      </c>
      <c r="AV172" s="451">
        <v>0</v>
      </c>
      <c r="AW172" s="451">
        <v>23903</v>
      </c>
      <c r="AX172" s="451">
        <v>868</v>
      </c>
      <c r="AY172" s="451">
        <v>0</v>
      </c>
      <c r="AZ172" s="451">
        <v>0</v>
      </c>
      <c r="BA172" s="451">
        <v>868</v>
      </c>
      <c r="BB172" s="451">
        <v>23903</v>
      </c>
      <c r="BC172" s="451">
        <v>0</v>
      </c>
      <c r="BD172" s="451">
        <v>0</v>
      </c>
      <c r="BE172" s="451">
        <v>23903</v>
      </c>
      <c r="BF172" s="451">
        <v>0</v>
      </c>
      <c r="BG172" s="451">
        <v>0</v>
      </c>
      <c r="BH172" s="451">
        <v>0</v>
      </c>
      <c r="BI172" s="451">
        <v>0</v>
      </c>
      <c r="BJ172" s="451">
        <v>17190</v>
      </c>
      <c r="BK172" s="451">
        <v>0</v>
      </c>
      <c r="BL172" s="451">
        <v>0</v>
      </c>
      <c r="BM172" s="451">
        <v>17190</v>
      </c>
      <c r="BN172" s="451">
        <v>897</v>
      </c>
      <c r="BO172" s="451">
        <v>0</v>
      </c>
      <c r="BP172" s="451">
        <v>0</v>
      </c>
      <c r="BQ172" s="451">
        <v>897</v>
      </c>
      <c r="BR172" s="451">
        <v>555741</v>
      </c>
      <c r="BS172" s="451">
        <v>0</v>
      </c>
      <c r="BT172" s="451">
        <v>0</v>
      </c>
      <c r="BU172" s="451">
        <v>555741</v>
      </c>
      <c r="BV172" s="451">
        <v>-89151</v>
      </c>
      <c r="BW172" s="451">
        <v>0</v>
      </c>
      <c r="BX172" s="451">
        <v>0</v>
      </c>
      <c r="BY172" s="451">
        <v>-89151</v>
      </c>
      <c r="BZ172" s="451">
        <v>47349</v>
      </c>
      <c r="CA172" s="451">
        <v>0</v>
      </c>
      <c r="CB172" s="451">
        <v>0</v>
      </c>
      <c r="CC172" s="451">
        <v>47349</v>
      </c>
      <c r="CD172" s="451">
        <v>278</v>
      </c>
      <c r="CE172" s="451">
        <v>0</v>
      </c>
      <c r="CF172" s="451">
        <v>0</v>
      </c>
      <c r="CG172" s="451">
        <v>278</v>
      </c>
      <c r="CH172" s="451">
        <v>14220</v>
      </c>
      <c r="CI172" s="451">
        <v>0</v>
      </c>
      <c r="CJ172" s="451">
        <v>0</v>
      </c>
      <c r="CK172" s="451">
        <v>14220</v>
      </c>
      <c r="CL172" s="451">
        <v>-3322</v>
      </c>
      <c r="CM172" s="451">
        <v>0</v>
      </c>
      <c r="CN172" s="451">
        <v>0</v>
      </c>
      <c r="CO172" s="451">
        <v>-3322</v>
      </c>
      <c r="CP172" s="451">
        <v>2929</v>
      </c>
      <c r="CQ172" s="451">
        <v>0</v>
      </c>
      <c r="CR172" s="451">
        <v>0</v>
      </c>
      <c r="CS172" s="451">
        <v>2929</v>
      </c>
      <c r="CT172" s="451">
        <v>0</v>
      </c>
      <c r="CU172" s="451">
        <v>0</v>
      </c>
      <c r="CV172" s="451">
        <v>0</v>
      </c>
      <c r="CW172" s="451">
        <v>0</v>
      </c>
      <c r="CX172" s="451">
        <v>7382</v>
      </c>
      <c r="CY172" s="451">
        <v>0</v>
      </c>
      <c r="CZ172" s="451">
        <v>0</v>
      </c>
      <c r="DA172" s="451">
        <v>7382</v>
      </c>
      <c r="DB172" s="451">
        <v>-7</v>
      </c>
      <c r="DC172" s="451">
        <v>0</v>
      </c>
      <c r="DD172" s="451">
        <v>0</v>
      </c>
      <c r="DE172" s="451">
        <v>-7</v>
      </c>
      <c r="DF172" s="451">
        <v>0</v>
      </c>
      <c r="DG172" s="451">
        <v>0</v>
      </c>
      <c r="DH172" s="451">
        <v>0</v>
      </c>
      <c r="DI172" s="451">
        <v>0</v>
      </c>
      <c r="DJ172" s="451">
        <v>0</v>
      </c>
      <c r="DK172" s="451">
        <v>0</v>
      </c>
      <c r="DL172" s="451">
        <v>0</v>
      </c>
      <c r="DM172" s="451">
        <v>0</v>
      </c>
      <c r="DN172" s="451">
        <v>12</v>
      </c>
      <c r="DO172" s="451">
        <v>0</v>
      </c>
      <c r="DP172" s="451">
        <v>0</v>
      </c>
      <c r="DQ172" s="451">
        <v>12</v>
      </c>
      <c r="DR172" s="451">
        <v>0</v>
      </c>
      <c r="DS172" s="451">
        <v>0</v>
      </c>
      <c r="DT172" s="451">
        <v>0</v>
      </c>
      <c r="DU172" s="451">
        <v>0</v>
      </c>
      <c r="DV172" s="451">
        <v>0</v>
      </c>
      <c r="DW172" s="451">
        <v>0</v>
      </c>
      <c r="DX172" s="451">
        <v>0</v>
      </c>
      <c r="DY172" s="451">
        <v>0</v>
      </c>
      <c r="DZ172" s="451">
        <v>0</v>
      </c>
      <c r="EA172" s="451">
        <v>0</v>
      </c>
      <c r="EB172" s="451">
        <v>0</v>
      </c>
      <c r="EC172" s="451">
        <v>0</v>
      </c>
      <c r="ED172" s="451">
        <v>0</v>
      </c>
      <c r="EE172" s="451">
        <v>0</v>
      </c>
      <c r="EF172" s="451">
        <v>6689</v>
      </c>
      <c r="EG172" s="451">
        <v>0</v>
      </c>
      <c r="EH172" s="451">
        <v>0</v>
      </c>
      <c r="EI172" s="451">
        <v>6689</v>
      </c>
      <c r="EJ172" s="451">
        <v>0</v>
      </c>
      <c r="EK172" s="451">
        <v>0</v>
      </c>
      <c r="EL172" s="451">
        <v>0</v>
      </c>
      <c r="EM172" s="451">
        <v>0</v>
      </c>
    </row>
    <row r="173" spans="1:143" ht="12.75" x14ac:dyDescent="0.2">
      <c r="A173" s="446">
        <v>167</v>
      </c>
      <c r="B173" s="447" t="s">
        <v>217</v>
      </c>
      <c r="C173" s="448" t="s">
        <v>1093</v>
      </c>
      <c r="D173" s="449" t="s">
        <v>1097</v>
      </c>
      <c r="E173" s="450" t="s">
        <v>216</v>
      </c>
      <c r="F173" s="451">
        <v>78484.800000000003</v>
      </c>
      <c r="G173" s="451">
        <v>0</v>
      </c>
      <c r="H173" s="451">
        <v>0</v>
      </c>
      <c r="I173" s="451">
        <v>78484.800000000003</v>
      </c>
      <c r="J173" s="451">
        <v>-120799.29</v>
      </c>
      <c r="K173" s="451">
        <v>0</v>
      </c>
      <c r="L173" s="451">
        <v>0</v>
      </c>
      <c r="M173" s="451">
        <v>-120799.29</v>
      </c>
      <c r="N173" s="451">
        <v>9053.06</v>
      </c>
      <c r="O173" s="451">
        <v>0</v>
      </c>
      <c r="P173" s="451">
        <v>0</v>
      </c>
      <c r="Q173" s="451">
        <v>9053.06</v>
      </c>
      <c r="R173" s="451">
        <v>9613.39</v>
      </c>
      <c r="S173" s="451">
        <v>0</v>
      </c>
      <c r="T173" s="451">
        <v>0</v>
      </c>
      <c r="U173" s="451">
        <v>9613.39</v>
      </c>
      <c r="V173" s="451">
        <v>1794707.73</v>
      </c>
      <c r="W173" s="451">
        <v>0</v>
      </c>
      <c r="X173" s="451">
        <v>0</v>
      </c>
      <c r="Y173" s="451">
        <v>1794707.73</v>
      </c>
      <c r="Z173" s="451">
        <v>337838.32</v>
      </c>
      <c r="AA173" s="451">
        <v>0</v>
      </c>
      <c r="AB173" s="451">
        <v>0</v>
      </c>
      <c r="AC173" s="451">
        <v>337838.32</v>
      </c>
      <c r="AD173" s="451">
        <v>381824.49</v>
      </c>
      <c r="AE173" s="451">
        <v>0</v>
      </c>
      <c r="AF173" s="451">
        <v>0</v>
      </c>
      <c r="AG173" s="451">
        <v>381824.49</v>
      </c>
      <c r="AH173" s="451">
        <v>20824.75</v>
      </c>
      <c r="AI173" s="451">
        <v>0</v>
      </c>
      <c r="AJ173" s="451">
        <v>0</v>
      </c>
      <c r="AK173" s="451">
        <v>20824.75</v>
      </c>
      <c r="AL173" s="451">
        <v>861766.91</v>
      </c>
      <c r="AM173" s="451">
        <v>0</v>
      </c>
      <c r="AN173" s="451">
        <v>0</v>
      </c>
      <c r="AO173" s="451">
        <v>861766.91</v>
      </c>
      <c r="AP173" s="451">
        <v>-4683.74</v>
      </c>
      <c r="AQ173" s="451">
        <v>0</v>
      </c>
      <c r="AR173" s="451">
        <v>0</v>
      </c>
      <c r="AS173" s="451">
        <v>-4683.74</v>
      </c>
      <c r="AT173" s="451">
        <v>36329.17</v>
      </c>
      <c r="AU173" s="451">
        <v>0</v>
      </c>
      <c r="AV173" s="451">
        <v>0</v>
      </c>
      <c r="AW173" s="451">
        <v>36329.17</v>
      </c>
      <c r="AX173" s="451">
        <v>0</v>
      </c>
      <c r="AY173" s="451">
        <v>0</v>
      </c>
      <c r="AZ173" s="451">
        <v>0</v>
      </c>
      <c r="BA173" s="451">
        <v>0</v>
      </c>
      <c r="BB173" s="451">
        <v>94075.01</v>
      </c>
      <c r="BC173" s="451">
        <v>0</v>
      </c>
      <c r="BD173" s="451">
        <v>0</v>
      </c>
      <c r="BE173" s="451">
        <v>94075.01</v>
      </c>
      <c r="BF173" s="451">
        <v>1219.02</v>
      </c>
      <c r="BG173" s="451">
        <v>0</v>
      </c>
      <c r="BH173" s="451">
        <v>0</v>
      </c>
      <c r="BI173" s="451">
        <v>1219.02</v>
      </c>
      <c r="BJ173" s="451">
        <v>0</v>
      </c>
      <c r="BK173" s="451">
        <v>0</v>
      </c>
      <c r="BL173" s="451">
        <v>0</v>
      </c>
      <c r="BM173" s="451">
        <v>0</v>
      </c>
      <c r="BN173" s="451">
        <v>-146.13999999999999</v>
      </c>
      <c r="BO173" s="451">
        <v>0</v>
      </c>
      <c r="BP173" s="451">
        <v>0</v>
      </c>
      <c r="BQ173" s="451">
        <v>-146.13999999999999</v>
      </c>
      <c r="BR173" s="451">
        <v>683998.61</v>
      </c>
      <c r="BS173" s="451">
        <v>0</v>
      </c>
      <c r="BT173" s="451">
        <v>0</v>
      </c>
      <c r="BU173" s="451">
        <v>683998.61</v>
      </c>
      <c r="BV173" s="451">
        <v>-10931.45</v>
      </c>
      <c r="BW173" s="451">
        <v>0</v>
      </c>
      <c r="BX173" s="451">
        <v>0</v>
      </c>
      <c r="BY173" s="451">
        <v>-10931.45</v>
      </c>
      <c r="BZ173" s="451">
        <v>155260.79999999999</v>
      </c>
      <c r="CA173" s="451">
        <v>0</v>
      </c>
      <c r="CB173" s="451">
        <v>0</v>
      </c>
      <c r="CC173" s="451">
        <v>155260.79999999999</v>
      </c>
      <c r="CD173" s="451">
        <v>-416.53</v>
      </c>
      <c r="CE173" s="451">
        <v>0</v>
      </c>
      <c r="CF173" s="451">
        <v>0</v>
      </c>
      <c r="CG173" s="451">
        <v>-416.53</v>
      </c>
      <c r="CH173" s="451">
        <v>88039.51</v>
      </c>
      <c r="CI173" s="451">
        <v>0</v>
      </c>
      <c r="CJ173" s="451">
        <v>0</v>
      </c>
      <c r="CK173" s="451">
        <v>88039.51</v>
      </c>
      <c r="CL173" s="451">
        <v>36518.68</v>
      </c>
      <c r="CM173" s="451">
        <v>0</v>
      </c>
      <c r="CN173" s="451">
        <v>0</v>
      </c>
      <c r="CO173" s="451">
        <v>36518.68</v>
      </c>
      <c r="CP173" s="451">
        <v>6482.38</v>
      </c>
      <c r="CQ173" s="451">
        <v>0</v>
      </c>
      <c r="CR173" s="451">
        <v>0</v>
      </c>
      <c r="CS173" s="451">
        <v>6482.38</v>
      </c>
      <c r="CT173" s="451">
        <v>0</v>
      </c>
      <c r="CU173" s="451">
        <v>0</v>
      </c>
      <c r="CV173" s="451">
        <v>0</v>
      </c>
      <c r="CW173" s="451">
        <v>0</v>
      </c>
      <c r="CX173" s="451">
        <v>94074.7</v>
      </c>
      <c r="CY173" s="451">
        <v>0</v>
      </c>
      <c r="CZ173" s="451">
        <v>0</v>
      </c>
      <c r="DA173" s="451">
        <v>94074.7</v>
      </c>
      <c r="DB173" s="451">
        <v>1218.98</v>
      </c>
      <c r="DC173" s="451">
        <v>0</v>
      </c>
      <c r="DD173" s="451">
        <v>0</v>
      </c>
      <c r="DE173" s="451">
        <v>1218.98</v>
      </c>
      <c r="DF173" s="451">
        <v>78765.8</v>
      </c>
      <c r="DG173" s="451">
        <v>0</v>
      </c>
      <c r="DH173" s="451">
        <v>0</v>
      </c>
      <c r="DI173" s="451">
        <v>78765.8</v>
      </c>
      <c r="DJ173" s="451">
        <v>10724.19</v>
      </c>
      <c r="DK173" s="451">
        <v>0</v>
      </c>
      <c r="DL173" s="451">
        <v>0</v>
      </c>
      <c r="DM173" s="451">
        <v>10724.19</v>
      </c>
      <c r="DN173" s="451">
        <v>0</v>
      </c>
      <c r="DO173" s="451">
        <v>0</v>
      </c>
      <c r="DP173" s="451">
        <v>0</v>
      </c>
      <c r="DQ173" s="451">
        <v>0</v>
      </c>
      <c r="DR173" s="451">
        <v>0</v>
      </c>
      <c r="DS173" s="451">
        <v>0</v>
      </c>
      <c r="DT173" s="451">
        <v>0</v>
      </c>
      <c r="DU173" s="451">
        <v>0</v>
      </c>
      <c r="DV173" s="451">
        <v>0</v>
      </c>
      <c r="DW173" s="451">
        <v>0</v>
      </c>
      <c r="DX173" s="451">
        <v>0</v>
      </c>
      <c r="DY173" s="451">
        <v>0</v>
      </c>
      <c r="DZ173" s="451">
        <v>0</v>
      </c>
      <c r="EA173" s="451">
        <v>0</v>
      </c>
      <c r="EB173" s="451">
        <v>0</v>
      </c>
      <c r="EC173" s="451">
        <v>0</v>
      </c>
      <c r="ED173" s="451">
        <v>0</v>
      </c>
      <c r="EE173" s="451">
        <v>0</v>
      </c>
      <c r="EF173" s="451">
        <v>0</v>
      </c>
      <c r="EG173" s="451">
        <v>0</v>
      </c>
      <c r="EH173" s="451">
        <v>0</v>
      </c>
      <c r="EI173" s="451">
        <v>0</v>
      </c>
      <c r="EJ173" s="451">
        <v>0</v>
      </c>
      <c r="EK173" s="451">
        <v>0</v>
      </c>
      <c r="EL173" s="451">
        <v>0</v>
      </c>
      <c r="EM173" s="451">
        <v>0</v>
      </c>
    </row>
    <row r="174" spans="1:143" ht="12.75" x14ac:dyDescent="0.2">
      <c r="A174" s="446">
        <v>168</v>
      </c>
      <c r="B174" s="447" t="s">
        <v>219</v>
      </c>
      <c r="C174" s="448" t="s">
        <v>1093</v>
      </c>
      <c r="D174" s="449" t="s">
        <v>1094</v>
      </c>
      <c r="E174" s="450" t="s">
        <v>218</v>
      </c>
      <c r="F174" s="451">
        <v>82334</v>
      </c>
      <c r="G174" s="451">
        <v>0</v>
      </c>
      <c r="H174" s="451">
        <v>0</v>
      </c>
      <c r="I174" s="451">
        <v>82334</v>
      </c>
      <c r="J174" s="451">
        <v>-14656</v>
      </c>
      <c r="K174" s="451">
        <v>0</v>
      </c>
      <c r="L174" s="451">
        <v>0</v>
      </c>
      <c r="M174" s="451">
        <v>-14656</v>
      </c>
      <c r="N174" s="451">
        <v>32460</v>
      </c>
      <c r="O174" s="451">
        <v>0</v>
      </c>
      <c r="P174" s="451">
        <v>0</v>
      </c>
      <c r="Q174" s="451">
        <v>32460</v>
      </c>
      <c r="R174" s="451">
        <v>123360</v>
      </c>
      <c r="S174" s="451">
        <v>0</v>
      </c>
      <c r="T174" s="451">
        <v>0</v>
      </c>
      <c r="U174" s="451">
        <v>123360</v>
      </c>
      <c r="V174" s="451">
        <v>2178707</v>
      </c>
      <c r="W174" s="451">
        <v>0</v>
      </c>
      <c r="X174" s="451">
        <v>0</v>
      </c>
      <c r="Y174" s="451">
        <v>2178707</v>
      </c>
      <c r="Z174" s="451">
        <v>183452</v>
      </c>
      <c r="AA174" s="451">
        <v>0</v>
      </c>
      <c r="AB174" s="451">
        <v>0</v>
      </c>
      <c r="AC174" s="451">
        <v>183452</v>
      </c>
      <c r="AD174" s="451">
        <v>800288</v>
      </c>
      <c r="AE174" s="451">
        <v>0</v>
      </c>
      <c r="AF174" s="451">
        <v>0</v>
      </c>
      <c r="AG174" s="451">
        <v>800288</v>
      </c>
      <c r="AH174" s="451">
        <v>-5952</v>
      </c>
      <c r="AI174" s="451">
        <v>0</v>
      </c>
      <c r="AJ174" s="451">
        <v>0</v>
      </c>
      <c r="AK174" s="451">
        <v>-5952</v>
      </c>
      <c r="AL174" s="451">
        <v>3902528</v>
      </c>
      <c r="AM174" s="451">
        <v>0</v>
      </c>
      <c r="AN174" s="451">
        <v>0</v>
      </c>
      <c r="AO174" s="451">
        <v>3902528</v>
      </c>
      <c r="AP174" s="451">
        <v>58221</v>
      </c>
      <c r="AQ174" s="451">
        <v>0</v>
      </c>
      <c r="AR174" s="451">
        <v>0</v>
      </c>
      <c r="AS174" s="451">
        <v>58221</v>
      </c>
      <c r="AT174" s="451">
        <v>57349</v>
      </c>
      <c r="AU174" s="451">
        <v>0</v>
      </c>
      <c r="AV174" s="451">
        <v>0</v>
      </c>
      <c r="AW174" s="451">
        <v>57349</v>
      </c>
      <c r="AX174" s="451">
        <v>-2784</v>
      </c>
      <c r="AY174" s="451">
        <v>0</v>
      </c>
      <c r="AZ174" s="451">
        <v>0</v>
      </c>
      <c r="BA174" s="451">
        <v>-2784</v>
      </c>
      <c r="BB174" s="451">
        <v>5280</v>
      </c>
      <c r="BC174" s="451">
        <v>0</v>
      </c>
      <c r="BD174" s="451">
        <v>0</v>
      </c>
      <c r="BE174" s="451">
        <v>5280</v>
      </c>
      <c r="BF174" s="451">
        <v>-429</v>
      </c>
      <c r="BG174" s="451">
        <v>0</v>
      </c>
      <c r="BH174" s="451">
        <v>0</v>
      </c>
      <c r="BI174" s="451">
        <v>-429</v>
      </c>
      <c r="BJ174" s="451">
        <v>52096</v>
      </c>
      <c r="BK174" s="451">
        <v>0</v>
      </c>
      <c r="BL174" s="451">
        <v>0</v>
      </c>
      <c r="BM174" s="451">
        <v>52096</v>
      </c>
      <c r="BN174" s="451">
        <v>6998</v>
      </c>
      <c r="BO174" s="451">
        <v>0</v>
      </c>
      <c r="BP174" s="451">
        <v>0</v>
      </c>
      <c r="BQ174" s="451">
        <v>6998</v>
      </c>
      <c r="BR174" s="451">
        <v>1164049</v>
      </c>
      <c r="BS174" s="451">
        <v>0</v>
      </c>
      <c r="BT174" s="451">
        <v>0</v>
      </c>
      <c r="BU174" s="451">
        <v>1164049</v>
      </c>
      <c r="BV174" s="451">
        <v>114689</v>
      </c>
      <c r="BW174" s="451">
        <v>0</v>
      </c>
      <c r="BX174" s="451">
        <v>0</v>
      </c>
      <c r="BY174" s="451">
        <v>114689</v>
      </c>
      <c r="BZ174" s="451">
        <v>79673</v>
      </c>
      <c r="CA174" s="451">
        <v>0</v>
      </c>
      <c r="CB174" s="451">
        <v>0</v>
      </c>
      <c r="CC174" s="451">
        <v>79673</v>
      </c>
      <c r="CD174" s="451">
        <v>-1190</v>
      </c>
      <c r="CE174" s="451">
        <v>0</v>
      </c>
      <c r="CF174" s="451">
        <v>0</v>
      </c>
      <c r="CG174" s="451">
        <v>-1190</v>
      </c>
      <c r="CH174" s="451">
        <v>35661</v>
      </c>
      <c r="CI174" s="451">
        <v>0</v>
      </c>
      <c r="CJ174" s="451">
        <v>0</v>
      </c>
      <c r="CK174" s="451">
        <v>35661</v>
      </c>
      <c r="CL174" s="451">
        <v>0</v>
      </c>
      <c r="CM174" s="451">
        <v>0</v>
      </c>
      <c r="CN174" s="451">
        <v>0</v>
      </c>
      <c r="CO174" s="451">
        <v>0</v>
      </c>
      <c r="CP174" s="451">
        <v>4385</v>
      </c>
      <c r="CQ174" s="451">
        <v>0</v>
      </c>
      <c r="CR174" s="451">
        <v>0</v>
      </c>
      <c r="CS174" s="451">
        <v>4385</v>
      </c>
      <c r="CT174" s="451">
        <v>0</v>
      </c>
      <c r="CU174" s="451">
        <v>0</v>
      </c>
      <c r="CV174" s="451">
        <v>0</v>
      </c>
      <c r="CW174" s="451">
        <v>0</v>
      </c>
      <c r="CX174" s="451">
        <v>5280</v>
      </c>
      <c r="CY174" s="451">
        <v>0</v>
      </c>
      <c r="CZ174" s="451">
        <v>0</v>
      </c>
      <c r="DA174" s="451">
        <v>5280</v>
      </c>
      <c r="DB174" s="451">
        <v>0</v>
      </c>
      <c r="DC174" s="451">
        <v>0</v>
      </c>
      <c r="DD174" s="451">
        <v>0</v>
      </c>
      <c r="DE174" s="451">
        <v>0</v>
      </c>
      <c r="DF174" s="451">
        <v>0</v>
      </c>
      <c r="DG174" s="451">
        <v>0</v>
      </c>
      <c r="DH174" s="451">
        <v>0</v>
      </c>
      <c r="DI174" s="451">
        <v>0</v>
      </c>
      <c r="DJ174" s="451">
        <v>0</v>
      </c>
      <c r="DK174" s="451">
        <v>0</v>
      </c>
      <c r="DL174" s="451">
        <v>0</v>
      </c>
      <c r="DM174" s="451">
        <v>0</v>
      </c>
      <c r="DN174" s="451">
        <v>0</v>
      </c>
      <c r="DO174" s="451">
        <v>0</v>
      </c>
      <c r="DP174" s="451">
        <v>0</v>
      </c>
      <c r="DQ174" s="451">
        <v>0</v>
      </c>
      <c r="DR174" s="451">
        <v>0</v>
      </c>
      <c r="DS174" s="451">
        <v>0</v>
      </c>
      <c r="DT174" s="451">
        <v>0</v>
      </c>
      <c r="DU174" s="451">
        <v>0</v>
      </c>
      <c r="DV174" s="451">
        <v>0</v>
      </c>
      <c r="DW174" s="451">
        <v>0</v>
      </c>
      <c r="DX174" s="451">
        <v>0</v>
      </c>
      <c r="DY174" s="451">
        <v>0</v>
      </c>
      <c r="DZ174" s="451">
        <v>0</v>
      </c>
      <c r="EA174" s="451">
        <v>0</v>
      </c>
      <c r="EB174" s="451">
        <v>0</v>
      </c>
      <c r="EC174" s="451">
        <v>0</v>
      </c>
      <c r="ED174" s="451">
        <v>0</v>
      </c>
      <c r="EE174" s="451">
        <v>0</v>
      </c>
      <c r="EF174" s="451">
        <v>10256</v>
      </c>
      <c r="EG174" s="451">
        <v>0</v>
      </c>
      <c r="EH174" s="451">
        <v>0</v>
      </c>
      <c r="EI174" s="451">
        <v>10256</v>
      </c>
      <c r="EJ174" s="451">
        <v>48</v>
      </c>
      <c r="EK174" s="451">
        <v>0</v>
      </c>
      <c r="EL174" s="451">
        <v>0</v>
      </c>
      <c r="EM174" s="451">
        <v>48</v>
      </c>
    </row>
    <row r="175" spans="1:143" ht="12.75" x14ac:dyDescent="0.2">
      <c r="A175" s="446">
        <v>169</v>
      </c>
      <c r="B175" s="447" t="s">
        <v>221</v>
      </c>
      <c r="C175" s="448" t="s">
        <v>794</v>
      </c>
      <c r="D175" s="449" t="s">
        <v>1105</v>
      </c>
      <c r="E175" s="450" t="s">
        <v>726</v>
      </c>
      <c r="F175" s="451">
        <v>63473.08</v>
      </c>
      <c r="G175" s="451">
        <v>0</v>
      </c>
      <c r="H175" s="451">
        <v>0</v>
      </c>
      <c r="I175" s="451">
        <v>63473.08</v>
      </c>
      <c r="J175" s="451">
        <v>-110572</v>
      </c>
      <c r="K175" s="451">
        <v>0</v>
      </c>
      <c r="L175" s="451">
        <v>0</v>
      </c>
      <c r="M175" s="451">
        <v>-110572</v>
      </c>
      <c r="N175" s="451">
        <v>71923</v>
      </c>
      <c r="O175" s="451">
        <v>0</v>
      </c>
      <c r="P175" s="451">
        <v>0</v>
      </c>
      <c r="Q175" s="451">
        <v>71923</v>
      </c>
      <c r="R175" s="451">
        <v>386545.16</v>
      </c>
      <c r="S175" s="451">
        <v>0</v>
      </c>
      <c r="T175" s="451">
        <v>0</v>
      </c>
      <c r="U175" s="451">
        <v>386545.16</v>
      </c>
      <c r="V175" s="451">
        <v>2220338.4900000002</v>
      </c>
      <c r="W175" s="451">
        <v>0</v>
      </c>
      <c r="X175" s="451">
        <v>0</v>
      </c>
      <c r="Y175" s="451">
        <v>2220338.4900000002</v>
      </c>
      <c r="Z175" s="451">
        <v>115006.78</v>
      </c>
      <c r="AA175" s="451">
        <v>0</v>
      </c>
      <c r="AB175" s="451">
        <v>0</v>
      </c>
      <c r="AC175" s="451">
        <v>115006.78</v>
      </c>
      <c r="AD175" s="451">
        <v>861250.54</v>
      </c>
      <c r="AE175" s="451">
        <v>0</v>
      </c>
      <c r="AF175" s="451">
        <v>0</v>
      </c>
      <c r="AG175" s="451">
        <v>861250.54</v>
      </c>
      <c r="AH175" s="451">
        <v>-17465.77</v>
      </c>
      <c r="AI175" s="451">
        <v>0</v>
      </c>
      <c r="AJ175" s="451">
        <v>0</v>
      </c>
      <c r="AK175" s="451">
        <v>-17465.77</v>
      </c>
      <c r="AL175" s="451">
        <v>4448862.5199999996</v>
      </c>
      <c r="AM175" s="451">
        <v>0</v>
      </c>
      <c r="AN175" s="451">
        <v>0</v>
      </c>
      <c r="AO175" s="451">
        <v>4448862.5199999996</v>
      </c>
      <c r="AP175" s="451">
        <v>-23927.25</v>
      </c>
      <c r="AQ175" s="451">
        <v>0</v>
      </c>
      <c r="AR175" s="451">
        <v>0</v>
      </c>
      <c r="AS175" s="451">
        <v>-23927.25</v>
      </c>
      <c r="AT175" s="451">
        <v>31383.84</v>
      </c>
      <c r="AU175" s="451">
        <v>0</v>
      </c>
      <c r="AV175" s="451">
        <v>0</v>
      </c>
      <c r="AW175" s="451">
        <v>31383.84</v>
      </c>
      <c r="AX175" s="451">
        <v>0</v>
      </c>
      <c r="AY175" s="451">
        <v>0</v>
      </c>
      <c r="AZ175" s="451">
        <v>0</v>
      </c>
      <c r="BA175" s="451">
        <v>0</v>
      </c>
      <c r="BB175" s="451">
        <v>0</v>
      </c>
      <c r="BC175" s="451">
        <v>0</v>
      </c>
      <c r="BD175" s="451">
        <v>0</v>
      </c>
      <c r="BE175" s="451">
        <v>0</v>
      </c>
      <c r="BF175" s="451">
        <v>0</v>
      </c>
      <c r="BG175" s="451">
        <v>0</v>
      </c>
      <c r="BH175" s="451">
        <v>0</v>
      </c>
      <c r="BI175" s="451">
        <v>0</v>
      </c>
      <c r="BJ175" s="451">
        <v>3174.49</v>
      </c>
      <c r="BK175" s="451">
        <v>0</v>
      </c>
      <c r="BL175" s="451">
        <v>0</v>
      </c>
      <c r="BM175" s="451">
        <v>3174.49</v>
      </c>
      <c r="BN175" s="451">
        <v>10988.94</v>
      </c>
      <c r="BO175" s="451">
        <v>0</v>
      </c>
      <c r="BP175" s="451">
        <v>0</v>
      </c>
      <c r="BQ175" s="451">
        <v>10988.94</v>
      </c>
      <c r="BR175" s="451">
        <v>3003972.45</v>
      </c>
      <c r="BS175" s="451">
        <v>0</v>
      </c>
      <c r="BT175" s="451">
        <v>0</v>
      </c>
      <c r="BU175" s="451">
        <v>3003972.45</v>
      </c>
      <c r="BV175" s="451">
        <v>-247082.47</v>
      </c>
      <c r="BW175" s="451">
        <v>0</v>
      </c>
      <c r="BX175" s="451">
        <v>0</v>
      </c>
      <c r="BY175" s="451">
        <v>-247082.47</v>
      </c>
      <c r="BZ175" s="451">
        <v>5062.4799999999996</v>
      </c>
      <c r="CA175" s="451">
        <v>0</v>
      </c>
      <c r="CB175" s="451">
        <v>0</v>
      </c>
      <c r="CC175" s="451">
        <v>5062.4799999999996</v>
      </c>
      <c r="CD175" s="451">
        <v>2522.13</v>
      </c>
      <c r="CE175" s="451">
        <v>0</v>
      </c>
      <c r="CF175" s="451">
        <v>0</v>
      </c>
      <c r="CG175" s="451">
        <v>2522.13</v>
      </c>
      <c r="CH175" s="451">
        <v>43856.25</v>
      </c>
      <c r="CI175" s="451">
        <v>0</v>
      </c>
      <c r="CJ175" s="451">
        <v>0</v>
      </c>
      <c r="CK175" s="451">
        <v>43856.25</v>
      </c>
      <c r="CL175" s="451">
        <v>1206.68</v>
      </c>
      <c r="CM175" s="451">
        <v>0</v>
      </c>
      <c r="CN175" s="451">
        <v>0</v>
      </c>
      <c r="CO175" s="451">
        <v>1206.68</v>
      </c>
      <c r="CP175" s="451">
        <v>7505.4</v>
      </c>
      <c r="CQ175" s="451">
        <v>0</v>
      </c>
      <c r="CR175" s="451">
        <v>0</v>
      </c>
      <c r="CS175" s="451">
        <v>7505.4</v>
      </c>
      <c r="CT175" s="451">
        <v>0</v>
      </c>
      <c r="CU175" s="451">
        <v>0</v>
      </c>
      <c r="CV175" s="451">
        <v>0</v>
      </c>
      <c r="CW175" s="451">
        <v>0</v>
      </c>
      <c r="CX175" s="451">
        <v>0</v>
      </c>
      <c r="CY175" s="451">
        <v>0</v>
      </c>
      <c r="CZ175" s="451">
        <v>0</v>
      </c>
      <c r="DA175" s="451">
        <v>0</v>
      </c>
      <c r="DB175" s="451">
        <v>0</v>
      </c>
      <c r="DC175" s="451">
        <v>0</v>
      </c>
      <c r="DD175" s="451">
        <v>0</v>
      </c>
      <c r="DE175" s="451">
        <v>0</v>
      </c>
      <c r="DF175" s="451">
        <v>0</v>
      </c>
      <c r="DG175" s="451">
        <v>0</v>
      </c>
      <c r="DH175" s="451">
        <v>0</v>
      </c>
      <c r="DI175" s="451">
        <v>0</v>
      </c>
      <c r="DJ175" s="451">
        <v>0</v>
      </c>
      <c r="DK175" s="451">
        <v>0</v>
      </c>
      <c r="DL175" s="451">
        <v>0</v>
      </c>
      <c r="DM175" s="451">
        <v>0</v>
      </c>
      <c r="DN175" s="451">
        <v>0</v>
      </c>
      <c r="DO175" s="451">
        <v>0</v>
      </c>
      <c r="DP175" s="451">
        <v>0</v>
      </c>
      <c r="DQ175" s="451">
        <v>0</v>
      </c>
      <c r="DR175" s="451">
        <v>0</v>
      </c>
      <c r="DS175" s="451">
        <v>0</v>
      </c>
      <c r="DT175" s="451">
        <v>0</v>
      </c>
      <c r="DU175" s="451">
        <v>0</v>
      </c>
      <c r="DV175" s="451">
        <v>0</v>
      </c>
      <c r="DW175" s="451">
        <v>0</v>
      </c>
      <c r="DX175" s="451">
        <v>0</v>
      </c>
      <c r="DY175" s="451">
        <v>0</v>
      </c>
      <c r="DZ175" s="451">
        <v>0</v>
      </c>
      <c r="EA175" s="451">
        <v>0</v>
      </c>
      <c r="EB175" s="451">
        <v>0</v>
      </c>
      <c r="EC175" s="451">
        <v>0</v>
      </c>
      <c r="ED175" s="451">
        <v>0</v>
      </c>
      <c r="EE175" s="451">
        <v>0</v>
      </c>
      <c r="EF175" s="451">
        <v>968847</v>
      </c>
      <c r="EG175" s="451">
        <v>0</v>
      </c>
      <c r="EH175" s="451">
        <v>0</v>
      </c>
      <c r="EI175" s="451">
        <v>968847</v>
      </c>
      <c r="EJ175" s="451">
        <v>0</v>
      </c>
      <c r="EK175" s="451">
        <v>0</v>
      </c>
      <c r="EL175" s="451">
        <v>0</v>
      </c>
      <c r="EM175" s="451">
        <v>0</v>
      </c>
    </row>
    <row r="176" spans="1:143" ht="12.75" x14ac:dyDescent="0.2">
      <c r="A176" s="446">
        <v>170</v>
      </c>
      <c r="B176" s="447" t="s">
        <v>223</v>
      </c>
      <c r="C176" s="448" t="s">
        <v>794</v>
      </c>
      <c r="D176" s="449" t="s">
        <v>1094</v>
      </c>
      <c r="E176" s="450" t="s">
        <v>727</v>
      </c>
      <c r="F176" s="451">
        <v>197854</v>
      </c>
      <c r="G176" s="451">
        <v>0</v>
      </c>
      <c r="H176" s="451">
        <v>0</v>
      </c>
      <c r="I176" s="451">
        <v>197854</v>
      </c>
      <c r="J176" s="451">
        <v>-360754</v>
      </c>
      <c r="K176" s="451">
        <v>0</v>
      </c>
      <c r="L176" s="451">
        <v>0</v>
      </c>
      <c r="M176" s="451">
        <v>-360754</v>
      </c>
      <c r="N176" s="451">
        <v>311345</v>
      </c>
      <c r="O176" s="451">
        <v>0</v>
      </c>
      <c r="P176" s="451">
        <v>0</v>
      </c>
      <c r="Q176" s="451">
        <v>311345</v>
      </c>
      <c r="R176" s="451">
        <v>1471640</v>
      </c>
      <c r="S176" s="451">
        <v>0</v>
      </c>
      <c r="T176" s="451">
        <v>0</v>
      </c>
      <c r="U176" s="451">
        <v>1471640</v>
      </c>
      <c r="V176" s="451">
        <v>2994068</v>
      </c>
      <c r="W176" s="451">
        <v>0</v>
      </c>
      <c r="X176" s="451">
        <v>0</v>
      </c>
      <c r="Y176" s="451">
        <v>2994068</v>
      </c>
      <c r="Z176" s="451">
        <v>78517</v>
      </c>
      <c r="AA176" s="451">
        <v>0</v>
      </c>
      <c r="AB176" s="451">
        <v>0</v>
      </c>
      <c r="AC176" s="451">
        <v>78517</v>
      </c>
      <c r="AD176" s="451">
        <v>3016411</v>
      </c>
      <c r="AE176" s="451">
        <v>0</v>
      </c>
      <c r="AF176" s="451">
        <v>0</v>
      </c>
      <c r="AG176" s="451">
        <v>3016411</v>
      </c>
      <c r="AH176" s="451">
        <v>29118</v>
      </c>
      <c r="AI176" s="451">
        <v>0</v>
      </c>
      <c r="AJ176" s="451">
        <v>0</v>
      </c>
      <c r="AK176" s="451">
        <v>29118</v>
      </c>
      <c r="AL176" s="451">
        <v>7713349</v>
      </c>
      <c r="AM176" s="451">
        <v>0</v>
      </c>
      <c r="AN176" s="451">
        <v>0</v>
      </c>
      <c r="AO176" s="451">
        <v>7713349</v>
      </c>
      <c r="AP176" s="451">
        <v>91599</v>
      </c>
      <c r="AQ176" s="451">
        <v>0</v>
      </c>
      <c r="AR176" s="451">
        <v>0</v>
      </c>
      <c r="AS176" s="451">
        <v>91599</v>
      </c>
      <c r="AT176" s="451">
        <v>55964</v>
      </c>
      <c r="AU176" s="451">
        <v>0</v>
      </c>
      <c r="AV176" s="451">
        <v>0</v>
      </c>
      <c r="AW176" s="451">
        <v>55964</v>
      </c>
      <c r="AX176" s="451">
        <v>-6</v>
      </c>
      <c r="AY176" s="451">
        <v>0</v>
      </c>
      <c r="AZ176" s="451">
        <v>0</v>
      </c>
      <c r="BA176" s="451">
        <v>-6</v>
      </c>
      <c r="BB176" s="451">
        <v>12523</v>
      </c>
      <c r="BC176" s="451">
        <v>0</v>
      </c>
      <c r="BD176" s="451">
        <v>0</v>
      </c>
      <c r="BE176" s="451">
        <v>12523</v>
      </c>
      <c r="BF176" s="451">
        <v>0</v>
      </c>
      <c r="BG176" s="451">
        <v>0</v>
      </c>
      <c r="BH176" s="451">
        <v>0</v>
      </c>
      <c r="BI176" s="451">
        <v>0</v>
      </c>
      <c r="BJ176" s="451">
        <v>55701</v>
      </c>
      <c r="BK176" s="451">
        <v>0</v>
      </c>
      <c r="BL176" s="451">
        <v>0</v>
      </c>
      <c r="BM176" s="451">
        <v>55701</v>
      </c>
      <c r="BN176" s="451">
        <v>-52864</v>
      </c>
      <c r="BO176" s="451">
        <v>0</v>
      </c>
      <c r="BP176" s="451">
        <v>0</v>
      </c>
      <c r="BQ176" s="451">
        <v>-52864</v>
      </c>
      <c r="BR176" s="451">
        <v>5325112</v>
      </c>
      <c r="BS176" s="451">
        <v>0</v>
      </c>
      <c r="BT176" s="451">
        <v>0</v>
      </c>
      <c r="BU176" s="451">
        <v>5325112</v>
      </c>
      <c r="BV176" s="451">
        <v>9561</v>
      </c>
      <c r="BW176" s="451">
        <v>0</v>
      </c>
      <c r="BX176" s="451">
        <v>0</v>
      </c>
      <c r="BY176" s="451">
        <v>9561</v>
      </c>
      <c r="BZ176" s="451">
        <v>442395</v>
      </c>
      <c r="CA176" s="451">
        <v>0</v>
      </c>
      <c r="CB176" s="451">
        <v>0</v>
      </c>
      <c r="CC176" s="451">
        <v>442395</v>
      </c>
      <c r="CD176" s="451">
        <v>-7378</v>
      </c>
      <c r="CE176" s="451">
        <v>0</v>
      </c>
      <c r="CF176" s="451">
        <v>0</v>
      </c>
      <c r="CG176" s="451">
        <v>-7378</v>
      </c>
      <c r="CH176" s="451">
        <v>0</v>
      </c>
      <c r="CI176" s="451">
        <v>0</v>
      </c>
      <c r="CJ176" s="451">
        <v>0</v>
      </c>
      <c r="CK176" s="451">
        <v>0</v>
      </c>
      <c r="CL176" s="451">
        <v>0</v>
      </c>
      <c r="CM176" s="451">
        <v>0</v>
      </c>
      <c r="CN176" s="451">
        <v>0</v>
      </c>
      <c r="CO176" s="451">
        <v>0</v>
      </c>
      <c r="CP176" s="451">
        <v>14008</v>
      </c>
      <c r="CQ176" s="451">
        <v>0</v>
      </c>
      <c r="CR176" s="451">
        <v>0</v>
      </c>
      <c r="CS176" s="451">
        <v>14008</v>
      </c>
      <c r="CT176" s="451">
        <v>0</v>
      </c>
      <c r="CU176" s="451">
        <v>0</v>
      </c>
      <c r="CV176" s="451">
        <v>0</v>
      </c>
      <c r="CW176" s="451">
        <v>0</v>
      </c>
      <c r="CX176" s="451">
        <v>0</v>
      </c>
      <c r="CY176" s="451">
        <v>0</v>
      </c>
      <c r="CZ176" s="451">
        <v>0</v>
      </c>
      <c r="DA176" s="451">
        <v>0</v>
      </c>
      <c r="DB176" s="451">
        <v>0</v>
      </c>
      <c r="DC176" s="451">
        <v>0</v>
      </c>
      <c r="DD176" s="451">
        <v>0</v>
      </c>
      <c r="DE176" s="451">
        <v>0</v>
      </c>
      <c r="DF176" s="451">
        <v>0</v>
      </c>
      <c r="DG176" s="451">
        <v>0</v>
      </c>
      <c r="DH176" s="451">
        <v>0</v>
      </c>
      <c r="DI176" s="451">
        <v>0</v>
      </c>
      <c r="DJ176" s="451">
        <v>0</v>
      </c>
      <c r="DK176" s="451">
        <v>0</v>
      </c>
      <c r="DL176" s="451">
        <v>0</v>
      </c>
      <c r="DM176" s="451">
        <v>0</v>
      </c>
      <c r="DN176" s="451">
        <v>35471</v>
      </c>
      <c r="DO176" s="451">
        <v>0</v>
      </c>
      <c r="DP176" s="451">
        <v>0</v>
      </c>
      <c r="DQ176" s="451">
        <v>35471</v>
      </c>
      <c r="DR176" s="451">
        <v>0</v>
      </c>
      <c r="DS176" s="451">
        <v>0</v>
      </c>
      <c r="DT176" s="451">
        <v>0</v>
      </c>
      <c r="DU176" s="451">
        <v>0</v>
      </c>
      <c r="DV176" s="451">
        <v>0</v>
      </c>
      <c r="DW176" s="451">
        <v>0</v>
      </c>
      <c r="DX176" s="451">
        <v>0</v>
      </c>
      <c r="DY176" s="451">
        <v>0</v>
      </c>
      <c r="DZ176" s="451">
        <v>0</v>
      </c>
      <c r="EA176" s="451">
        <v>0</v>
      </c>
      <c r="EB176" s="451">
        <v>0</v>
      </c>
      <c r="EC176" s="451">
        <v>0</v>
      </c>
      <c r="ED176" s="451">
        <v>0</v>
      </c>
      <c r="EE176" s="451">
        <v>0</v>
      </c>
      <c r="EF176" s="451">
        <v>1109</v>
      </c>
      <c r="EG176" s="451">
        <v>0</v>
      </c>
      <c r="EH176" s="451">
        <v>0</v>
      </c>
      <c r="EI176" s="451">
        <v>1109</v>
      </c>
      <c r="EJ176" s="451">
        <v>266</v>
      </c>
      <c r="EK176" s="451">
        <v>0</v>
      </c>
      <c r="EL176" s="451">
        <v>0</v>
      </c>
      <c r="EM176" s="451">
        <v>266</v>
      </c>
    </row>
    <row r="177" spans="1:143" ht="12.75" x14ac:dyDescent="0.2">
      <c r="A177" s="446">
        <v>171</v>
      </c>
      <c r="B177" s="447" t="s">
        <v>225</v>
      </c>
      <c r="C177" s="448" t="s">
        <v>1093</v>
      </c>
      <c r="D177" s="449" t="s">
        <v>1094</v>
      </c>
      <c r="E177" s="450" t="s">
        <v>224</v>
      </c>
      <c r="F177" s="451">
        <v>32087.02</v>
      </c>
      <c r="G177" s="451">
        <v>0</v>
      </c>
      <c r="H177" s="451">
        <v>0</v>
      </c>
      <c r="I177" s="451">
        <v>32087.02</v>
      </c>
      <c r="J177" s="451">
        <v>-17254.14</v>
      </c>
      <c r="K177" s="451">
        <v>0</v>
      </c>
      <c r="L177" s="451">
        <v>0</v>
      </c>
      <c r="M177" s="451">
        <v>-17254.14</v>
      </c>
      <c r="N177" s="451">
        <v>24849.119999999999</v>
      </c>
      <c r="O177" s="451">
        <v>0</v>
      </c>
      <c r="P177" s="451">
        <v>0</v>
      </c>
      <c r="Q177" s="451">
        <v>24849.119999999999</v>
      </c>
      <c r="R177" s="451">
        <v>124763.38</v>
      </c>
      <c r="S177" s="451">
        <v>0</v>
      </c>
      <c r="T177" s="451">
        <v>0</v>
      </c>
      <c r="U177" s="451">
        <v>124763.38</v>
      </c>
      <c r="V177" s="451">
        <v>1682806.3</v>
      </c>
      <c r="W177" s="451">
        <v>0</v>
      </c>
      <c r="X177" s="451">
        <v>0</v>
      </c>
      <c r="Y177" s="451">
        <v>1682806.3</v>
      </c>
      <c r="Z177" s="451">
        <v>142185.66</v>
      </c>
      <c r="AA177" s="451">
        <v>0</v>
      </c>
      <c r="AB177" s="451">
        <v>0</v>
      </c>
      <c r="AC177" s="451">
        <v>142185.66</v>
      </c>
      <c r="AD177" s="451">
        <v>691617.98</v>
      </c>
      <c r="AE177" s="451">
        <v>0</v>
      </c>
      <c r="AF177" s="451">
        <v>0</v>
      </c>
      <c r="AG177" s="451">
        <v>691617.98</v>
      </c>
      <c r="AH177" s="451">
        <v>-12130.78</v>
      </c>
      <c r="AI177" s="451">
        <v>0</v>
      </c>
      <c r="AJ177" s="451">
        <v>0</v>
      </c>
      <c r="AK177" s="451">
        <v>-12130.78</v>
      </c>
      <c r="AL177" s="451">
        <v>1955923.26</v>
      </c>
      <c r="AM177" s="451">
        <v>0</v>
      </c>
      <c r="AN177" s="451">
        <v>0</v>
      </c>
      <c r="AO177" s="451">
        <v>1955923.26</v>
      </c>
      <c r="AP177" s="451">
        <v>-833.75</v>
      </c>
      <c r="AQ177" s="451">
        <v>0</v>
      </c>
      <c r="AR177" s="451">
        <v>0</v>
      </c>
      <c r="AS177" s="451">
        <v>-833.75</v>
      </c>
      <c r="AT177" s="451">
        <v>32451.89</v>
      </c>
      <c r="AU177" s="451">
        <v>0</v>
      </c>
      <c r="AV177" s="451">
        <v>0</v>
      </c>
      <c r="AW177" s="451">
        <v>32451.89</v>
      </c>
      <c r="AX177" s="451">
        <v>0</v>
      </c>
      <c r="AY177" s="451">
        <v>0</v>
      </c>
      <c r="AZ177" s="451">
        <v>0</v>
      </c>
      <c r="BA177" s="451">
        <v>0</v>
      </c>
      <c r="BB177" s="451">
        <v>11162.7</v>
      </c>
      <c r="BC177" s="451">
        <v>0</v>
      </c>
      <c r="BD177" s="451">
        <v>0</v>
      </c>
      <c r="BE177" s="451">
        <v>11162.7</v>
      </c>
      <c r="BF177" s="451">
        <v>0</v>
      </c>
      <c r="BG177" s="451">
        <v>0</v>
      </c>
      <c r="BH177" s="451">
        <v>0</v>
      </c>
      <c r="BI177" s="451">
        <v>0</v>
      </c>
      <c r="BJ177" s="451">
        <v>55936.27</v>
      </c>
      <c r="BK177" s="451">
        <v>0</v>
      </c>
      <c r="BL177" s="451">
        <v>0</v>
      </c>
      <c r="BM177" s="451">
        <v>55936.27</v>
      </c>
      <c r="BN177" s="451">
        <v>-6005.26</v>
      </c>
      <c r="BO177" s="451">
        <v>0</v>
      </c>
      <c r="BP177" s="451">
        <v>0</v>
      </c>
      <c r="BQ177" s="451">
        <v>-6005.26</v>
      </c>
      <c r="BR177" s="451">
        <v>966466.47</v>
      </c>
      <c r="BS177" s="451">
        <v>0</v>
      </c>
      <c r="BT177" s="451">
        <v>0</v>
      </c>
      <c r="BU177" s="451">
        <v>966466.47</v>
      </c>
      <c r="BV177" s="451">
        <v>35562.199999999997</v>
      </c>
      <c r="BW177" s="451">
        <v>0</v>
      </c>
      <c r="BX177" s="451">
        <v>0</v>
      </c>
      <c r="BY177" s="451">
        <v>35562.199999999997</v>
      </c>
      <c r="BZ177" s="451">
        <v>21085.93</v>
      </c>
      <c r="CA177" s="451">
        <v>0</v>
      </c>
      <c r="CB177" s="451">
        <v>0</v>
      </c>
      <c r="CC177" s="451">
        <v>21085.93</v>
      </c>
      <c r="CD177" s="451">
        <v>1580.97</v>
      </c>
      <c r="CE177" s="451">
        <v>0</v>
      </c>
      <c r="CF177" s="451">
        <v>0</v>
      </c>
      <c r="CG177" s="451">
        <v>1580.97</v>
      </c>
      <c r="CH177" s="451">
        <v>10105.76</v>
      </c>
      <c r="CI177" s="451">
        <v>0</v>
      </c>
      <c r="CJ177" s="451">
        <v>0</v>
      </c>
      <c r="CK177" s="451">
        <v>10105.76</v>
      </c>
      <c r="CL177" s="451">
        <v>0</v>
      </c>
      <c r="CM177" s="451">
        <v>0</v>
      </c>
      <c r="CN177" s="451">
        <v>0</v>
      </c>
      <c r="CO177" s="451">
        <v>0</v>
      </c>
      <c r="CP177" s="451">
        <v>1705.93</v>
      </c>
      <c r="CQ177" s="451">
        <v>0</v>
      </c>
      <c r="CR177" s="451">
        <v>0</v>
      </c>
      <c r="CS177" s="451">
        <v>1705.93</v>
      </c>
      <c r="CT177" s="451">
        <v>0</v>
      </c>
      <c r="CU177" s="451">
        <v>0</v>
      </c>
      <c r="CV177" s="451">
        <v>0</v>
      </c>
      <c r="CW177" s="451">
        <v>0</v>
      </c>
      <c r="CX177" s="451">
        <v>9867.4500000000007</v>
      </c>
      <c r="CY177" s="451">
        <v>0</v>
      </c>
      <c r="CZ177" s="451">
        <v>0</v>
      </c>
      <c r="DA177" s="451">
        <v>9867.4500000000007</v>
      </c>
      <c r="DB177" s="451">
        <v>0</v>
      </c>
      <c r="DC177" s="451">
        <v>0</v>
      </c>
      <c r="DD177" s="451">
        <v>0</v>
      </c>
      <c r="DE177" s="451">
        <v>0</v>
      </c>
      <c r="DF177" s="451">
        <v>27109.81</v>
      </c>
      <c r="DG177" s="451">
        <v>0</v>
      </c>
      <c r="DH177" s="451">
        <v>0</v>
      </c>
      <c r="DI177" s="451">
        <v>27109.81</v>
      </c>
      <c r="DJ177" s="451">
        <v>6187.5</v>
      </c>
      <c r="DK177" s="451">
        <v>0</v>
      </c>
      <c r="DL177" s="451">
        <v>0</v>
      </c>
      <c r="DM177" s="451">
        <v>6187.5</v>
      </c>
      <c r="DN177" s="451">
        <v>0</v>
      </c>
      <c r="DO177" s="451">
        <v>0</v>
      </c>
      <c r="DP177" s="451">
        <v>0</v>
      </c>
      <c r="DQ177" s="451">
        <v>0</v>
      </c>
      <c r="DR177" s="451">
        <v>0</v>
      </c>
      <c r="DS177" s="451">
        <v>0</v>
      </c>
      <c r="DT177" s="451">
        <v>0</v>
      </c>
      <c r="DU177" s="451">
        <v>0</v>
      </c>
      <c r="DV177" s="451">
        <v>0</v>
      </c>
      <c r="DW177" s="451">
        <v>0</v>
      </c>
      <c r="DX177" s="451">
        <v>0</v>
      </c>
      <c r="DY177" s="451">
        <v>0</v>
      </c>
      <c r="DZ177" s="451">
        <v>0</v>
      </c>
      <c r="EA177" s="451">
        <v>0</v>
      </c>
      <c r="EB177" s="451">
        <v>0</v>
      </c>
      <c r="EC177" s="451">
        <v>0</v>
      </c>
      <c r="ED177" s="451">
        <v>0</v>
      </c>
      <c r="EE177" s="451">
        <v>0</v>
      </c>
      <c r="EF177" s="451">
        <v>0</v>
      </c>
      <c r="EG177" s="451">
        <v>0</v>
      </c>
      <c r="EH177" s="451">
        <v>0</v>
      </c>
      <c r="EI177" s="451">
        <v>0</v>
      </c>
      <c r="EJ177" s="451">
        <v>0</v>
      </c>
      <c r="EK177" s="451">
        <v>0</v>
      </c>
      <c r="EL177" s="451">
        <v>0</v>
      </c>
      <c r="EM177" s="451">
        <v>0</v>
      </c>
    </row>
    <row r="178" spans="1:143" ht="12.75" x14ac:dyDescent="0.2">
      <c r="A178" s="446">
        <v>172</v>
      </c>
      <c r="B178" s="447" t="s">
        <v>227</v>
      </c>
      <c r="C178" s="448" t="s">
        <v>1093</v>
      </c>
      <c r="D178" s="449" t="s">
        <v>1094</v>
      </c>
      <c r="E178" s="450" t="s">
        <v>226</v>
      </c>
      <c r="F178" s="451">
        <v>1512948</v>
      </c>
      <c r="G178" s="451">
        <v>0</v>
      </c>
      <c r="H178" s="451">
        <v>0</v>
      </c>
      <c r="I178" s="451">
        <v>1512948</v>
      </c>
      <c r="J178" s="451">
        <v>-208197</v>
      </c>
      <c r="K178" s="451">
        <v>0</v>
      </c>
      <c r="L178" s="451">
        <v>0</v>
      </c>
      <c r="M178" s="451">
        <v>-208197</v>
      </c>
      <c r="N178" s="451">
        <v>81993</v>
      </c>
      <c r="O178" s="451">
        <v>0</v>
      </c>
      <c r="P178" s="451">
        <v>0</v>
      </c>
      <c r="Q178" s="451">
        <v>81993</v>
      </c>
      <c r="R178" s="451">
        <v>64213</v>
      </c>
      <c r="S178" s="451">
        <v>0</v>
      </c>
      <c r="T178" s="451">
        <v>0</v>
      </c>
      <c r="U178" s="451">
        <v>64213</v>
      </c>
      <c r="V178" s="451">
        <v>3995061</v>
      </c>
      <c r="W178" s="451">
        <v>0</v>
      </c>
      <c r="X178" s="451">
        <v>0</v>
      </c>
      <c r="Y178" s="451">
        <v>3995061</v>
      </c>
      <c r="Z178" s="451">
        <v>110074</v>
      </c>
      <c r="AA178" s="451">
        <v>0</v>
      </c>
      <c r="AB178" s="451">
        <v>0</v>
      </c>
      <c r="AC178" s="451">
        <v>110074</v>
      </c>
      <c r="AD178" s="451">
        <v>1188390</v>
      </c>
      <c r="AE178" s="451">
        <v>0</v>
      </c>
      <c r="AF178" s="451">
        <v>0</v>
      </c>
      <c r="AG178" s="451">
        <v>1188390</v>
      </c>
      <c r="AH178" s="451">
        <v>-26403</v>
      </c>
      <c r="AI178" s="451">
        <v>0</v>
      </c>
      <c r="AJ178" s="451">
        <v>0</v>
      </c>
      <c r="AK178" s="451">
        <v>-26403</v>
      </c>
      <c r="AL178" s="451">
        <v>3068843</v>
      </c>
      <c r="AM178" s="451">
        <v>0</v>
      </c>
      <c r="AN178" s="451">
        <v>0</v>
      </c>
      <c r="AO178" s="451">
        <v>3068843</v>
      </c>
      <c r="AP178" s="451">
        <v>62612</v>
      </c>
      <c r="AQ178" s="451">
        <v>0</v>
      </c>
      <c r="AR178" s="451">
        <v>0</v>
      </c>
      <c r="AS178" s="451">
        <v>62612</v>
      </c>
      <c r="AT178" s="451">
        <v>125948</v>
      </c>
      <c r="AU178" s="451">
        <v>0</v>
      </c>
      <c r="AV178" s="451">
        <v>0</v>
      </c>
      <c r="AW178" s="451">
        <v>125948</v>
      </c>
      <c r="AX178" s="451">
        <v>0</v>
      </c>
      <c r="AY178" s="451">
        <v>0</v>
      </c>
      <c r="AZ178" s="451">
        <v>0</v>
      </c>
      <c r="BA178" s="451">
        <v>0</v>
      </c>
      <c r="BB178" s="451">
        <v>19000</v>
      </c>
      <c r="BC178" s="451">
        <v>0</v>
      </c>
      <c r="BD178" s="451">
        <v>0</v>
      </c>
      <c r="BE178" s="451">
        <v>19000</v>
      </c>
      <c r="BF178" s="451">
        <v>0</v>
      </c>
      <c r="BG178" s="451">
        <v>0</v>
      </c>
      <c r="BH178" s="451">
        <v>0</v>
      </c>
      <c r="BI178" s="451">
        <v>0</v>
      </c>
      <c r="BJ178" s="451">
        <v>298968</v>
      </c>
      <c r="BK178" s="451">
        <v>0</v>
      </c>
      <c r="BL178" s="451">
        <v>0</v>
      </c>
      <c r="BM178" s="451">
        <v>298968</v>
      </c>
      <c r="BN178" s="451">
        <v>-2368</v>
      </c>
      <c r="BO178" s="451">
        <v>0</v>
      </c>
      <c r="BP178" s="451">
        <v>0</v>
      </c>
      <c r="BQ178" s="451">
        <v>-2368</v>
      </c>
      <c r="BR178" s="451">
        <v>1529461</v>
      </c>
      <c r="BS178" s="451">
        <v>0</v>
      </c>
      <c r="BT178" s="451">
        <v>0</v>
      </c>
      <c r="BU178" s="451">
        <v>1529461</v>
      </c>
      <c r="BV178" s="451">
        <v>38510</v>
      </c>
      <c r="BW178" s="451">
        <v>0</v>
      </c>
      <c r="BX178" s="451">
        <v>0</v>
      </c>
      <c r="BY178" s="451">
        <v>38510</v>
      </c>
      <c r="BZ178" s="451">
        <v>94285</v>
      </c>
      <c r="CA178" s="451">
        <v>0</v>
      </c>
      <c r="CB178" s="451">
        <v>0</v>
      </c>
      <c r="CC178" s="451">
        <v>94285</v>
      </c>
      <c r="CD178" s="451">
        <v>1228</v>
      </c>
      <c r="CE178" s="451">
        <v>0</v>
      </c>
      <c r="CF178" s="451">
        <v>0</v>
      </c>
      <c r="CG178" s="451">
        <v>1228</v>
      </c>
      <c r="CH178" s="451">
        <v>82592</v>
      </c>
      <c r="CI178" s="451">
        <v>0</v>
      </c>
      <c r="CJ178" s="451">
        <v>0</v>
      </c>
      <c r="CK178" s="451">
        <v>82592</v>
      </c>
      <c r="CL178" s="451">
        <v>-7</v>
      </c>
      <c r="CM178" s="451">
        <v>0</v>
      </c>
      <c r="CN178" s="451">
        <v>0</v>
      </c>
      <c r="CO178" s="451">
        <v>-7</v>
      </c>
      <c r="CP178" s="451">
        <v>0</v>
      </c>
      <c r="CQ178" s="451">
        <v>0</v>
      </c>
      <c r="CR178" s="451">
        <v>0</v>
      </c>
      <c r="CS178" s="451">
        <v>0</v>
      </c>
      <c r="CT178" s="451">
        <v>0</v>
      </c>
      <c r="CU178" s="451">
        <v>0</v>
      </c>
      <c r="CV178" s="451">
        <v>0</v>
      </c>
      <c r="CW178" s="451">
        <v>0</v>
      </c>
      <c r="CX178" s="451">
        <v>9048</v>
      </c>
      <c r="CY178" s="451">
        <v>0</v>
      </c>
      <c r="CZ178" s="451">
        <v>0</v>
      </c>
      <c r="DA178" s="451">
        <v>9048</v>
      </c>
      <c r="DB178" s="451">
        <v>0</v>
      </c>
      <c r="DC178" s="451">
        <v>0</v>
      </c>
      <c r="DD178" s="451">
        <v>0</v>
      </c>
      <c r="DE178" s="451">
        <v>0</v>
      </c>
      <c r="DF178" s="451">
        <v>5198</v>
      </c>
      <c r="DG178" s="451">
        <v>0</v>
      </c>
      <c r="DH178" s="451">
        <v>0</v>
      </c>
      <c r="DI178" s="451">
        <v>5198</v>
      </c>
      <c r="DJ178" s="451">
        <v>0</v>
      </c>
      <c r="DK178" s="451">
        <v>0</v>
      </c>
      <c r="DL178" s="451">
        <v>0</v>
      </c>
      <c r="DM178" s="451">
        <v>0</v>
      </c>
      <c r="DN178" s="451">
        <v>0</v>
      </c>
      <c r="DO178" s="451">
        <v>0</v>
      </c>
      <c r="DP178" s="451">
        <v>0</v>
      </c>
      <c r="DQ178" s="451">
        <v>0</v>
      </c>
      <c r="DR178" s="451">
        <v>0</v>
      </c>
      <c r="DS178" s="451">
        <v>0</v>
      </c>
      <c r="DT178" s="451">
        <v>0</v>
      </c>
      <c r="DU178" s="451">
        <v>0</v>
      </c>
      <c r="DV178" s="451">
        <v>0</v>
      </c>
      <c r="DW178" s="451">
        <v>0</v>
      </c>
      <c r="DX178" s="451">
        <v>0</v>
      </c>
      <c r="DY178" s="451">
        <v>0</v>
      </c>
      <c r="DZ178" s="451">
        <v>0</v>
      </c>
      <c r="EA178" s="451">
        <v>0</v>
      </c>
      <c r="EB178" s="451">
        <v>14701</v>
      </c>
      <c r="EC178" s="451">
        <v>0</v>
      </c>
      <c r="ED178" s="451">
        <v>0</v>
      </c>
      <c r="EE178" s="451">
        <v>14701</v>
      </c>
      <c r="EF178" s="451">
        <v>2428</v>
      </c>
      <c r="EG178" s="451">
        <v>0</v>
      </c>
      <c r="EH178" s="451">
        <v>0</v>
      </c>
      <c r="EI178" s="451">
        <v>2428</v>
      </c>
      <c r="EJ178" s="451">
        <v>0</v>
      </c>
      <c r="EK178" s="451">
        <v>0</v>
      </c>
      <c r="EL178" s="451">
        <v>0</v>
      </c>
      <c r="EM178" s="451">
        <v>0</v>
      </c>
    </row>
    <row r="179" spans="1:143" ht="12.75" x14ac:dyDescent="0.2">
      <c r="A179" s="446">
        <v>173</v>
      </c>
      <c r="B179" s="447" t="s">
        <v>229</v>
      </c>
      <c r="C179" s="448" t="s">
        <v>1093</v>
      </c>
      <c r="D179" s="449" t="s">
        <v>1096</v>
      </c>
      <c r="E179" s="450" t="s">
        <v>728</v>
      </c>
      <c r="F179" s="451">
        <v>79240</v>
      </c>
      <c r="G179" s="451">
        <v>0</v>
      </c>
      <c r="H179" s="451">
        <v>0</v>
      </c>
      <c r="I179" s="451">
        <v>79240</v>
      </c>
      <c r="J179" s="451">
        <v>-18518</v>
      </c>
      <c r="K179" s="451">
        <v>0</v>
      </c>
      <c r="L179" s="451">
        <v>0</v>
      </c>
      <c r="M179" s="451">
        <v>-18518</v>
      </c>
      <c r="N179" s="451">
        <v>131670</v>
      </c>
      <c r="O179" s="451">
        <v>0</v>
      </c>
      <c r="P179" s="451">
        <v>0</v>
      </c>
      <c r="Q179" s="451">
        <v>131670</v>
      </c>
      <c r="R179" s="451">
        <v>45626</v>
      </c>
      <c r="S179" s="451">
        <v>0</v>
      </c>
      <c r="T179" s="451">
        <v>0</v>
      </c>
      <c r="U179" s="451">
        <v>45626</v>
      </c>
      <c r="V179" s="451">
        <v>2267208</v>
      </c>
      <c r="W179" s="451">
        <v>0</v>
      </c>
      <c r="X179" s="451">
        <v>0</v>
      </c>
      <c r="Y179" s="451">
        <v>2267208</v>
      </c>
      <c r="Z179" s="451">
        <v>86059</v>
      </c>
      <c r="AA179" s="451">
        <v>0</v>
      </c>
      <c r="AB179" s="451">
        <v>0</v>
      </c>
      <c r="AC179" s="451">
        <v>86059</v>
      </c>
      <c r="AD179" s="451">
        <v>710246</v>
      </c>
      <c r="AE179" s="451">
        <v>0</v>
      </c>
      <c r="AF179" s="451">
        <v>0</v>
      </c>
      <c r="AG179" s="451">
        <v>710246</v>
      </c>
      <c r="AH179" s="451">
        <v>3569</v>
      </c>
      <c r="AI179" s="451">
        <v>0</v>
      </c>
      <c r="AJ179" s="451">
        <v>0</v>
      </c>
      <c r="AK179" s="451">
        <v>3569</v>
      </c>
      <c r="AL179" s="451">
        <v>1480052</v>
      </c>
      <c r="AM179" s="451">
        <v>0</v>
      </c>
      <c r="AN179" s="451">
        <v>0</v>
      </c>
      <c r="AO179" s="451">
        <v>1480052</v>
      </c>
      <c r="AP179" s="451">
        <v>-15180</v>
      </c>
      <c r="AQ179" s="451">
        <v>0</v>
      </c>
      <c r="AR179" s="451">
        <v>0</v>
      </c>
      <c r="AS179" s="451">
        <v>-15180</v>
      </c>
      <c r="AT179" s="451">
        <v>84108</v>
      </c>
      <c r="AU179" s="451">
        <v>0</v>
      </c>
      <c r="AV179" s="451">
        <v>0</v>
      </c>
      <c r="AW179" s="451">
        <v>84108</v>
      </c>
      <c r="AX179" s="451">
        <v>3784</v>
      </c>
      <c r="AY179" s="451">
        <v>0</v>
      </c>
      <c r="AZ179" s="451">
        <v>0</v>
      </c>
      <c r="BA179" s="451">
        <v>3784</v>
      </c>
      <c r="BB179" s="451">
        <v>25437</v>
      </c>
      <c r="BC179" s="451">
        <v>0</v>
      </c>
      <c r="BD179" s="451">
        <v>0</v>
      </c>
      <c r="BE179" s="451">
        <v>25437</v>
      </c>
      <c r="BF179" s="451">
        <v>-2</v>
      </c>
      <c r="BG179" s="451">
        <v>0</v>
      </c>
      <c r="BH179" s="451">
        <v>0</v>
      </c>
      <c r="BI179" s="451">
        <v>-2</v>
      </c>
      <c r="BJ179" s="451">
        <v>11056</v>
      </c>
      <c r="BK179" s="451">
        <v>0</v>
      </c>
      <c r="BL179" s="451">
        <v>0</v>
      </c>
      <c r="BM179" s="451">
        <v>11056</v>
      </c>
      <c r="BN179" s="451">
        <v>901</v>
      </c>
      <c r="BO179" s="451">
        <v>0</v>
      </c>
      <c r="BP179" s="451">
        <v>0</v>
      </c>
      <c r="BQ179" s="451">
        <v>901</v>
      </c>
      <c r="BR179" s="451">
        <v>946661</v>
      </c>
      <c r="BS179" s="451">
        <v>0</v>
      </c>
      <c r="BT179" s="451">
        <v>0</v>
      </c>
      <c r="BU179" s="451">
        <v>946661</v>
      </c>
      <c r="BV179" s="451">
        <v>19955</v>
      </c>
      <c r="BW179" s="451">
        <v>0</v>
      </c>
      <c r="BX179" s="451">
        <v>0</v>
      </c>
      <c r="BY179" s="451">
        <v>19955</v>
      </c>
      <c r="BZ179" s="451">
        <v>44971</v>
      </c>
      <c r="CA179" s="451">
        <v>0</v>
      </c>
      <c r="CB179" s="451">
        <v>0</v>
      </c>
      <c r="CC179" s="451">
        <v>44971</v>
      </c>
      <c r="CD179" s="451">
        <v>64</v>
      </c>
      <c r="CE179" s="451">
        <v>0</v>
      </c>
      <c r="CF179" s="451">
        <v>0</v>
      </c>
      <c r="CG179" s="451">
        <v>64</v>
      </c>
      <c r="CH179" s="451">
        <v>25157</v>
      </c>
      <c r="CI179" s="451">
        <v>0</v>
      </c>
      <c r="CJ179" s="451">
        <v>0</v>
      </c>
      <c r="CK179" s="451">
        <v>25157</v>
      </c>
      <c r="CL179" s="451">
        <v>-1925</v>
      </c>
      <c r="CM179" s="451">
        <v>0</v>
      </c>
      <c r="CN179" s="451">
        <v>0</v>
      </c>
      <c r="CO179" s="451">
        <v>-1925</v>
      </c>
      <c r="CP179" s="451">
        <v>0</v>
      </c>
      <c r="CQ179" s="451">
        <v>0</v>
      </c>
      <c r="CR179" s="451">
        <v>0</v>
      </c>
      <c r="CS179" s="451">
        <v>0</v>
      </c>
      <c r="CT179" s="451">
        <v>0</v>
      </c>
      <c r="CU179" s="451">
        <v>0</v>
      </c>
      <c r="CV179" s="451">
        <v>0</v>
      </c>
      <c r="CW179" s="451">
        <v>0</v>
      </c>
      <c r="CX179" s="451">
        <v>4585</v>
      </c>
      <c r="CY179" s="451">
        <v>0</v>
      </c>
      <c r="CZ179" s="451">
        <v>0</v>
      </c>
      <c r="DA179" s="451">
        <v>4585</v>
      </c>
      <c r="DB179" s="451">
        <v>0</v>
      </c>
      <c r="DC179" s="451">
        <v>0</v>
      </c>
      <c r="DD179" s="451">
        <v>0</v>
      </c>
      <c r="DE179" s="451">
        <v>0</v>
      </c>
      <c r="DF179" s="451">
        <v>0</v>
      </c>
      <c r="DG179" s="451">
        <v>0</v>
      </c>
      <c r="DH179" s="451">
        <v>0</v>
      </c>
      <c r="DI179" s="451">
        <v>0</v>
      </c>
      <c r="DJ179" s="451">
        <v>0</v>
      </c>
      <c r="DK179" s="451">
        <v>0</v>
      </c>
      <c r="DL179" s="451">
        <v>0</v>
      </c>
      <c r="DM179" s="451">
        <v>0</v>
      </c>
      <c r="DN179" s="451">
        <v>0</v>
      </c>
      <c r="DO179" s="451">
        <v>0</v>
      </c>
      <c r="DP179" s="451">
        <v>0</v>
      </c>
      <c r="DQ179" s="451">
        <v>0</v>
      </c>
      <c r="DR179" s="451">
        <v>0</v>
      </c>
      <c r="DS179" s="451">
        <v>0</v>
      </c>
      <c r="DT179" s="451">
        <v>0</v>
      </c>
      <c r="DU179" s="451">
        <v>0</v>
      </c>
      <c r="DV179" s="451">
        <v>0</v>
      </c>
      <c r="DW179" s="451">
        <v>0</v>
      </c>
      <c r="DX179" s="451">
        <v>0</v>
      </c>
      <c r="DY179" s="451">
        <v>0</v>
      </c>
      <c r="DZ179" s="451">
        <v>0</v>
      </c>
      <c r="EA179" s="451">
        <v>0</v>
      </c>
      <c r="EB179" s="451">
        <v>0</v>
      </c>
      <c r="EC179" s="451">
        <v>0</v>
      </c>
      <c r="ED179" s="451">
        <v>0</v>
      </c>
      <c r="EE179" s="451">
        <v>0</v>
      </c>
      <c r="EF179" s="451">
        <v>17247</v>
      </c>
      <c r="EG179" s="451">
        <v>0</v>
      </c>
      <c r="EH179" s="451">
        <v>0</v>
      </c>
      <c r="EI179" s="451">
        <v>17247</v>
      </c>
      <c r="EJ179" s="451">
        <v>-847</v>
      </c>
      <c r="EK179" s="451">
        <v>0</v>
      </c>
      <c r="EL179" s="451">
        <v>0</v>
      </c>
      <c r="EM179" s="451">
        <v>-847</v>
      </c>
    </row>
    <row r="180" spans="1:143" ht="12.75" x14ac:dyDescent="0.2">
      <c r="A180" s="446">
        <v>174</v>
      </c>
      <c r="B180" s="447" t="s">
        <v>231</v>
      </c>
      <c r="C180" s="448" t="s">
        <v>1100</v>
      </c>
      <c r="D180" s="449" t="s">
        <v>1105</v>
      </c>
      <c r="E180" s="450" t="s">
        <v>1118</v>
      </c>
      <c r="F180" s="451">
        <v>271073</v>
      </c>
      <c r="G180" s="451">
        <v>5370</v>
      </c>
      <c r="H180" s="451">
        <v>0</v>
      </c>
      <c r="I180" s="451">
        <v>276443</v>
      </c>
      <c r="J180" s="451">
        <v>135125</v>
      </c>
      <c r="K180" s="451">
        <v>0</v>
      </c>
      <c r="L180" s="451">
        <v>0</v>
      </c>
      <c r="M180" s="451">
        <v>135125</v>
      </c>
      <c r="N180" s="451">
        <v>136129</v>
      </c>
      <c r="O180" s="451">
        <v>7009</v>
      </c>
      <c r="P180" s="451">
        <v>0</v>
      </c>
      <c r="Q180" s="451">
        <v>143138</v>
      </c>
      <c r="R180" s="451">
        <v>381143</v>
      </c>
      <c r="S180" s="451">
        <v>0</v>
      </c>
      <c r="T180" s="451">
        <v>0</v>
      </c>
      <c r="U180" s="451">
        <v>381143</v>
      </c>
      <c r="V180" s="451">
        <v>4513339</v>
      </c>
      <c r="W180" s="451">
        <v>14634</v>
      </c>
      <c r="X180" s="451">
        <v>0</v>
      </c>
      <c r="Y180" s="451">
        <v>4527973</v>
      </c>
      <c r="Z180" s="451">
        <v>244514</v>
      </c>
      <c r="AA180" s="451">
        <v>0</v>
      </c>
      <c r="AB180" s="451">
        <v>0</v>
      </c>
      <c r="AC180" s="451">
        <v>244514</v>
      </c>
      <c r="AD180" s="451">
        <v>2926256</v>
      </c>
      <c r="AE180" s="451">
        <v>155023</v>
      </c>
      <c r="AF180" s="451">
        <v>0</v>
      </c>
      <c r="AG180" s="451">
        <v>3081279</v>
      </c>
      <c r="AH180" s="451">
        <v>69092</v>
      </c>
      <c r="AI180" s="451">
        <v>0</v>
      </c>
      <c r="AJ180" s="451">
        <v>0</v>
      </c>
      <c r="AK180" s="451">
        <v>69092</v>
      </c>
      <c r="AL180" s="451">
        <v>11698519</v>
      </c>
      <c r="AM180" s="451">
        <v>413460</v>
      </c>
      <c r="AN180" s="451">
        <v>0</v>
      </c>
      <c r="AO180" s="451">
        <v>12111979</v>
      </c>
      <c r="AP180" s="451">
        <v>-282883</v>
      </c>
      <c r="AQ180" s="451">
        <v>0</v>
      </c>
      <c r="AR180" s="451">
        <v>0</v>
      </c>
      <c r="AS180" s="451">
        <v>-282883</v>
      </c>
      <c r="AT180" s="451">
        <v>122009</v>
      </c>
      <c r="AU180" s="451">
        <v>0</v>
      </c>
      <c r="AV180" s="451">
        <v>0</v>
      </c>
      <c r="AW180" s="451">
        <v>122009</v>
      </c>
      <c r="AX180" s="451">
        <v>-800</v>
      </c>
      <c r="AY180" s="451">
        <v>0</v>
      </c>
      <c r="AZ180" s="451">
        <v>0</v>
      </c>
      <c r="BA180" s="451">
        <v>-800</v>
      </c>
      <c r="BB180" s="451">
        <v>2107.73</v>
      </c>
      <c r="BC180" s="451">
        <v>0</v>
      </c>
      <c r="BD180" s="451">
        <v>0</v>
      </c>
      <c r="BE180" s="451">
        <v>2107.73</v>
      </c>
      <c r="BF180" s="451">
        <v>0</v>
      </c>
      <c r="BG180" s="451">
        <v>0</v>
      </c>
      <c r="BH180" s="451">
        <v>0</v>
      </c>
      <c r="BI180" s="451">
        <v>0</v>
      </c>
      <c r="BJ180" s="451">
        <v>1117</v>
      </c>
      <c r="BK180" s="451">
        <v>85707</v>
      </c>
      <c r="BL180" s="451">
        <v>0</v>
      </c>
      <c r="BM180" s="451">
        <v>86824</v>
      </c>
      <c r="BN180" s="451">
        <v>-6307</v>
      </c>
      <c r="BO180" s="451">
        <v>0</v>
      </c>
      <c r="BP180" s="451">
        <v>0</v>
      </c>
      <c r="BQ180" s="451">
        <v>-6307</v>
      </c>
      <c r="BR180" s="451">
        <v>8788807</v>
      </c>
      <c r="BS180" s="451">
        <v>956878</v>
      </c>
      <c r="BT180" s="451">
        <v>53140</v>
      </c>
      <c r="BU180" s="451">
        <v>9798825</v>
      </c>
      <c r="BV180" s="451">
        <v>-183837</v>
      </c>
      <c r="BW180" s="451">
        <v>0</v>
      </c>
      <c r="BX180" s="451">
        <v>0</v>
      </c>
      <c r="BY180" s="451">
        <v>-183837</v>
      </c>
      <c r="BZ180" s="451">
        <v>247591</v>
      </c>
      <c r="CA180" s="451">
        <v>0</v>
      </c>
      <c r="CB180" s="451">
        <v>0</v>
      </c>
      <c r="CC180" s="451">
        <v>247591</v>
      </c>
      <c r="CD180" s="451">
        <v>-71295</v>
      </c>
      <c r="CE180" s="451">
        <v>0</v>
      </c>
      <c r="CF180" s="451">
        <v>0</v>
      </c>
      <c r="CG180" s="451">
        <v>-71295</v>
      </c>
      <c r="CH180" s="451">
        <v>426740</v>
      </c>
      <c r="CI180" s="451">
        <v>0</v>
      </c>
      <c r="CJ180" s="451">
        <v>0</v>
      </c>
      <c r="CK180" s="451">
        <v>426740</v>
      </c>
      <c r="CL180" s="451">
        <v>2158</v>
      </c>
      <c r="CM180" s="451">
        <v>0</v>
      </c>
      <c r="CN180" s="451">
        <v>0</v>
      </c>
      <c r="CO180" s="451">
        <v>2158</v>
      </c>
      <c r="CP180" s="451">
        <v>19960</v>
      </c>
      <c r="CQ180" s="451">
        <v>0</v>
      </c>
      <c r="CR180" s="451">
        <v>0</v>
      </c>
      <c r="CS180" s="451">
        <v>19960</v>
      </c>
      <c r="CT180" s="451">
        <v>5089</v>
      </c>
      <c r="CU180" s="451">
        <v>0</v>
      </c>
      <c r="CV180" s="451">
        <v>0</v>
      </c>
      <c r="CW180" s="451">
        <v>5089</v>
      </c>
      <c r="CX180" s="451">
        <v>0</v>
      </c>
      <c r="CY180" s="451">
        <v>0</v>
      </c>
      <c r="CZ180" s="451">
        <v>0</v>
      </c>
      <c r="DA180" s="451">
        <v>0</v>
      </c>
      <c r="DB180" s="451">
        <v>0</v>
      </c>
      <c r="DC180" s="451">
        <v>0</v>
      </c>
      <c r="DD180" s="451">
        <v>0</v>
      </c>
      <c r="DE180" s="451">
        <v>0</v>
      </c>
      <c r="DF180" s="451">
        <v>0</v>
      </c>
      <c r="DG180" s="451">
        <v>0</v>
      </c>
      <c r="DH180" s="451">
        <v>0</v>
      </c>
      <c r="DI180" s="451">
        <v>0</v>
      </c>
      <c r="DJ180" s="451">
        <v>0</v>
      </c>
      <c r="DK180" s="451">
        <v>0</v>
      </c>
      <c r="DL180" s="451">
        <v>0</v>
      </c>
      <c r="DM180" s="451">
        <v>0</v>
      </c>
      <c r="DN180" s="451">
        <v>0</v>
      </c>
      <c r="DO180" s="451">
        <v>0</v>
      </c>
      <c r="DP180" s="451">
        <v>0</v>
      </c>
      <c r="DQ180" s="451">
        <v>0</v>
      </c>
      <c r="DR180" s="451">
        <v>0</v>
      </c>
      <c r="DS180" s="451">
        <v>0</v>
      </c>
      <c r="DT180" s="451">
        <v>0</v>
      </c>
      <c r="DU180" s="451">
        <v>0</v>
      </c>
      <c r="DV180" s="451">
        <v>0</v>
      </c>
      <c r="DW180" s="451">
        <v>0</v>
      </c>
      <c r="DX180" s="451">
        <v>0</v>
      </c>
      <c r="DY180" s="451">
        <v>0</v>
      </c>
      <c r="DZ180" s="451">
        <v>0</v>
      </c>
      <c r="EA180" s="451">
        <v>0</v>
      </c>
      <c r="EB180" s="451">
        <v>0</v>
      </c>
      <c r="EC180" s="451">
        <v>0</v>
      </c>
      <c r="ED180" s="451">
        <v>0</v>
      </c>
      <c r="EE180" s="451">
        <v>0</v>
      </c>
      <c r="EF180" s="451">
        <v>3588</v>
      </c>
      <c r="EG180" s="451">
        <v>0</v>
      </c>
      <c r="EH180" s="451">
        <v>0</v>
      </c>
      <c r="EI180" s="451">
        <v>3588</v>
      </c>
      <c r="EJ180" s="451">
        <v>9710</v>
      </c>
      <c r="EK180" s="451">
        <v>0</v>
      </c>
      <c r="EL180" s="451">
        <v>0</v>
      </c>
      <c r="EM180" s="451">
        <v>9710</v>
      </c>
    </row>
    <row r="181" spans="1:143" ht="12.75" x14ac:dyDescent="0.2">
      <c r="A181" s="446">
        <v>175</v>
      </c>
      <c r="B181" s="447" t="s">
        <v>233</v>
      </c>
      <c r="C181" s="448" t="s">
        <v>1093</v>
      </c>
      <c r="D181" s="449" t="s">
        <v>1103</v>
      </c>
      <c r="E181" s="450" t="s">
        <v>232</v>
      </c>
      <c r="F181" s="451">
        <v>73581.66</v>
      </c>
      <c r="G181" s="451">
        <v>0</v>
      </c>
      <c r="H181" s="451">
        <v>0</v>
      </c>
      <c r="I181" s="451">
        <v>73581.66</v>
      </c>
      <c r="J181" s="451">
        <v>-215.58</v>
      </c>
      <c r="K181" s="451">
        <v>0</v>
      </c>
      <c r="L181" s="451">
        <v>0</v>
      </c>
      <c r="M181" s="451">
        <v>-215.58</v>
      </c>
      <c r="N181" s="451">
        <v>29285.119999999999</v>
      </c>
      <c r="O181" s="451">
        <v>0</v>
      </c>
      <c r="P181" s="451">
        <v>0</v>
      </c>
      <c r="Q181" s="451">
        <v>29285.119999999999</v>
      </c>
      <c r="R181" s="451">
        <v>-32234.73</v>
      </c>
      <c r="S181" s="451">
        <v>0</v>
      </c>
      <c r="T181" s="451">
        <v>0</v>
      </c>
      <c r="U181" s="451">
        <v>-32234.73</v>
      </c>
      <c r="V181" s="451">
        <v>2057450.85</v>
      </c>
      <c r="W181" s="451">
        <v>0</v>
      </c>
      <c r="X181" s="451">
        <v>0</v>
      </c>
      <c r="Y181" s="451">
        <v>2057450.85</v>
      </c>
      <c r="Z181" s="451">
        <v>169634.08</v>
      </c>
      <c r="AA181" s="451">
        <v>0</v>
      </c>
      <c r="AB181" s="451">
        <v>0</v>
      </c>
      <c r="AC181" s="451">
        <v>169634.08</v>
      </c>
      <c r="AD181" s="451">
        <v>635780.61</v>
      </c>
      <c r="AE181" s="451">
        <v>0</v>
      </c>
      <c r="AF181" s="451">
        <v>0</v>
      </c>
      <c r="AG181" s="451">
        <v>635780.61</v>
      </c>
      <c r="AH181" s="451">
        <v>33228.43</v>
      </c>
      <c r="AI181" s="451">
        <v>0</v>
      </c>
      <c r="AJ181" s="451">
        <v>0</v>
      </c>
      <c r="AK181" s="451">
        <v>33228.43</v>
      </c>
      <c r="AL181" s="451">
        <v>2295257.89</v>
      </c>
      <c r="AM181" s="451">
        <v>0</v>
      </c>
      <c r="AN181" s="451">
        <v>0</v>
      </c>
      <c r="AO181" s="451">
        <v>2295257.89</v>
      </c>
      <c r="AP181" s="451">
        <v>92312.56</v>
      </c>
      <c r="AQ181" s="451">
        <v>0</v>
      </c>
      <c r="AR181" s="451">
        <v>0</v>
      </c>
      <c r="AS181" s="451">
        <v>92312.56</v>
      </c>
      <c r="AT181" s="451">
        <v>14111.16</v>
      </c>
      <c r="AU181" s="451">
        <v>0</v>
      </c>
      <c r="AV181" s="451">
        <v>0</v>
      </c>
      <c r="AW181" s="451">
        <v>14111.16</v>
      </c>
      <c r="AX181" s="451">
        <v>0</v>
      </c>
      <c r="AY181" s="451">
        <v>0</v>
      </c>
      <c r="AZ181" s="451">
        <v>0</v>
      </c>
      <c r="BA181" s="451">
        <v>0</v>
      </c>
      <c r="BB181" s="451">
        <v>15202.21</v>
      </c>
      <c r="BC181" s="451">
        <v>0</v>
      </c>
      <c r="BD181" s="451">
        <v>0</v>
      </c>
      <c r="BE181" s="451">
        <v>15202.21</v>
      </c>
      <c r="BF181" s="451">
        <v>0</v>
      </c>
      <c r="BG181" s="451">
        <v>0</v>
      </c>
      <c r="BH181" s="451">
        <v>0</v>
      </c>
      <c r="BI181" s="451">
        <v>0</v>
      </c>
      <c r="BJ181" s="451">
        <v>334308.57</v>
      </c>
      <c r="BK181" s="451">
        <v>0</v>
      </c>
      <c r="BL181" s="451">
        <v>0</v>
      </c>
      <c r="BM181" s="451">
        <v>334308.57</v>
      </c>
      <c r="BN181" s="451">
        <v>96208.15</v>
      </c>
      <c r="BO181" s="451">
        <v>0</v>
      </c>
      <c r="BP181" s="451">
        <v>0</v>
      </c>
      <c r="BQ181" s="451">
        <v>96208.15</v>
      </c>
      <c r="BR181" s="451">
        <v>1047886.2</v>
      </c>
      <c r="BS181" s="451">
        <v>0</v>
      </c>
      <c r="BT181" s="451">
        <v>0</v>
      </c>
      <c r="BU181" s="451">
        <v>1047886.2</v>
      </c>
      <c r="BV181" s="451">
        <v>19788.25</v>
      </c>
      <c r="BW181" s="451">
        <v>0</v>
      </c>
      <c r="BX181" s="451">
        <v>0</v>
      </c>
      <c r="BY181" s="451">
        <v>19788.25</v>
      </c>
      <c r="BZ181" s="451">
        <v>24564.54</v>
      </c>
      <c r="CA181" s="451">
        <v>0</v>
      </c>
      <c r="CB181" s="451">
        <v>0</v>
      </c>
      <c r="CC181" s="451">
        <v>24564.54</v>
      </c>
      <c r="CD181" s="451">
        <v>-897.68</v>
      </c>
      <c r="CE181" s="451">
        <v>0</v>
      </c>
      <c r="CF181" s="451">
        <v>0</v>
      </c>
      <c r="CG181" s="451">
        <v>-897.68</v>
      </c>
      <c r="CH181" s="451">
        <v>73637.320000000007</v>
      </c>
      <c r="CI181" s="451">
        <v>0</v>
      </c>
      <c r="CJ181" s="451">
        <v>0</v>
      </c>
      <c r="CK181" s="451">
        <v>73637.320000000007</v>
      </c>
      <c r="CL181" s="451">
        <v>720</v>
      </c>
      <c r="CM181" s="451">
        <v>0</v>
      </c>
      <c r="CN181" s="451">
        <v>0</v>
      </c>
      <c r="CO181" s="451">
        <v>720</v>
      </c>
      <c r="CP181" s="451">
        <v>0</v>
      </c>
      <c r="CQ181" s="451">
        <v>0</v>
      </c>
      <c r="CR181" s="451">
        <v>0</v>
      </c>
      <c r="CS181" s="451">
        <v>0</v>
      </c>
      <c r="CT181" s="451">
        <v>0</v>
      </c>
      <c r="CU181" s="451">
        <v>0</v>
      </c>
      <c r="CV181" s="451">
        <v>0</v>
      </c>
      <c r="CW181" s="451">
        <v>0</v>
      </c>
      <c r="CX181" s="451">
        <v>0</v>
      </c>
      <c r="CY181" s="451">
        <v>0</v>
      </c>
      <c r="CZ181" s="451">
        <v>0</v>
      </c>
      <c r="DA181" s="451">
        <v>0</v>
      </c>
      <c r="DB181" s="451">
        <v>0</v>
      </c>
      <c r="DC181" s="451">
        <v>0</v>
      </c>
      <c r="DD181" s="451">
        <v>0</v>
      </c>
      <c r="DE181" s="451">
        <v>0</v>
      </c>
      <c r="DF181" s="451">
        <v>0</v>
      </c>
      <c r="DG181" s="451">
        <v>0</v>
      </c>
      <c r="DH181" s="451">
        <v>0</v>
      </c>
      <c r="DI181" s="451">
        <v>0</v>
      </c>
      <c r="DJ181" s="451">
        <v>0</v>
      </c>
      <c r="DK181" s="451">
        <v>0</v>
      </c>
      <c r="DL181" s="451">
        <v>0</v>
      </c>
      <c r="DM181" s="451">
        <v>0</v>
      </c>
      <c r="DN181" s="451">
        <v>0</v>
      </c>
      <c r="DO181" s="451">
        <v>0</v>
      </c>
      <c r="DP181" s="451">
        <v>0</v>
      </c>
      <c r="DQ181" s="451">
        <v>0</v>
      </c>
      <c r="DR181" s="451">
        <v>0</v>
      </c>
      <c r="DS181" s="451">
        <v>0</v>
      </c>
      <c r="DT181" s="451">
        <v>0</v>
      </c>
      <c r="DU181" s="451">
        <v>0</v>
      </c>
      <c r="DV181" s="451">
        <v>0</v>
      </c>
      <c r="DW181" s="451">
        <v>0</v>
      </c>
      <c r="DX181" s="451">
        <v>0</v>
      </c>
      <c r="DY181" s="451">
        <v>0</v>
      </c>
      <c r="DZ181" s="451">
        <v>0</v>
      </c>
      <c r="EA181" s="451">
        <v>0</v>
      </c>
      <c r="EB181" s="451">
        <v>0</v>
      </c>
      <c r="EC181" s="451">
        <v>0</v>
      </c>
      <c r="ED181" s="451">
        <v>0</v>
      </c>
      <c r="EE181" s="451">
        <v>0</v>
      </c>
      <c r="EF181" s="451">
        <v>0</v>
      </c>
      <c r="EG181" s="451">
        <v>0</v>
      </c>
      <c r="EH181" s="451">
        <v>0</v>
      </c>
      <c r="EI181" s="451">
        <v>0</v>
      </c>
      <c r="EJ181" s="451">
        <v>0</v>
      </c>
      <c r="EK181" s="451">
        <v>0</v>
      </c>
      <c r="EL181" s="451">
        <v>0</v>
      </c>
      <c r="EM181" s="451">
        <v>0</v>
      </c>
    </row>
    <row r="182" spans="1:143" ht="12.75" x14ac:dyDescent="0.2">
      <c r="A182" s="446">
        <v>176</v>
      </c>
      <c r="B182" s="447" t="s">
        <v>235</v>
      </c>
      <c r="C182" s="448" t="s">
        <v>1098</v>
      </c>
      <c r="D182" s="449" t="s">
        <v>1099</v>
      </c>
      <c r="E182" s="450" t="s">
        <v>234</v>
      </c>
      <c r="F182" s="451">
        <v>1323133</v>
      </c>
      <c r="G182" s="451">
        <v>0</v>
      </c>
      <c r="H182" s="451">
        <v>394</v>
      </c>
      <c r="I182" s="451">
        <v>1323527</v>
      </c>
      <c r="J182" s="451">
        <v>-574471</v>
      </c>
      <c r="K182" s="451">
        <v>0</v>
      </c>
      <c r="L182" s="451">
        <v>0</v>
      </c>
      <c r="M182" s="451">
        <v>-574471</v>
      </c>
      <c r="N182" s="451">
        <v>177018</v>
      </c>
      <c r="O182" s="451">
        <v>0</v>
      </c>
      <c r="P182" s="451">
        <v>0</v>
      </c>
      <c r="Q182" s="451">
        <v>177018</v>
      </c>
      <c r="R182" s="451">
        <v>186410</v>
      </c>
      <c r="S182" s="451">
        <v>0</v>
      </c>
      <c r="T182" s="451">
        <v>0</v>
      </c>
      <c r="U182" s="451">
        <v>186410</v>
      </c>
      <c r="V182" s="451">
        <v>4149322</v>
      </c>
      <c r="W182" s="451">
        <v>0</v>
      </c>
      <c r="X182" s="451">
        <v>4512</v>
      </c>
      <c r="Y182" s="451">
        <v>4153834</v>
      </c>
      <c r="Z182" s="451">
        <v>383231</v>
      </c>
      <c r="AA182" s="451">
        <v>0</v>
      </c>
      <c r="AB182" s="451">
        <v>0</v>
      </c>
      <c r="AC182" s="451">
        <v>383231</v>
      </c>
      <c r="AD182" s="451">
        <v>2439434</v>
      </c>
      <c r="AE182" s="451">
        <v>0</v>
      </c>
      <c r="AF182" s="451">
        <v>10847</v>
      </c>
      <c r="AG182" s="451">
        <v>2450281</v>
      </c>
      <c r="AH182" s="451">
        <v>-40828</v>
      </c>
      <c r="AI182" s="451">
        <v>0</v>
      </c>
      <c r="AJ182" s="451">
        <v>0</v>
      </c>
      <c r="AK182" s="451">
        <v>-40828</v>
      </c>
      <c r="AL182" s="451">
        <v>7017346</v>
      </c>
      <c r="AM182" s="451">
        <v>0</v>
      </c>
      <c r="AN182" s="451">
        <v>78751</v>
      </c>
      <c r="AO182" s="451">
        <v>7096097</v>
      </c>
      <c r="AP182" s="451">
        <v>-277456</v>
      </c>
      <c r="AQ182" s="451">
        <v>0</v>
      </c>
      <c r="AR182" s="451">
        <v>0</v>
      </c>
      <c r="AS182" s="451">
        <v>-277456</v>
      </c>
      <c r="AT182" s="451">
        <v>0</v>
      </c>
      <c r="AU182" s="451">
        <v>0</v>
      </c>
      <c r="AV182" s="451">
        <v>0</v>
      </c>
      <c r="AW182" s="451">
        <v>0</v>
      </c>
      <c r="AX182" s="451">
        <v>0</v>
      </c>
      <c r="AY182" s="451">
        <v>0</v>
      </c>
      <c r="AZ182" s="451">
        <v>0</v>
      </c>
      <c r="BA182" s="451">
        <v>0</v>
      </c>
      <c r="BB182" s="451">
        <v>0</v>
      </c>
      <c r="BC182" s="451">
        <v>0</v>
      </c>
      <c r="BD182" s="451">
        <v>0</v>
      </c>
      <c r="BE182" s="451">
        <v>0</v>
      </c>
      <c r="BF182" s="451">
        <v>0</v>
      </c>
      <c r="BG182" s="451">
        <v>0</v>
      </c>
      <c r="BH182" s="451">
        <v>0</v>
      </c>
      <c r="BI182" s="451">
        <v>0</v>
      </c>
      <c r="BJ182" s="451">
        <v>124729</v>
      </c>
      <c r="BK182" s="451">
        <v>0</v>
      </c>
      <c r="BL182" s="451">
        <v>0</v>
      </c>
      <c r="BM182" s="451">
        <v>124729</v>
      </c>
      <c r="BN182" s="451">
        <v>113751</v>
      </c>
      <c r="BO182" s="451">
        <v>0</v>
      </c>
      <c r="BP182" s="451">
        <v>0</v>
      </c>
      <c r="BQ182" s="451">
        <v>113751</v>
      </c>
      <c r="BR182" s="451">
        <v>5379268</v>
      </c>
      <c r="BS182" s="451">
        <v>0</v>
      </c>
      <c r="BT182" s="451">
        <v>748</v>
      </c>
      <c r="BU182" s="451">
        <v>5380016</v>
      </c>
      <c r="BV182" s="451">
        <v>854305</v>
      </c>
      <c r="BW182" s="451">
        <v>0</v>
      </c>
      <c r="BX182" s="451">
        <v>0</v>
      </c>
      <c r="BY182" s="451">
        <v>854305</v>
      </c>
      <c r="BZ182" s="451">
        <v>0</v>
      </c>
      <c r="CA182" s="451">
        <v>0</v>
      </c>
      <c r="CB182" s="451">
        <v>0</v>
      </c>
      <c r="CC182" s="451">
        <v>0</v>
      </c>
      <c r="CD182" s="451">
        <v>0</v>
      </c>
      <c r="CE182" s="451">
        <v>0</v>
      </c>
      <c r="CF182" s="451">
        <v>0</v>
      </c>
      <c r="CG182" s="451">
        <v>0</v>
      </c>
      <c r="CH182" s="451">
        <v>0</v>
      </c>
      <c r="CI182" s="451">
        <v>0</v>
      </c>
      <c r="CJ182" s="451">
        <v>0</v>
      </c>
      <c r="CK182" s="451">
        <v>0</v>
      </c>
      <c r="CL182" s="451">
        <v>0</v>
      </c>
      <c r="CM182" s="451">
        <v>0</v>
      </c>
      <c r="CN182" s="451">
        <v>0</v>
      </c>
      <c r="CO182" s="451">
        <v>0</v>
      </c>
      <c r="CP182" s="451">
        <v>0</v>
      </c>
      <c r="CQ182" s="451">
        <v>0</v>
      </c>
      <c r="CR182" s="451">
        <v>0</v>
      </c>
      <c r="CS182" s="451">
        <v>0</v>
      </c>
      <c r="CT182" s="451">
        <v>0</v>
      </c>
      <c r="CU182" s="451">
        <v>0</v>
      </c>
      <c r="CV182" s="451">
        <v>0</v>
      </c>
      <c r="CW182" s="451">
        <v>0</v>
      </c>
      <c r="CX182" s="451">
        <v>0</v>
      </c>
      <c r="CY182" s="451">
        <v>0</v>
      </c>
      <c r="CZ182" s="451">
        <v>0</v>
      </c>
      <c r="DA182" s="451">
        <v>0</v>
      </c>
      <c r="DB182" s="451">
        <v>0</v>
      </c>
      <c r="DC182" s="451">
        <v>0</v>
      </c>
      <c r="DD182" s="451">
        <v>0</v>
      </c>
      <c r="DE182" s="451">
        <v>0</v>
      </c>
      <c r="DF182" s="451">
        <v>0</v>
      </c>
      <c r="DG182" s="451">
        <v>0</v>
      </c>
      <c r="DH182" s="451">
        <v>0</v>
      </c>
      <c r="DI182" s="451">
        <v>0</v>
      </c>
      <c r="DJ182" s="451">
        <v>0</v>
      </c>
      <c r="DK182" s="451">
        <v>0</v>
      </c>
      <c r="DL182" s="451">
        <v>0</v>
      </c>
      <c r="DM182" s="451">
        <v>0</v>
      </c>
      <c r="DN182" s="451">
        <v>0</v>
      </c>
      <c r="DO182" s="451">
        <v>0</v>
      </c>
      <c r="DP182" s="451">
        <v>101389</v>
      </c>
      <c r="DQ182" s="451">
        <v>101389</v>
      </c>
      <c r="DR182" s="451">
        <v>0</v>
      </c>
      <c r="DS182" s="451">
        <v>0</v>
      </c>
      <c r="DT182" s="451">
        <v>0</v>
      </c>
      <c r="DU182" s="451">
        <v>0</v>
      </c>
      <c r="DV182" s="451">
        <v>101389</v>
      </c>
      <c r="DW182" s="451">
        <v>0</v>
      </c>
      <c r="DX182" s="451">
        <v>0</v>
      </c>
      <c r="DY182" s="451">
        <v>0</v>
      </c>
      <c r="DZ182" s="451">
        <v>0</v>
      </c>
      <c r="EA182" s="451">
        <v>0</v>
      </c>
      <c r="EB182" s="451">
        <v>0</v>
      </c>
      <c r="EC182" s="451">
        <v>0</v>
      </c>
      <c r="ED182" s="451">
        <v>0</v>
      </c>
      <c r="EE182" s="451">
        <v>0</v>
      </c>
      <c r="EF182" s="451">
        <v>0</v>
      </c>
      <c r="EG182" s="451">
        <v>0</v>
      </c>
      <c r="EH182" s="451">
        <v>0</v>
      </c>
      <c r="EI182" s="451">
        <v>0</v>
      </c>
      <c r="EJ182" s="451">
        <v>0</v>
      </c>
      <c r="EK182" s="451">
        <v>0</v>
      </c>
      <c r="EL182" s="451">
        <v>0</v>
      </c>
      <c r="EM182" s="451">
        <v>0</v>
      </c>
    </row>
    <row r="183" spans="1:143" ht="12.75" x14ac:dyDescent="0.2">
      <c r="A183" s="446">
        <v>177</v>
      </c>
      <c r="B183" s="447" t="s">
        <v>237</v>
      </c>
      <c r="C183" s="448" t="s">
        <v>1093</v>
      </c>
      <c r="D183" s="449" t="s">
        <v>1102</v>
      </c>
      <c r="E183" s="450" t="s">
        <v>236</v>
      </c>
      <c r="F183" s="451">
        <v>252424</v>
      </c>
      <c r="G183" s="451">
        <v>0</v>
      </c>
      <c r="H183" s="451">
        <v>0</v>
      </c>
      <c r="I183" s="451">
        <v>252424</v>
      </c>
      <c r="J183" s="451">
        <v>-24111</v>
      </c>
      <c r="K183" s="451">
        <v>0</v>
      </c>
      <c r="L183" s="451">
        <v>0</v>
      </c>
      <c r="M183" s="451">
        <v>-24111</v>
      </c>
      <c r="N183" s="451">
        <v>13103</v>
      </c>
      <c r="O183" s="451">
        <v>0</v>
      </c>
      <c r="P183" s="451">
        <v>0</v>
      </c>
      <c r="Q183" s="451">
        <v>13103</v>
      </c>
      <c r="R183" s="451">
        <v>58634</v>
      </c>
      <c r="S183" s="451">
        <v>0</v>
      </c>
      <c r="T183" s="451">
        <v>0</v>
      </c>
      <c r="U183" s="451">
        <v>58634</v>
      </c>
      <c r="V183" s="451">
        <v>3745940</v>
      </c>
      <c r="W183" s="451">
        <v>0</v>
      </c>
      <c r="X183" s="451">
        <v>0</v>
      </c>
      <c r="Y183" s="451">
        <v>3745940</v>
      </c>
      <c r="Z183" s="451">
        <v>279336</v>
      </c>
      <c r="AA183" s="451">
        <v>0</v>
      </c>
      <c r="AB183" s="451">
        <v>0</v>
      </c>
      <c r="AC183" s="451">
        <v>279336</v>
      </c>
      <c r="AD183" s="451">
        <v>571690</v>
      </c>
      <c r="AE183" s="451">
        <v>0</v>
      </c>
      <c r="AF183" s="451">
        <v>0</v>
      </c>
      <c r="AG183" s="451">
        <v>571690</v>
      </c>
      <c r="AH183" s="451">
        <v>-13033</v>
      </c>
      <c r="AI183" s="451">
        <v>0</v>
      </c>
      <c r="AJ183" s="451">
        <v>0</v>
      </c>
      <c r="AK183" s="451">
        <v>-13033</v>
      </c>
      <c r="AL183" s="451">
        <v>1915697</v>
      </c>
      <c r="AM183" s="451">
        <v>0</v>
      </c>
      <c r="AN183" s="451">
        <v>0</v>
      </c>
      <c r="AO183" s="451">
        <v>1915697</v>
      </c>
      <c r="AP183" s="451">
        <v>89241</v>
      </c>
      <c r="AQ183" s="451">
        <v>0</v>
      </c>
      <c r="AR183" s="451">
        <v>0</v>
      </c>
      <c r="AS183" s="451">
        <v>89241</v>
      </c>
      <c r="AT183" s="451">
        <v>121190</v>
      </c>
      <c r="AU183" s="451">
        <v>0</v>
      </c>
      <c r="AV183" s="451">
        <v>0</v>
      </c>
      <c r="AW183" s="451">
        <v>121190</v>
      </c>
      <c r="AX183" s="451">
        <v>616</v>
      </c>
      <c r="AY183" s="451">
        <v>0</v>
      </c>
      <c r="AZ183" s="451">
        <v>0</v>
      </c>
      <c r="BA183" s="451">
        <v>616</v>
      </c>
      <c r="BB183" s="451">
        <v>35200</v>
      </c>
      <c r="BC183" s="451">
        <v>0</v>
      </c>
      <c r="BD183" s="451">
        <v>0</v>
      </c>
      <c r="BE183" s="451">
        <v>35200</v>
      </c>
      <c r="BF183" s="451">
        <v>0</v>
      </c>
      <c r="BG183" s="451">
        <v>0</v>
      </c>
      <c r="BH183" s="451">
        <v>0</v>
      </c>
      <c r="BI183" s="451">
        <v>0</v>
      </c>
      <c r="BJ183" s="451">
        <v>1359</v>
      </c>
      <c r="BK183" s="451">
        <v>0</v>
      </c>
      <c r="BL183" s="451">
        <v>0</v>
      </c>
      <c r="BM183" s="451">
        <v>1359</v>
      </c>
      <c r="BN183" s="451">
        <v>0</v>
      </c>
      <c r="BO183" s="451">
        <v>0</v>
      </c>
      <c r="BP183" s="451">
        <v>0</v>
      </c>
      <c r="BQ183" s="451">
        <v>0</v>
      </c>
      <c r="BR183" s="451">
        <v>880278</v>
      </c>
      <c r="BS183" s="451">
        <v>0</v>
      </c>
      <c r="BT183" s="451">
        <v>0</v>
      </c>
      <c r="BU183" s="451">
        <v>880278</v>
      </c>
      <c r="BV183" s="451">
        <v>26467</v>
      </c>
      <c r="BW183" s="451">
        <v>0</v>
      </c>
      <c r="BX183" s="451">
        <v>0</v>
      </c>
      <c r="BY183" s="451">
        <v>26467</v>
      </c>
      <c r="BZ183" s="451">
        <v>109141</v>
      </c>
      <c r="CA183" s="451">
        <v>0</v>
      </c>
      <c r="CB183" s="451">
        <v>0</v>
      </c>
      <c r="CC183" s="451">
        <v>109141</v>
      </c>
      <c r="CD183" s="451">
        <v>19</v>
      </c>
      <c r="CE183" s="451">
        <v>0</v>
      </c>
      <c r="CF183" s="451">
        <v>0</v>
      </c>
      <c r="CG183" s="451">
        <v>19</v>
      </c>
      <c r="CH183" s="451">
        <v>149197</v>
      </c>
      <c r="CI183" s="451">
        <v>0</v>
      </c>
      <c r="CJ183" s="451">
        <v>0</v>
      </c>
      <c r="CK183" s="451">
        <v>149197</v>
      </c>
      <c r="CL183" s="451">
        <v>-238</v>
      </c>
      <c r="CM183" s="451">
        <v>0</v>
      </c>
      <c r="CN183" s="451">
        <v>0</v>
      </c>
      <c r="CO183" s="451">
        <v>-238</v>
      </c>
      <c r="CP183" s="451">
        <v>9487</v>
      </c>
      <c r="CQ183" s="451">
        <v>0</v>
      </c>
      <c r="CR183" s="451">
        <v>0</v>
      </c>
      <c r="CS183" s="451">
        <v>9487</v>
      </c>
      <c r="CT183" s="451">
        <v>0</v>
      </c>
      <c r="CU183" s="451">
        <v>0</v>
      </c>
      <c r="CV183" s="451">
        <v>0</v>
      </c>
      <c r="CW183" s="451">
        <v>0</v>
      </c>
      <c r="CX183" s="451">
        <v>14219</v>
      </c>
      <c r="CY183" s="451">
        <v>0</v>
      </c>
      <c r="CZ183" s="451">
        <v>0</v>
      </c>
      <c r="DA183" s="451">
        <v>14219</v>
      </c>
      <c r="DB183" s="451">
        <v>0</v>
      </c>
      <c r="DC183" s="451">
        <v>0</v>
      </c>
      <c r="DD183" s="451">
        <v>0</v>
      </c>
      <c r="DE183" s="451">
        <v>0</v>
      </c>
      <c r="DF183" s="451">
        <v>9727</v>
      </c>
      <c r="DG183" s="451">
        <v>0</v>
      </c>
      <c r="DH183" s="451">
        <v>0</v>
      </c>
      <c r="DI183" s="451">
        <v>9727</v>
      </c>
      <c r="DJ183" s="451">
        <v>0</v>
      </c>
      <c r="DK183" s="451">
        <v>0</v>
      </c>
      <c r="DL183" s="451">
        <v>0</v>
      </c>
      <c r="DM183" s="451">
        <v>0</v>
      </c>
      <c r="DN183" s="451">
        <v>0</v>
      </c>
      <c r="DO183" s="451">
        <v>0</v>
      </c>
      <c r="DP183" s="451">
        <v>0</v>
      </c>
      <c r="DQ183" s="451">
        <v>0</v>
      </c>
      <c r="DR183" s="451">
        <v>0</v>
      </c>
      <c r="DS183" s="451">
        <v>0</v>
      </c>
      <c r="DT183" s="451">
        <v>0</v>
      </c>
      <c r="DU183" s="451">
        <v>0</v>
      </c>
      <c r="DV183" s="451">
        <v>0</v>
      </c>
      <c r="DW183" s="451">
        <v>0</v>
      </c>
      <c r="DX183" s="451">
        <v>0</v>
      </c>
      <c r="DY183" s="451">
        <v>0</v>
      </c>
      <c r="DZ183" s="451">
        <v>0</v>
      </c>
      <c r="EA183" s="451">
        <v>0</v>
      </c>
      <c r="EB183" s="451">
        <v>0</v>
      </c>
      <c r="EC183" s="451">
        <v>0</v>
      </c>
      <c r="ED183" s="451">
        <v>0</v>
      </c>
      <c r="EE183" s="451">
        <v>0</v>
      </c>
      <c r="EF183" s="451">
        <v>0</v>
      </c>
      <c r="EG183" s="451">
        <v>0</v>
      </c>
      <c r="EH183" s="451">
        <v>0</v>
      </c>
      <c r="EI183" s="451">
        <v>0</v>
      </c>
      <c r="EJ183" s="451">
        <v>0</v>
      </c>
      <c r="EK183" s="451">
        <v>0</v>
      </c>
      <c r="EL183" s="451">
        <v>0</v>
      </c>
      <c r="EM183" s="451">
        <v>0</v>
      </c>
    </row>
    <row r="184" spans="1:143" ht="12.75" x14ac:dyDescent="0.2">
      <c r="A184" s="446">
        <v>178</v>
      </c>
      <c r="B184" s="447" t="s">
        <v>239</v>
      </c>
      <c r="C184" s="448" t="s">
        <v>1093</v>
      </c>
      <c r="D184" s="449" t="s">
        <v>1102</v>
      </c>
      <c r="E184" s="450" t="s">
        <v>238</v>
      </c>
      <c r="F184" s="451">
        <v>93012</v>
      </c>
      <c r="G184" s="451">
        <v>0</v>
      </c>
      <c r="H184" s="451">
        <v>0</v>
      </c>
      <c r="I184" s="451">
        <v>93012</v>
      </c>
      <c r="J184" s="451">
        <v>-29008</v>
      </c>
      <c r="K184" s="451">
        <v>0</v>
      </c>
      <c r="L184" s="451">
        <v>0</v>
      </c>
      <c r="M184" s="451">
        <v>-29008</v>
      </c>
      <c r="N184" s="451">
        <v>18372</v>
      </c>
      <c r="O184" s="451">
        <v>0</v>
      </c>
      <c r="P184" s="451">
        <v>0</v>
      </c>
      <c r="Q184" s="451">
        <v>18372</v>
      </c>
      <c r="R184" s="451">
        <v>34251</v>
      </c>
      <c r="S184" s="451">
        <v>0</v>
      </c>
      <c r="T184" s="451">
        <v>0</v>
      </c>
      <c r="U184" s="451">
        <v>34251</v>
      </c>
      <c r="V184" s="451">
        <v>1641159</v>
      </c>
      <c r="W184" s="451">
        <v>0</v>
      </c>
      <c r="X184" s="451">
        <v>0</v>
      </c>
      <c r="Y184" s="451">
        <v>1641159</v>
      </c>
      <c r="Z184" s="451">
        <v>73988</v>
      </c>
      <c r="AA184" s="451">
        <v>0</v>
      </c>
      <c r="AB184" s="451">
        <v>0</v>
      </c>
      <c r="AC184" s="451">
        <v>73988</v>
      </c>
      <c r="AD184" s="451">
        <v>256431</v>
      </c>
      <c r="AE184" s="451">
        <v>0</v>
      </c>
      <c r="AF184" s="451">
        <v>0</v>
      </c>
      <c r="AG184" s="451">
        <v>256431</v>
      </c>
      <c r="AH184" s="451">
        <v>-4081</v>
      </c>
      <c r="AI184" s="451">
        <v>0</v>
      </c>
      <c r="AJ184" s="451">
        <v>0</v>
      </c>
      <c r="AK184" s="451">
        <v>-4081</v>
      </c>
      <c r="AL184" s="451">
        <v>2397096</v>
      </c>
      <c r="AM184" s="451">
        <v>0</v>
      </c>
      <c r="AN184" s="451">
        <v>0</v>
      </c>
      <c r="AO184" s="451">
        <v>2397096</v>
      </c>
      <c r="AP184" s="451">
        <v>120897</v>
      </c>
      <c r="AQ184" s="451">
        <v>0</v>
      </c>
      <c r="AR184" s="451">
        <v>0</v>
      </c>
      <c r="AS184" s="451">
        <v>120897</v>
      </c>
      <c r="AT184" s="451">
        <v>0</v>
      </c>
      <c r="AU184" s="451">
        <v>0</v>
      </c>
      <c r="AV184" s="451">
        <v>0</v>
      </c>
      <c r="AW184" s="451">
        <v>0</v>
      </c>
      <c r="AX184" s="451">
        <v>0</v>
      </c>
      <c r="AY184" s="451">
        <v>0</v>
      </c>
      <c r="AZ184" s="451">
        <v>0</v>
      </c>
      <c r="BA184" s="451">
        <v>0</v>
      </c>
      <c r="BB184" s="451">
        <v>37708</v>
      </c>
      <c r="BC184" s="451">
        <v>0</v>
      </c>
      <c r="BD184" s="451">
        <v>0</v>
      </c>
      <c r="BE184" s="451">
        <v>37708</v>
      </c>
      <c r="BF184" s="451">
        <v>-2587</v>
      </c>
      <c r="BG184" s="451">
        <v>0</v>
      </c>
      <c r="BH184" s="451">
        <v>0</v>
      </c>
      <c r="BI184" s="451">
        <v>-2587</v>
      </c>
      <c r="BJ184" s="451">
        <v>0</v>
      </c>
      <c r="BK184" s="451">
        <v>0</v>
      </c>
      <c r="BL184" s="451">
        <v>0</v>
      </c>
      <c r="BM184" s="451">
        <v>0</v>
      </c>
      <c r="BN184" s="451">
        <v>0</v>
      </c>
      <c r="BO184" s="451">
        <v>0</v>
      </c>
      <c r="BP184" s="451">
        <v>0</v>
      </c>
      <c r="BQ184" s="451">
        <v>0</v>
      </c>
      <c r="BR184" s="451">
        <v>354388</v>
      </c>
      <c r="BS184" s="451">
        <v>0</v>
      </c>
      <c r="BT184" s="451">
        <v>0</v>
      </c>
      <c r="BU184" s="451">
        <v>354388</v>
      </c>
      <c r="BV184" s="451">
        <v>17499</v>
      </c>
      <c r="BW184" s="451">
        <v>0</v>
      </c>
      <c r="BX184" s="451">
        <v>0</v>
      </c>
      <c r="BY184" s="451">
        <v>17499</v>
      </c>
      <c r="BZ184" s="451">
        <v>30783</v>
      </c>
      <c r="CA184" s="451">
        <v>0</v>
      </c>
      <c r="CB184" s="451">
        <v>0</v>
      </c>
      <c r="CC184" s="451">
        <v>30783</v>
      </c>
      <c r="CD184" s="451">
        <v>352</v>
      </c>
      <c r="CE184" s="451">
        <v>0</v>
      </c>
      <c r="CF184" s="451">
        <v>0</v>
      </c>
      <c r="CG184" s="451">
        <v>352</v>
      </c>
      <c r="CH184" s="451">
        <v>14299</v>
      </c>
      <c r="CI184" s="451">
        <v>0</v>
      </c>
      <c r="CJ184" s="451">
        <v>0</v>
      </c>
      <c r="CK184" s="451">
        <v>14299</v>
      </c>
      <c r="CL184" s="451">
        <v>1121</v>
      </c>
      <c r="CM184" s="451">
        <v>0</v>
      </c>
      <c r="CN184" s="451">
        <v>0</v>
      </c>
      <c r="CO184" s="451">
        <v>1121</v>
      </c>
      <c r="CP184" s="451">
        <v>0</v>
      </c>
      <c r="CQ184" s="451">
        <v>0</v>
      </c>
      <c r="CR184" s="451">
        <v>0</v>
      </c>
      <c r="CS184" s="451">
        <v>0</v>
      </c>
      <c r="CT184" s="451">
        <v>0</v>
      </c>
      <c r="CU184" s="451">
        <v>0</v>
      </c>
      <c r="CV184" s="451">
        <v>0</v>
      </c>
      <c r="CW184" s="451">
        <v>0</v>
      </c>
      <c r="CX184" s="451">
        <v>4157</v>
      </c>
      <c r="CY184" s="451">
        <v>0</v>
      </c>
      <c r="CZ184" s="451">
        <v>0</v>
      </c>
      <c r="DA184" s="451">
        <v>4157</v>
      </c>
      <c r="DB184" s="451">
        <v>-21</v>
      </c>
      <c r="DC184" s="451">
        <v>0</v>
      </c>
      <c r="DD184" s="451">
        <v>0</v>
      </c>
      <c r="DE184" s="451">
        <v>-21</v>
      </c>
      <c r="DF184" s="451">
        <v>0</v>
      </c>
      <c r="DG184" s="451">
        <v>0</v>
      </c>
      <c r="DH184" s="451">
        <v>0</v>
      </c>
      <c r="DI184" s="451">
        <v>0</v>
      </c>
      <c r="DJ184" s="451">
        <v>0</v>
      </c>
      <c r="DK184" s="451">
        <v>0</v>
      </c>
      <c r="DL184" s="451">
        <v>0</v>
      </c>
      <c r="DM184" s="451">
        <v>0</v>
      </c>
      <c r="DN184" s="451">
        <v>0</v>
      </c>
      <c r="DO184" s="451">
        <v>0</v>
      </c>
      <c r="DP184" s="451">
        <v>0</v>
      </c>
      <c r="DQ184" s="451">
        <v>0</v>
      </c>
      <c r="DR184" s="451">
        <v>0</v>
      </c>
      <c r="DS184" s="451">
        <v>0</v>
      </c>
      <c r="DT184" s="451">
        <v>0</v>
      </c>
      <c r="DU184" s="451">
        <v>0</v>
      </c>
      <c r="DV184" s="451">
        <v>0</v>
      </c>
      <c r="DW184" s="451">
        <v>0</v>
      </c>
      <c r="DX184" s="451">
        <v>0</v>
      </c>
      <c r="DY184" s="451">
        <v>0</v>
      </c>
      <c r="DZ184" s="451">
        <v>0</v>
      </c>
      <c r="EA184" s="451">
        <v>0</v>
      </c>
      <c r="EB184" s="451">
        <v>0</v>
      </c>
      <c r="EC184" s="451">
        <v>0</v>
      </c>
      <c r="ED184" s="451">
        <v>0</v>
      </c>
      <c r="EE184" s="451">
        <v>0</v>
      </c>
      <c r="EF184" s="451">
        <v>0</v>
      </c>
      <c r="EG184" s="451">
        <v>0</v>
      </c>
      <c r="EH184" s="451">
        <v>0</v>
      </c>
      <c r="EI184" s="451">
        <v>0</v>
      </c>
      <c r="EJ184" s="451">
        <v>-538</v>
      </c>
      <c r="EK184" s="451">
        <v>0</v>
      </c>
      <c r="EL184" s="451">
        <v>0</v>
      </c>
      <c r="EM184" s="451">
        <v>-538</v>
      </c>
    </row>
    <row r="185" spans="1:143" ht="12.75" x14ac:dyDescent="0.2">
      <c r="A185" s="446">
        <v>179</v>
      </c>
      <c r="B185" s="447" t="s">
        <v>241</v>
      </c>
      <c r="C185" s="448" t="s">
        <v>1093</v>
      </c>
      <c r="D185" s="449" t="s">
        <v>1096</v>
      </c>
      <c r="E185" s="450" t="s">
        <v>240</v>
      </c>
      <c r="F185" s="451">
        <v>75621</v>
      </c>
      <c r="G185" s="451">
        <v>0</v>
      </c>
      <c r="H185" s="451">
        <v>0</v>
      </c>
      <c r="I185" s="451">
        <v>75621</v>
      </c>
      <c r="J185" s="451">
        <v>-7369.35</v>
      </c>
      <c r="K185" s="451">
        <v>0</v>
      </c>
      <c r="L185" s="451">
        <v>0</v>
      </c>
      <c r="M185" s="451">
        <v>-7369.35</v>
      </c>
      <c r="N185" s="451">
        <v>14817.94</v>
      </c>
      <c r="O185" s="451">
        <v>0</v>
      </c>
      <c r="P185" s="451">
        <v>0</v>
      </c>
      <c r="Q185" s="451">
        <v>14817.94</v>
      </c>
      <c r="R185" s="451">
        <v>13726.5</v>
      </c>
      <c r="S185" s="451">
        <v>0</v>
      </c>
      <c r="T185" s="451">
        <v>0</v>
      </c>
      <c r="U185" s="451">
        <v>13726.5</v>
      </c>
      <c r="V185" s="451">
        <v>1562410.82</v>
      </c>
      <c r="W185" s="451">
        <v>0</v>
      </c>
      <c r="X185" s="451">
        <v>0</v>
      </c>
      <c r="Y185" s="451">
        <v>1562410.82</v>
      </c>
      <c r="Z185" s="451">
        <v>79247.17</v>
      </c>
      <c r="AA185" s="451">
        <v>0</v>
      </c>
      <c r="AB185" s="451">
        <v>0</v>
      </c>
      <c r="AC185" s="451">
        <v>79247.17</v>
      </c>
      <c r="AD185" s="451">
        <v>270719.14</v>
      </c>
      <c r="AE185" s="451">
        <v>0</v>
      </c>
      <c r="AF185" s="451">
        <v>0</v>
      </c>
      <c r="AG185" s="451">
        <v>270719.14</v>
      </c>
      <c r="AH185" s="451">
        <v>459.34</v>
      </c>
      <c r="AI185" s="451">
        <v>0</v>
      </c>
      <c r="AJ185" s="451">
        <v>0</v>
      </c>
      <c r="AK185" s="451">
        <v>459.34</v>
      </c>
      <c r="AL185" s="451">
        <v>449086.97</v>
      </c>
      <c r="AM185" s="451">
        <v>0</v>
      </c>
      <c r="AN185" s="451">
        <v>0</v>
      </c>
      <c r="AO185" s="451">
        <v>449086.97</v>
      </c>
      <c r="AP185" s="451">
        <v>3032.52</v>
      </c>
      <c r="AQ185" s="451">
        <v>0</v>
      </c>
      <c r="AR185" s="451">
        <v>0</v>
      </c>
      <c r="AS185" s="451">
        <v>3032.52</v>
      </c>
      <c r="AT185" s="451">
        <v>9777.9599999999991</v>
      </c>
      <c r="AU185" s="451">
        <v>0</v>
      </c>
      <c r="AV185" s="451">
        <v>0</v>
      </c>
      <c r="AW185" s="451">
        <v>9777.9599999999991</v>
      </c>
      <c r="AX185" s="451">
        <v>-5389.8</v>
      </c>
      <c r="AY185" s="451">
        <v>0</v>
      </c>
      <c r="AZ185" s="451">
        <v>0</v>
      </c>
      <c r="BA185" s="451">
        <v>-5389.8</v>
      </c>
      <c r="BB185" s="451">
        <v>5027.24</v>
      </c>
      <c r="BC185" s="451">
        <v>0</v>
      </c>
      <c r="BD185" s="451">
        <v>0</v>
      </c>
      <c r="BE185" s="451">
        <v>5027.24</v>
      </c>
      <c r="BF185" s="451">
        <v>-17.63</v>
      </c>
      <c r="BG185" s="451">
        <v>0</v>
      </c>
      <c r="BH185" s="451">
        <v>0</v>
      </c>
      <c r="BI185" s="451">
        <v>-17.63</v>
      </c>
      <c r="BJ185" s="451">
        <v>230036.58</v>
      </c>
      <c r="BK185" s="451">
        <v>0</v>
      </c>
      <c r="BL185" s="451">
        <v>0</v>
      </c>
      <c r="BM185" s="451">
        <v>230036.58</v>
      </c>
      <c r="BN185" s="451">
        <v>63001</v>
      </c>
      <c r="BO185" s="451">
        <v>0</v>
      </c>
      <c r="BP185" s="451">
        <v>0</v>
      </c>
      <c r="BQ185" s="451">
        <v>63001</v>
      </c>
      <c r="BR185" s="451">
        <v>594859.86</v>
      </c>
      <c r="BS185" s="451">
        <v>0</v>
      </c>
      <c r="BT185" s="451">
        <v>0</v>
      </c>
      <c r="BU185" s="451">
        <v>594859.86</v>
      </c>
      <c r="BV185" s="451">
        <v>19487.990000000002</v>
      </c>
      <c r="BW185" s="451">
        <v>0</v>
      </c>
      <c r="BX185" s="451">
        <v>0</v>
      </c>
      <c r="BY185" s="451">
        <v>19487.990000000002</v>
      </c>
      <c r="BZ185" s="451">
        <v>24334.2</v>
      </c>
      <c r="CA185" s="451">
        <v>0</v>
      </c>
      <c r="CB185" s="451">
        <v>0</v>
      </c>
      <c r="CC185" s="451">
        <v>24334.2</v>
      </c>
      <c r="CD185" s="451">
        <v>0</v>
      </c>
      <c r="CE185" s="451">
        <v>0</v>
      </c>
      <c r="CF185" s="451">
        <v>0</v>
      </c>
      <c r="CG185" s="451">
        <v>0</v>
      </c>
      <c r="CH185" s="451">
        <v>17019.759999999998</v>
      </c>
      <c r="CI185" s="451">
        <v>0</v>
      </c>
      <c r="CJ185" s="451">
        <v>0</v>
      </c>
      <c r="CK185" s="451">
        <v>17019.759999999998</v>
      </c>
      <c r="CL185" s="451">
        <v>0</v>
      </c>
      <c r="CM185" s="451">
        <v>0</v>
      </c>
      <c r="CN185" s="451">
        <v>0</v>
      </c>
      <c r="CO185" s="451">
        <v>0</v>
      </c>
      <c r="CP185" s="451">
        <v>216.66</v>
      </c>
      <c r="CQ185" s="451">
        <v>0</v>
      </c>
      <c r="CR185" s="451">
        <v>0</v>
      </c>
      <c r="CS185" s="451">
        <v>216.66</v>
      </c>
      <c r="CT185" s="451">
        <v>0</v>
      </c>
      <c r="CU185" s="451">
        <v>0</v>
      </c>
      <c r="CV185" s="451">
        <v>0</v>
      </c>
      <c r="CW185" s="451">
        <v>0</v>
      </c>
      <c r="CX185" s="451">
        <v>1206.93</v>
      </c>
      <c r="CY185" s="451">
        <v>0</v>
      </c>
      <c r="CZ185" s="451">
        <v>0</v>
      </c>
      <c r="DA185" s="451">
        <v>1206.93</v>
      </c>
      <c r="DB185" s="451">
        <v>0</v>
      </c>
      <c r="DC185" s="451">
        <v>0</v>
      </c>
      <c r="DD185" s="451">
        <v>0</v>
      </c>
      <c r="DE185" s="451">
        <v>0</v>
      </c>
      <c r="DF185" s="451">
        <v>0</v>
      </c>
      <c r="DG185" s="451">
        <v>0</v>
      </c>
      <c r="DH185" s="451">
        <v>0</v>
      </c>
      <c r="DI185" s="451">
        <v>0</v>
      </c>
      <c r="DJ185" s="451">
        <v>0</v>
      </c>
      <c r="DK185" s="451">
        <v>0</v>
      </c>
      <c r="DL185" s="451">
        <v>0</v>
      </c>
      <c r="DM185" s="451">
        <v>0</v>
      </c>
      <c r="DN185" s="451">
        <v>0</v>
      </c>
      <c r="DO185" s="451">
        <v>0</v>
      </c>
      <c r="DP185" s="451">
        <v>0</v>
      </c>
      <c r="DQ185" s="451">
        <v>0</v>
      </c>
      <c r="DR185" s="451">
        <v>0</v>
      </c>
      <c r="DS185" s="451">
        <v>0</v>
      </c>
      <c r="DT185" s="451">
        <v>0</v>
      </c>
      <c r="DU185" s="451">
        <v>0</v>
      </c>
      <c r="DV185" s="451">
        <v>0</v>
      </c>
      <c r="DW185" s="451">
        <v>0</v>
      </c>
      <c r="DX185" s="451">
        <v>0</v>
      </c>
      <c r="DY185" s="451">
        <v>0</v>
      </c>
      <c r="DZ185" s="451">
        <v>0</v>
      </c>
      <c r="EA185" s="451">
        <v>0</v>
      </c>
      <c r="EB185" s="451">
        <v>0</v>
      </c>
      <c r="EC185" s="451">
        <v>0</v>
      </c>
      <c r="ED185" s="451">
        <v>0</v>
      </c>
      <c r="EE185" s="451">
        <v>0</v>
      </c>
      <c r="EF185" s="451">
        <v>0</v>
      </c>
      <c r="EG185" s="451">
        <v>0</v>
      </c>
      <c r="EH185" s="451">
        <v>0</v>
      </c>
      <c r="EI185" s="451">
        <v>0</v>
      </c>
      <c r="EJ185" s="451">
        <v>0</v>
      </c>
      <c r="EK185" s="451">
        <v>0</v>
      </c>
      <c r="EL185" s="451">
        <v>0</v>
      </c>
      <c r="EM185" s="451">
        <v>0</v>
      </c>
    </row>
    <row r="186" spans="1:143" ht="12.75" x14ac:dyDescent="0.2">
      <c r="A186" s="446">
        <v>180</v>
      </c>
      <c r="B186" s="447" t="s">
        <v>243</v>
      </c>
      <c r="C186" s="448" t="s">
        <v>794</v>
      </c>
      <c r="D186" s="449" t="s">
        <v>1101</v>
      </c>
      <c r="E186" s="450" t="s">
        <v>729</v>
      </c>
      <c r="F186" s="451">
        <v>859174</v>
      </c>
      <c r="G186" s="451">
        <v>0</v>
      </c>
      <c r="H186" s="451">
        <v>0</v>
      </c>
      <c r="I186" s="451">
        <v>859174</v>
      </c>
      <c r="J186" s="451">
        <v>-125457</v>
      </c>
      <c r="K186" s="451">
        <v>0</v>
      </c>
      <c r="L186" s="451">
        <v>0</v>
      </c>
      <c r="M186" s="451">
        <v>-125457</v>
      </c>
      <c r="N186" s="451">
        <v>228259</v>
      </c>
      <c r="O186" s="451">
        <v>0</v>
      </c>
      <c r="P186" s="451">
        <v>0</v>
      </c>
      <c r="Q186" s="451">
        <v>228259</v>
      </c>
      <c r="R186" s="451">
        <v>290266</v>
      </c>
      <c r="S186" s="451">
        <v>0</v>
      </c>
      <c r="T186" s="451">
        <v>0</v>
      </c>
      <c r="U186" s="451">
        <v>290266</v>
      </c>
      <c r="V186" s="451">
        <v>3048929</v>
      </c>
      <c r="W186" s="451">
        <v>0</v>
      </c>
      <c r="X186" s="451">
        <v>0</v>
      </c>
      <c r="Y186" s="451">
        <v>3048929</v>
      </c>
      <c r="Z186" s="451">
        <v>188923</v>
      </c>
      <c r="AA186" s="451">
        <v>0</v>
      </c>
      <c r="AB186" s="451">
        <v>0</v>
      </c>
      <c r="AC186" s="451">
        <v>188923</v>
      </c>
      <c r="AD186" s="451">
        <v>1189624</v>
      </c>
      <c r="AE186" s="451">
        <v>0</v>
      </c>
      <c r="AF186" s="451">
        <v>0</v>
      </c>
      <c r="AG186" s="451">
        <v>1189624</v>
      </c>
      <c r="AH186" s="451">
        <v>37903</v>
      </c>
      <c r="AI186" s="451">
        <v>0</v>
      </c>
      <c r="AJ186" s="451">
        <v>0</v>
      </c>
      <c r="AK186" s="451">
        <v>37903</v>
      </c>
      <c r="AL186" s="451">
        <v>2654107</v>
      </c>
      <c r="AM186" s="451">
        <v>0</v>
      </c>
      <c r="AN186" s="451">
        <v>0</v>
      </c>
      <c r="AO186" s="451">
        <v>2654107</v>
      </c>
      <c r="AP186" s="451">
        <v>-69928</v>
      </c>
      <c r="AQ186" s="451">
        <v>0</v>
      </c>
      <c r="AR186" s="451">
        <v>0</v>
      </c>
      <c r="AS186" s="451">
        <v>-69928</v>
      </c>
      <c r="AT186" s="451">
        <v>87455</v>
      </c>
      <c r="AU186" s="451">
        <v>0</v>
      </c>
      <c r="AV186" s="451">
        <v>0</v>
      </c>
      <c r="AW186" s="451">
        <v>87455</v>
      </c>
      <c r="AX186" s="451">
        <v>0</v>
      </c>
      <c r="AY186" s="451">
        <v>0</v>
      </c>
      <c r="AZ186" s="451">
        <v>0</v>
      </c>
      <c r="BA186" s="451">
        <v>0</v>
      </c>
      <c r="BB186" s="451">
        <v>565</v>
      </c>
      <c r="BC186" s="451">
        <v>0</v>
      </c>
      <c r="BD186" s="451">
        <v>0</v>
      </c>
      <c r="BE186" s="451">
        <v>565</v>
      </c>
      <c r="BF186" s="451">
        <v>0</v>
      </c>
      <c r="BG186" s="451">
        <v>0</v>
      </c>
      <c r="BH186" s="451">
        <v>0</v>
      </c>
      <c r="BI186" s="451">
        <v>0</v>
      </c>
      <c r="BJ186" s="451">
        <v>136495</v>
      </c>
      <c r="BK186" s="451">
        <v>0</v>
      </c>
      <c r="BL186" s="451">
        <v>0</v>
      </c>
      <c r="BM186" s="451">
        <v>136495</v>
      </c>
      <c r="BN186" s="451">
        <v>132872</v>
      </c>
      <c r="BO186" s="451">
        <v>0</v>
      </c>
      <c r="BP186" s="451">
        <v>0</v>
      </c>
      <c r="BQ186" s="451">
        <v>132872</v>
      </c>
      <c r="BR186" s="451">
        <v>2166144</v>
      </c>
      <c r="BS186" s="451">
        <v>0</v>
      </c>
      <c r="BT186" s="451">
        <v>0</v>
      </c>
      <c r="BU186" s="451">
        <v>2166144</v>
      </c>
      <c r="BV186" s="451">
        <v>366202</v>
      </c>
      <c r="BW186" s="451">
        <v>0</v>
      </c>
      <c r="BX186" s="451">
        <v>0</v>
      </c>
      <c r="BY186" s="451">
        <v>366202</v>
      </c>
      <c r="BZ186" s="451">
        <v>39579</v>
      </c>
      <c r="CA186" s="451">
        <v>0</v>
      </c>
      <c r="CB186" s="451">
        <v>0</v>
      </c>
      <c r="CC186" s="451">
        <v>39579</v>
      </c>
      <c r="CD186" s="451">
        <v>97</v>
      </c>
      <c r="CE186" s="451">
        <v>0</v>
      </c>
      <c r="CF186" s="451">
        <v>0</v>
      </c>
      <c r="CG186" s="451">
        <v>97</v>
      </c>
      <c r="CH186" s="451">
        <v>436846</v>
      </c>
      <c r="CI186" s="451">
        <v>0</v>
      </c>
      <c r="CJ186" s="451">
        <v>0</v>
      </c>
      <c r="CK186" s="451">
        <v>436846</v>
      </c>
      <c r="CL186" s="451">
        <v>9680</v>
      </c>
      <c r="CM186" s="451">
        <v>0</v>
      </c>
      <c r="CN186" s="451">
        <v>0</v>
      </c>
      <c r="CO186" s="451">
        <v>9680</v>
      </c>
      <c r="CP186" s="451">
        <v>2714</v>
      </c>
      <c r="CQ186" s="451">
        <v>0</v>
      </c>
      <c r="CR186" s="451">
        <v>0</v>
      </c>
      <c r="CS186" s="451">
        <v>2714</v>
      </c>
      <c r="CT186" s="451">
        <v>0</v>
      </c>
      <c r="CU186" s="451">
        <v>0</v>
      </c>
      <c r="CV186" s="451">
        <v>0</v>
      </c>
      <c r="CW186" s="451">
        <v>0</v>
      </c>
      <c r="CX186" s="451">
        <v>565</v>
      </c>
      <c r="CY186" s="451">
        <v>0</v>
      </c>
      <c r="CZ186" s="451">
        <v>0</v>
      </c>
      <c r="DA186" s="451">
        <v>565</v>
      </c>
      <c r="DB186" s="451">
        <v>0</v>
      </c>
      <c r="DC186" s="451">
        <v>0</v>
      </c>
      <c r="DD186" s="451">
        <v>0</v>
      </c>
      <c r="DE186" s="451">
        <v>0</v>
      </c>
      <c r="DF186" s="451">
        <v>0</v>
      </c>
      <c r="DG186" s="451">
        <v>0</v>
      </c>
      <c r="DH186" s="451">
        <v>0</v>
      </c>
      <c r="DI186" s="451">
        <v>0</v>
      </c>
      <c r="DJ186" s="451">
        <v>0</v>
      </c>
      <c r="DK186" s="451">
        <v>0</v>
      </c>
      <c r="DL186" s="451">
        <v>0</v>
      </c>
      <c r="DM186" s="451">
        <v>0</v>
      </c>
      <c r="DN186" s="451">
        <v>0</v>
      </c>
      <c r="DO186" s="451">
        <v>0</v>
      </c>
      <c r="DP186" s="451">
        <v>0</v>
      </c>
      <c r="DQ186" s="451">
        <v>0</v>
      </c>
      <c r="DR186" s="451">
        <v>0</v>
      </c>
      <c r="DS186" s="451">
        <v>0</v>
      </c>
      <c r="DT186" s="451">
        <v>0</v>
      </c>
      <c r="DU186" s="451">
        <v>0</v>
      </c>
      <c r="DV186" s="451">
        <v>0</v>
      </c>
      <c r="DW186" s="451">
        <v>0</v>
      </c>
      <c r="DX186" s="451">
        <v>0</v>
      </c>
      <c r="DY186" s="451">
        <v>0</v>
      </c>
      <c r="DZ186" s="451">
        <v>0</v>
      </c>
      <c r="EA186" s="451">
        <v>0</v>
      </c>
      <c r="EB186" s="451">
        <v>917932</v>
      </c>
      <c r="EC186" s="451">
        <v>0</v>
      </c>
      <c r="ED186" s="451">
        <v>0</v>
      </c>
      <c r="EE186" s="451">
        <v>917932</v>
      </c>
      <c r="EF186" s="451">
        <v>0</v>
      </c>
      <c r="EG186" s="451">
        <v>0</v>
      </c>
      <c r="EH186" s="451">
        <v>0</v>
      </c>
      <c r="EI186" s="451">
        <v>0</v>
      </c>
      <c r="EJ186" s="451">
        <v>0</v>
      </c>
      <c r="EK186" s="451">
        <v>0</v>
      </c>
      <c r="EL186" s="451">
        <v>0</v>
      </c>
      <c r="EM186" s="451">
        <v>0</v>
      </c>
    </row>
    <row r="187" spans="1:143" ht="12.75" x14ac:dyDescent="0.2">
      <c r="A187" s="446">
        <v>181</v>
      </c>
      <c r="B187" s="447" t="s">
        <v>245</v>
      </c>
      <c r="C187" s="448" t="s">
        <v>1093</v>
      </c>
      <c r="D187" s="449" t="s">
        <v>1097</v>
      </c>
      <c r="E187" s="450" t="s">
        <v>244</v>
      </c>
      <c r="F187" s="451">
        <v>143119</v>
      </c>
      <c r="G187" s="451">
        <v>0</v>
      </c>
      <c r="H187" s="451">
        <v>0</v>
      </c>
      <c r="I187" s="451">
        <v>143119</v>
      </c>
      <c r="J187" s="451">
        <v>-199611</v>
      </c>
      <c r="K187" s="451">
        <v>0</v>
      </c>
      <c r="L187" s="451">
        <v>0</v>
      </c>
      <c r="M187" s="451">
        <v>-199611</v>
      </c>
      <c r="N187" s="451">
        <v>79357</v>
      </c>
      <c r="O187" s="451">
        <v>0</v>
      </c>
      <c r="P187" s="451">
        <v>0</v>
      </c>
      <c r="Q187" s="451">
        <v>79357</v>
      </c>
      <c r="R187" s="451">
        <v>217675</v>
      </c>
      <c r="S187" s="451">
        <v>0</v>
      </c>
      <c r="T187" s="451">
        <v>0</v>
      </c>
      <c r="U187" s="451">
        <v>217675</v>
      </c>
      <c r="V187" s="451">
        <v>2223924</v>
      </c>
      <c r="W187" s="451">
        <v>0</v>
      </c>
      <c r="X187" s="451">
        <v>0</v>
      </c>
      <c r="Y187" s="451">
        <v>2223924</v>
      </c>
      <c r="Z187" s="451">
        <v>147803</v>
      </c>
      <c r="AA187" s="451">
        <v>0</v>
      </c>
      <c r="AB187" s="451">
        <v>0</v>
      </c>
      <c r="AC187" s="451">
        <v>147803</v>
      </c>
      <c r="AD187" s="451">
        <v>701803</v>
      </c>
      <c r="AE187" s="451">
        <v>0</v>
      </c>
      <c r="AF187" s="451">
        <v>0</v>
      </c>
      <c r="AG187" s="451">
        <v>701803</v>
      </c>
      <c r="AH187" s="451">
        <v>-6870</v>
      </c>
      <c r="AI187" s="451">
        <v>0</v>
      </c>
      <c r="AJ187" s="451">
        <v>0</v>
      </c>
      <c r="AK187" s="451">
        <v>-6870</v>
      </c>
      <c r="AL187" s="451">
        <v>2408916</v>
      </c>
      <c r="AM187" s="451">
        <v>0</v>
      </c>
      <c r="AN187" s="451">
        <v>0</v>
      </c>
      <c r="AO187" s="451">
        <v>2408916</v>
      </c>
      <c r="AP187" s="451">
        <v>4451</v>
      </c>
      <c r="AQ187" s="451">
        <v>0</v>
      </c>
      <c r="AR187" s="451">
        <v>0</v>
      </c>
      <c r="AS187" s="451">
        <v>4451</v>
      </c>
      <c r="AT187" s="451">
        <v>125386</v>
      </c>
      <c r="AU187" s="451">
        <v>0</v>
      </c>
      <c r="AV187" s="451">
        <v>0</v>
      </c>
      <c r="AW187" s="451">
        <v>125386</v>
      </c>
      <c r="AX187" s="451">
        <v>-1026</v>
      </c>
      <c r="AY187" s="451">
        <v>0</v>
      </c>
      <c r="AZ187" s="451">
        <v>0</v>
      </c>
      <c r="BA187" s="451">
        <v>-1026</v>
      </c>
      <c r="BB187" s="451">
        <v>11732</v>
      </c>
      <c r="BC187" s="451">
        <v>0</v>
      </c>
      <c r="BD187" s="451">
        <v>0</v>
      </c>
      <c r="BE187" s="451">
        <v>11732</v>
      </c>
      <c r="BF187" s="451">
        <v>0</v>
      </c>
      <c r="BG187" s="451">
        <v>0</v>
      </c>
      <c r="BH187" s="451">
        <v>0</v>
      </c>
      <c r="BI187" s="451">
        <v>0</v>
      </c>
      <c r="BJ187" s="451">
        <v>15114</v>
      </c>
      <c r="BK187" s="451">
        <v>0</v>
      </c>
      <c r="BL187" s="451">
        <v>0</v>
      </c>
      <c r="BM187" s="451">
        <v>15114</v>
      </c>
      <c r="BN187" s="451">
        <v>-4173</v>
      </c>
      <c r="BO187" s="451">
        <v>0</v>
      </c>
      <c r="BP187" s="451">
        <v>0</v>
      </c>
      <c r="BQ187" s="451">
        <v>-4173</v>
      </c>
      <c r="BR187" s="451">
        <v>1807412</v>
      </c>
      <c r="BS187" s="451">
        <v>0</v>
      </c>
      <c r="BT187" s="451">
        <v>0</v>
      </c>
      <c r="BU187" s="451">
        <v>1807412</v>
      </c>
      <c r="BV187" s="451">
        <v>306936</v>
      </c>
      <c r="BW187" s="451">
        <v>0</v>
      </c>
      <c r="BX187" s="451">
        <v>0</v>
      </c>
      <c r="BY187" s="451">
        <v>306936</v>
      </c>
      <c r="BZ187" s="451">
        <v>169843</v>
      </c>
      <c r="CA187" s="451">
        <v>0</v>
      </c>
      <c r="CB187" s="451">
        <v>0</v>
      </c>
      <c r="CC187" s="451">
        <v>169843</v>
      </c>
      <c r="CD187" s="451">
        <v>-1067</v>
      </c>
      <c r="CE187" s="451">
        <v>0</v>
      </c>
      <c r="CF187" s="451">
        <v>0</v>
      </c>
      <c r="CG187" s="451">
        <v>-1067</v>
      </c>
      <c r="CH187" s="451">
        <v>100439</v>
      </c>
      <c r="CI187" s="451">
        <v>0</v>
      </c>
      <c r="CJ187" s="451">
        <v>0</v>
      </c>
      <c r="CK187" s="451">
        <v>100439</v>
      </c>
      <c r="CL187" s="451">
        <v>1104</v>
      </c>
      <c r="CM187" s="451">
        <v>0</v>
      </c>
      <c r="CN187" s="451">
        <v>0</v>
      </c>
      <c r="CO187" s="451">
        <v>1104</v>
      </c>
      <c r="CP187" s="451">
        <v>14847</v>
      </c>
      <c r="CQ187" s="451">
        <v>0</v>
      </c>
      <c r="CR187" s="451">
        <v>0</v>
      </c>
      <c r="CS187" s="451">
        <v>14847</v>
      </c>
      <c r="CT187" s="451">
        <v>-257</v>
      </c>
      <c r="CU187" s="451">
        <v>0</v>
      </c>
      <c r="CV187" s="451">
        <v>0</v>
      </c>
      <c r="CW187" s="451">
        <v>-257</v>
      </c>
      <c r="CX187" s="451">
        <v>9286</v>
      </c>
      <c r="CY187" s="451">
        <v>0</v>
      </c>
      <c r="CZ187" s="451">
        <v>0</v>
      </c>
      <c r="DA187" s="451">
        <v>9286</v>
      </c>
      <c r="DB187" s="451">
        <v>0</v>
      </c>
      <c r="DC187" s="451">
        <v>0</v>
      </c>
      <c r="DD187" s="451">
        <v>0</v>
      </c>
      <c r="DE187" s="451">
        <v>0</v>
      </c>
      <c r="DF187" s="451">
        <v>10846</v>
      </c>
      <c r="DG187" s="451">
        <v>0</v>
      </c>
      <c r="DH187" s="451">
        <v>0</v>
      </c>
      <c r="DI187" s="451">
        <v>10846</v>
      </c>
      <c r="DJ187" s="451">
        <v>1766</v>
      </c>
      <c r="DK187" s="451">
        <v>0</v>
      </c>
      <c r="DL187" s="451">
        <v>0</v>
      </c>
      <c r="DM187" s="451">
        <v>1766</v>
      </c>
      <c r="DN187" s="451">
        <v>0</v>
      </c>
      <c r="DO187" s="451">
        <v>0</v>
      </c>
      <c r="DP187" s="451">
        <v>0</v>
      </c>
      <c r="DQ187" s="451">
        <v>0</v>
      </c>
      <c r="DR187" s="451">
        <v>0</v>
      </c>
      <c r="DS187" s="451">
        <v>0</v>
      </c>
      <c r="DT187" s="451">
        <v>0</v>
      </c>
      <c r="DU187" s="451">
        <v>0</v>
      </c>
      <c r="DV187" s="451">
        <v>0</v>
      </c>
      <c r="DW187" s="451">
        <v>0</v>
      </c>
      <c r="DX187" s="451">
        <v>0</v>
      </c>
      <c r="DY187" s="451">
        <v>0</v>
      </c>
      <c r="DZ187" s="451">
        <v>0</v>
      </c>
      <c r="EA187" s="451">
        <v>0</v>
      </c>
      <c r="EB187" s="451">
        <v>0</v>
      </c>
      <c r="EC187" s="451">
        <v>0</v>
      </c>
      <c r="ED187" s="451">
        <v>0</v>
      </c>
      <c r="EE187" s="451">
        <v>0</v>
      </c>
      <c r="EF187" s="451">
        <v>0</v>
      </c>
      <c r="EG187" s="451">
        <v>0</v>
      </c>
      <c r="EH187" s="451">
        <v>0</v>
      </c>
      <c r="EI187" s="451">
        <v>0</v>
      </c>
      <c r="EJ187" s="451">
        <v>0</v>
      </c>
      <c r="EK187" s="451">
        <v>0</v>
      </c>
      <c r="EL187" s="451">
        <v>0</v>
      </c>
      <c r="EM187" s="451">
        <v>0</v>
      </c>
    </row>
    <row r="188" spans="1:143" ht="12.75" x14ac:dyDescent="0.2">
      <c r="A188" s="446">
        <v>182</v>
      </c>
      <c r="B188" s="447" t="s">
        <v>247</v>
      </c>
      <c r="C188" s="448" t="s">
        <v>1093</v>
      </c>
      <c r="D188" s="449" t="s">
        <v>1096</v>
      </c>
      <c r="E188" s="450" t="s">
        <v>246</v>
      </c>
      <c r="F188" s="451">
        <v>65825</v>
      </c>
      <c r="G188" s="451">
        <v>0</v>
      </c>
      <c r="H188" s="451">
        <v>0</v>
      </c>
      <c r="I188" s="451">
        <v>65825</v>
      </c>
      <c r="J188" s="451">
        <v>-31888.82</v>
      </c>
      <c r="K188" s="451">
        <v>0</v>
      </c>
      <c r="L188" s="451">
        <v>0</v>
      </c>
      <c r="M188" s="451">
        <v>-31888.82</v>
      </c>
      <c r="N188" s="451">
        <v>17026.669999999998</v>
      </c>
      <c r="O188" s="451">
        <v>0</v>
      </c>
      <c r="P188" s="451">
        <v>0</v>
      </c>
      <c r="Q188" s="451">
        <v>17026.669999999998</v>
      </c>
      <c r="R188" s="451">
        <v>74514.28</v>
      </c>
      <c r="S188" s="451">
        <v>0</v>
      </c>
      <c r="T188" s="451">
        <v>0</v>
      </c>
      <c r="U188" s="451">
        <v>74514.28</v>
      </c>
      <c r="V188" s="451">
        <v>2103031.04</v>
      </c>
      <c r="W188" s="451">
        <v>0</v>
      </c>
      <c r="X188" s="451">
        <v>0</v>
      </c>
      <c r="Y188" s="451">
        <v>2103031.04</v>
      </c>
      <c r="Z188" s="451">
        <v>40878.120000000003</v>
      </c>
      <c r="AA188" s="451">
        <v>0</v>
      </c>
      <c r="AB188" s="451">
        <v>0</v>
      </c>
      <c r="AC188" s="451">
        <v>40878.120000000003</v>
      </c>
      <c r="AD188" s="451">
        <v>395129.3</v>
      </c>
      <c r="AE188" s="451">
        <v>0</v>
      </c>
      <c r="AF188" s="451">
        <v>0</v>
      </c>
      <c r="AG188" s="451">
        <v>395129.3</v>
      </c>
      <c r="AH188" s="451">
        <v>21717.96</v>
      </c>
      <c r="AI188" s="451">
        <v>0</v>
      </c>
      <c r="AJ188" s="451">
        <v>0</v>
      </c>
      <c r="AK188" s="451">
        <v>21717.96</v>
      </c>
      <c r="AL188" s="451">
        <v>1518378.92</v>
      </c>
      <c r="AM188" s="451">
        <v>0</v>
      </c>
      <c r="AN188" s="451">
        <v>0</v>
      </c>
      <c r="AO188" s="451">
        <v>1518378.92</v>
      </c>
      <c r="AP188" s="451">
        <v>28483.1</v>
      </c>
      <c r="AQ188" s="451">
        <v>0</v>
      </c>
      <c r="AR188" s="451">
        <v>0</v>
      </c>
      <c r="AS188" s="451">
        <v>28483.1</v>
      </c>
      <c r="AT188" s="451">
        <v>43200.12</v>
      </c>
      <c r="AU188" s="451">
        <v>0</v>
      </c>
      <c r="AV188" s="451">
        <v>0</v>
      </c>
      <c r="AW188" s="451">
        <v>43200.12</v>
      </c>
      <c r="AX188" s="451">
        <v>0</v>
      </c>
      <c r="AY188" s="451">
        <v>0</v>
      </c>
      <c r="AZ188" s="451">
        <v>0</v>
      </c>
      <c r="BA188" s="451">
        <v>0</v>
      </c>
      <c r="BB188" s="451">
        <v>47878.27</v>
      </c>
      <c r="BC188" s="451">
        <v>0</v>
      </c>
      <c r="BD188" s="451">
        <v>0</v>
      </c>
      <c r="BE188" s="451">
        <v>47878.27</v>
      </c>
      <c r="BF188" s="451">
        <v>-62.67</v>
      </c>
      <c r="BG188" s="451">
        <v>0</v>
      </c>
      <c r="BH188" s="451">
        <v>0</v>
      </c>
      <c r="BI188" s="451">
        <v>-62.67</v>
      </c>
      <c r="BJ188" s="451">
        <v>11352.39</v>
      </c>
      <c r="BK188" s="451">
        <v>0</v>
      </c>
      <c r="BL188" s="451">
        <v>0</v>
      </c>
      <c r="BM188" s="451">
        <v>11352.39</v>
      </c>
      <c r="BN188" s="451">
        <v>-19167.150000000001</v>
      </c>
      <c r="BO188" s="451">
        <v>0</v>
      </c>
      <c r="BP188" s="451">
        <v>0</v>
      </c>
      <c r="BQ188" s="451">
        <v>-19167.150000000001</v>
      </c>
      <c r="BR188" s="451">
        <v>742369.48</v>
      </c>
      <c r="BS188" s="451">
        <v>0</v>
      </c>
      <c r="BT188" s="451">
        <v>0</v>
      </c>
      <c r="BU188" s="451">
        <v>742369.48</v>
      </c>
      <c r="BV188" s="451">
        <v>2599.44</v>
      </c>
      <c r="BW188" s="451">
        <v>0</v>
      </c>
      <c r="BX188" s="451">
        <v>0</v>
      </c>
      <c r="BY188" s="451">
        <v>2599.44</v>
      </c>
      <c r="BZ188" s="451">
        <v>62929.32</v>
      </c>
      <c r="CA188" s="451">
        <v>0</v>
      </c>
      <c r="CB188" s="451">
        <v>0</v>
      </c>
      <c r="CC188" s="451">
        <v>62929.32</v>
      </c>
      <c r="CD188" s="451">
        <v>4492.96</v>
      </c>
      <c r="CE188" s="451">
        <v>0</v>
      </c>
      <c r="CF188" s="451">
        <v>0</v>
      </c>
      <c r="CG188" s="451">
        <v>4492.96</v>
      </c>
      <c r="CH188" s="451">
        <v>2632.02</v>
      </c>
      <c r="CI188" s="451">
        <v>0</v>
      </c>
      <c r="CJ188" s="451">
        <v>0</v>
      </c>
      <c r="CK188" s="451">
        <v>2632.02</v>
      </c>
      <c r="CL188" s="451">
        <v>0</v>
      </c>
      <c r="CM188" s="451">
        <v>0</v>
      </c>
      <c r="CN188" s="451">
        <v>0</v>
      </c>
      <c r="CO188" s="451">
        <v>0</v>
      </c>
      <c r="CP188" s="451">
        <v>0</v>
      </c>
      <c r="CQ188" s="451">
        <v>0</v>
      </c>
      <c r="CR188" s="451">
        <v>0</v>
      </c>
      <c r="CS188" s="451">
        <v>0</v>
      </c>
      <c r="CT188" s="451">
        <v>0</v>
      </c>
      <c r="CU188" s="451">
        <v>0</v>
      </c>
      <c r="CV188" s="451">
        <v>0</v>
      </c>
      <c r="CW188" s="451">
        <v>0</v>
      </c>
      <c r="CX188" s="451">
        <v>9922.4</v>
      </c>
      <c r="CY188" s="451">
        <v>0</v>
      </c>
      <c r="CZ188" s="451">
        <v>0</v>
      </c>
      <c r="DA188" s="451">
        <v>9922.4</v>
      </c>
      <c r="DB188" s="451">
        <v>0</v>
      </c>
      <c r="DC188" s="451">
        <v>0</v>
      </c>
      <c r="DD188" s="451">
        <v>0</v>
      </c>
      <c r="DE188" s="451">
        <v>0</v>
      </c>
      <c r="DF188" s="451">
        <v>0</v>
      </c>
      <c r="DG188" s="451">
        <v>0</v>
      </c>
      <c r="DH188" s="451">
        <v>0</v>
      </c>
      <c r="DI188" s="451">
        <v>0</v>
      </c>
      <c r="DJ188" s="451">
        <v>0</v>
      </c>
      <c r="DK188" s="451">
        <v>0</v>
      </c>
      <c r="DL188" s="451">
        <v>0</v>
      </c>
      <c r="DM188" s="451">
        <v>0</v>
      </c>
      <c r="DN188" s="451">
        <v>0</v>
      </c>
      <c r="DO188" s="451">
        <v>0</v>
      </c>
      <c r="DP188" s="451">
        <v>0</v>
      </c>
      <c r="DQ188" s="451">
        <v>0</v>
      </c>
      <c r="DR188" s="451">
        <v>0</v>
      </c>
      <c r="DS188" s="451">
        <v>0</v>
      </c>
      <c r="DT188" s="451">
        <v>0</v>
      </c>
      <c r="DU188" s="451">
        <v>0</v>
      </c>
      <c r="DV188" s="451">
        <v>0</v>
      </c>
      <c r="DW188" s="451">
        <v>0</v>
      </c>
      <c r="DX188" s="451">
        <v>0</v>
      </c>
      <c r="DY188" s="451">
        <v>0</v>
      </c>
      <c r="DZ188" s="451">
        <v>0</v>
      </c>
      <c r="EA188" s="451">
        <v>0</v>
      </c>
      <c r="EB188" s="451">
        <v>0</v>
      </c>
      <c r="EC188" s="451">
        <v>0</v>
      </c>
      <c r="ED188" s="451">
        <v>0</v>
      </c>
      <c r="EE188" s="451">
        <v>0</v>
      </c>
      <c r="EF188" s="451">
        <v>0</v>
      </c>
      <c r="EG188" s="451">
        <v>0</v>
      </c>
      <c r="EH188" s="451">
        <v>0</v>
      </c>
      <c r="EI188" s="451">
        <v>0</v>
      </c>
      <c r="EJ188" s="451">
        <v>0</v>
      </c>
      <c r="EK188" s="451">
        <v>0</v>
      </c>
      <c r="EL188" s="451">
        <v>0</v>
      </c>
      <c r="EM188" s="451">
        <v>0</v>
      </c>
    </row>
    <row r="189" spans="1:143" ht="12.75" x14ac:dyDescent="0.2">
      <c r="A189" s="446">
        <v>183</v>
      </c>
      <c r="B189" s="447" t="s">
        <v>249</v>
      </c>
      <c r="C189" s="448" t="s">
        <v>794</v>
      </c>
      <c r="D189" s="449" t="s">
        <v>1101</v>
      </c>
      <c r="E189" s="450" t="s">
        <v>730</v>
      </c>
      <c r="F189" s="451">
        <v>3028486</v>
      </c>
      <c r="G189" s="451">
        <v>0</v>
      </c>
      <c r="H189" s="451">
        <v>0</v>
      </c>
      <c r="I189" s="451">
        <v>3028486</v>
      </c>
      <c r="J189" s="451">
        <v>-98463</v>
      </c>
      <c r="K189" s="451">
        <v>0</v>
      </c>
      <c r="L189" s="451">
        <v>0</v>
      </c>
      <c r="M189" s="451">
        <v>-98463</v>
      </c>
      <c r="N189" s="451">
        <v>19893</v>
      </c>
      <c r="O189" s="451">
        <v>0</v>
      </c>
      <c r="P189" s="451">
        <v>0</v>
      </c>
      <c r="Q189" s="451">
        <v>19893</v>
      </c>
      <c r="R189" s="451">
        <v>122223</v>
      </c>
      <c r="S189" s="451">
        <v>0</v>
      </c>
      <c r="T189" s="451">
        <v>0</v>
      </c>
      <c r="U189" s="451">
        <v>122223</v>
      </c>
      <c r="V189" s="451">
        <v>3198887</v>
      </c>
      <c r="W189" s="451">
        <v>0</v>
      </c>
      <c r="X189" s="451">
        <v>0</v>
      </c>
      <c r="Y189" s="451">
        <v>3198887</v>
      </c>
      <c r="Z189" s="451">
        <v>135593</v>
      </c>
      <c r="AA189" s="451">
        <v>0</v>
      </c>
      <c r="AB189" s="451">
        <v>0</v>
      </c>
      <c r="AC189" s="451">
        <v>135593</v>
      </c>
      <c r="AD189" s="451">
        <v>1749955</v>
      </c>
      <c r="AE189" s="451">
        <v>0</v>
      </c>
      <c r="AF189" s="451">
        <v>0</v>
      </c>
      <c r="AG189" s="451">
        <v>1749955</v>
      </c>
      <c r="AH189" s="451">
        <v>140046</v>
      </c>
      <c r="AI189" s="451">
        <v>0</v>
      </c>
      <c r="AJ189" s="451">
        <v>0</v>
      </c>
      <c r="AK189" s="451">
        <v>140046</v>
      </c>
      <c r="AL189" s="451">
        <v>1883587</v>
      </c>
      <c r="AM189" s="451">
        <v>0</v>
      </c>
      <c r="AN189" s="451">
        <v>0</v>
      </c>
      <c r="AO189" s="451">
        <v>1883587</v>
      </c>
      <c r="AP189" s="451">
        <v>-64269</v>
      </c>
      <c r="AQ189" s="451">
        <v>0</v>
      </c>
      <c r="AR189" s="451">
        <v>0</v>
      </c>
      <c r="AS189" s="451">
        <v>-64269</v>
      </c>
      <c r="AT189" s="451">
        <v>33898</v>
      </c>
      <c r="AU189" s="451">
        <v>0</v>
      </c>
      <c r="AV189" s="451">
        <v>0</v>
      </c>
      <c r="AW189" s="451">
        <v>33898</v>
      </c>
      <c r="AX189" s="451">
        <v>0</v>
      </c>
      <c r="AY189" s="451">
        <v>0</v>
      </c>
      <c r="AZ189" s="451">
        <v>0</v>
      </c>
      <c r="BA189" s="451">
        <v>0</v>
      </c>
      <c r="BB189" s="451">
        <v>23815</v>
      </c>
      <c r="BC189" s="451">
        <v>0</v>
      </c>
      <c r="BD189" s="451">
        <v>0</v>
      </c>
      <c r="BE189" s="451">
        <v>23815</v>
      </c>
      <c r="BF189" s="451">
        <v>-326</v>
      </c>
      <c r="BG189" s="451">
        <v>0</v>
      </c>
      <c r="BH189" s="451">
        <v>0</v>
      </c>
      <c r="BI189" s="451">
        <v>-326</v>
      </c>
      <c r="BJ189" s="451">
        <v>17632</v>
      </c>
      <c r="BK189" s="451">
        <v>0</v>
      </c>
      <c r="BL189" s="451">
        <v>0</v>
      </c>
      <c r="BM189" s="451">
        <v>17632</v>
      </c>
      <c r="BN189" s="451">
        <v>98507</v>
      </c>
      <c r="BO189" s="451">
        <v>0</v>
      </c>
      <c r="BP189" s="451">
        <v>0</v>
      </c>
      <c r="BQ189" s="451">
        <v>98507</v>
      </c>
      <c r="BR189" s="451">
        <v>3435773</v>
      </c>
      <c r="BS189" s="451">
        <v>0</v>
      </c>
      <c r="BT189" s="451">
        <v>0</v>
      </c>
      <c r="BU189" s="451">
        <v>3435773</v>
      </c>
      <c r="BV189" s="451">
        <v>5083</v>
      </c>
      <c r="BW189" s="451">
        <v>0</v>
      </c>
      <c r="BX189" s="451">
        <v>0</v>
      </c>
      <c r="BY189" s="451">
        <v>5083</v>
      </c>
      <c r="BZ189" s="451">
        <v>70640</v>
      </c>
      <c r="CA189" s="451">
        <v>0</v>
      </c>
      <c r="CB189" s="451">
        <v>0</v>
      </c>
      <c r="CC189" s="451">
        <v>70640</v>
      </c>
      <c r="CD189" s="451">
        <v>-887</v>
      </c>
      <c r="CE189" s="451">
        <v>0</v>
      </c>
      <c r="CF189" s="451">
        <v>0</v>
      </c>
      <c r="CG189" s="451">
        <v>-887</v>
      </c>
      <c r="CH189" s="451">
        <v>60133</v>
      </c>
      <c r="CI189" s="451">
        <v>0</v>
      </c>
      <c r="CJ189" s="451">
        <v>0</v>
      </c>
      <c r="CK189" s="451">
        <v>60133</v>
      </c>
      <c r="CL189" s="451">
        <v>-17016</v>
      </c>
      <c r="CM189" s="451">
        <v>0</v>
      </c>
      <c r="CN189" s="451">
        <v>0</v>
      </c>
      <c r="CO189" s="451">
        <v>-17016</v>
      </c>
      <c r="CP189" s="451">
        <v>3843</v>
      </c>
      <c r="CQ189" s="451">
        <v>0</v>
      </c>
      <c r="CR189" s="451">
        <v>0</v>
      </c>
      <c r="CS189" s="451">
        <v>3843</v>
      </c>
      <c r="CT189" s="451">
        <v>0</v>
      </c>
      <c r="CU189" s="451">
        <v>0</v>
      </c>
      <c r="CV189" s="451">
        <v>0</v>
      </c>
      <c r="CW189" s="451">
        <v>0</v>
      </c>
      <c r="CX189" s="451">
        <v>21611</v>
      </c>
      <c r="CY189" s="451">
        <v>0</v>
      </c>
      <c r="CZ189" s="451">
        <v>0</v>
      </c>
      <c r="DA189" s="451">
        <v>21611</v>
      </c>
      <c r="DB189" s="451">
        <v>-326</v>
      </c>
      <c r="DC189" s="451">
        <v>0</v>
      </c>
      <c r="DD189" s="451">
        <v>0</v>
      </c>
      <c r="DE189" s="451">
        <v>-326</v>
      </c>
      <c r="DF189" s="451">
        <v>4960</v>
      </c>
      <c r="DG189" s="451">
        <v>0</v>
      </c>
      <c r="DH189" s="451">
        <v>0</v>
      </c>
      <c r="DI189" s="451">
        <v>4960</v>
      </c>
      <c r="DJ189" s="451">
        <v>534</v>
      </c>
      <c r="DK189" s="451">
        <v>0</v>
      </c>
      <c r="DL189" s="451">
        <v>0</v>
      </c>
      <c r="DM189" s="451">
        <v>534</v>
      </c>
      <c r="DN189" s="451">
        <v>0</v>
      </c>
      <c r="DO189" s="451">
        <v>0</v>
      </c>
      <c r="DP189" s="451">
        <v>0</v>
      </c>
      <c r="DQ189" s="451">
        <v>0</v>
      </c>
      <c r="DR189" s="451">
        <v>0</v>
      </c>
      <c r="DS189" s="451">
        <v>0</v>
      </c>
      <c r="DT189" s="451">
        <v>0</v>
      </c>
      <c r="DU189" s="451">
        <v>0</v>
      </c>
      <c r="DV189" s="451">
        <v>0</v>
      </c>
      <c r="DW189" s="451">
        <v>0</v>
      </c>
      <c r="DX189" s="451">
        <v>0</v>
      </c>
      <c r="DY189" s="451">
        <v>0</v>
      </c>
      <c r="DZ189" s="451">
        <v>0</v>
      </c>
      <c r="EA189" s="451">
        <v>0</v>
      </c>
      <c r="EB189" s="451">
        <v>0</v>
      </c>
      <c r="EC189" s="451">
        <v>0</v>
      </c>
      <c r="ED189" s="451">
        <v>0</v>
      </c>
      <c r="EE189" s="451">
        <v>0</v>
      </c>
      <c r="EF189" s="451">
        <v>0</v>
      </c>
      <c r="EG189" s="451">
        <v>0</v>
      </c>
      <c r="EH189" s="451">
        <v>0</v>
      </c>
      <c r="EI189" s="451">
        <v>0</v>
      </c>
      <c r="EJ189" s="451">
        <v>0</v>
      </c>
      <c r="EK189" s="451">
        <v>0</v>
      </c>
      <c r="EL189" s="451">
        <v>0</v>
      </c>
      <c r="EM189" s="451">
        <v>0</v>
      </c>
    </row>
    <row r="190" spans="1:143" ht="12.75" x14ac:dyDescent="0.2">
      <c r="A190" s="446">
        <v>184</v>
      </c>
      <c r="B190" s="447" t="s">
        <v>251</v>
      </c>
      <c r="C190" s="448" t="s">
        <v>1093</v>
      </c>
      <c r="D190" s="449" t="s">
        <v>1097</v>
      </c>
      <c r="E190" s="450" t="s">
        <v>250</v>
      </c>
      <c r="F190" s="451">
        <v>333177.90000000002</v>
      </c>
      <c r="G190" s="451">
        <v>0</v>
      </c>
      <c r="H190" s="451">
        <v>0</v>
      </c>
      <c r="I190" s="451">
        <v>333177.90000000002</v>
      </c>
      <c r="J190" s="451">
        <v>-52104.01</v>
      </c>
      <c r="K190" s="451">
        <v>0</v>
      </c>
      <c r="L190" s="451">
        <v>0</v>
      </c>
      <c r="M190" s="451">
        <v>-52104.01</v>
      </c>
      <c r="N190" s="451">
        <v>10095.93</v>
      </c>
      <c r="O190" s="451">
        <v>0</v>
      </c>
      <c r="P190" s="451">
        <v>0</v>
      </c>
      <c r="Q190" s="451">
        <v>10095.93</v>
      </c>
      <c r="R190" s="451">
        <v>-2997.09</v>
      </c>
      <c r="S190" s="451">
        <v>0</v>
      </c>
      <c r="T190" s="451">
        <v>0</v>
      </c>
      <c r="U190" s="451">
        <v>-2997.09</v>
      </c>
      <c r="V190" s="451">
        <v>3960525.41</v>
      </c>
      <c r="W190" s="451">
        <v>0</v>
      </c>
      <c r="X190" s="451">
        <v>0</v>
      </c>
      <c r="Y190" s="451">
        <v>3960525.41</v>
      </c>
      <c r="Z190" s="451">
        <v>211783.27</v>
      </c>
      <c r="AA190" s="451">
        <v>0</v>
      </c>
      <c r="AB190" s="451">
        <v>0</v>
      </c>
      <c r="AC190" s="451">
        <v>211783.27</v>
      </c>
      <c r="AD190" s="451">
        <v>400162.43</v>
      </c>
      <c r="AE190" s="451">
        <v>0</v>
      </c>
      <c r="AF190" s="451">
        <v>0</v>
      </c>
      <c r="AG190" s="451">
        <v>400162.43</v>
      </c>
      <c r="AH190" s="451">
        <v>-1883.82</v>
      </c>
      <c r="AI190" s="451">
        <v>0</v>
      </c>
      <c r="AJ190" s="451">
        <v>0</v>
      </c>
      <c r="AK190" s="451">
        <v>-1883.82</v>
      </c>
      <c r="AL190" s="451">
        <v>1329566.58</v>
      </c>
      <c r="AM190" s="451">
        <v>0</v>
      </c>
      <c r="AN190" s="451">
        <v>0</v>
      </c>
      <c r="AO190" s="451">
        <v>1329566.58</v>
      </c>
      <c r="AP190" s="451">
        <v>7713.92</v>
      </c>
      <c r="AQ190" s="451">
        <v>0</v>
      </c>
      <c r="AR190" s="451">
        <v>0</v>
      </c>
      <c r="AS190" s="451">
        <v>7713.92</v>
      </c>
      <c r="AT190" s="451">
        <v>57179.41</v>
      </c>
      <c r="AU190" s="451">
        <v>0</v>
      </c>
      <c r="AV190" s="451">
        <v>0</v>
      </c>
      <c r="AW190" s="451">
        <v>57179.41</v>
      </c>
      <c r="AX190" s="451">
        <v>0</v>
      </c>
      <c r="AY190" s="451">
        <v>0</v>
      </c>
      <c r="AZ190" s="451">
        <v>0</v>
      </c>
      <c r="BA190" s="451">
        <v>0</v>
      </c>
      <c r="BB190" s="451">
        <v>96366.93</v>
      </c>
      <c r="BC190" s="451">
        <v>0</v>
      </c>
      <c r="BD190" s="451">
        <v>0</v>
      </c>
      <c r="BE190" s="451">
        <v>96366.93</v>
      </c>
      <c r="BF190" s="451">
        <v>2516.65</v>
      </c>
      <c r="BG190" s="451">
        <v>0</v>
      </c>
      <c r="BH190" s="451">
        <v>0</v>
      </c>
      <c r="BI190" s="451">
        <v>2516.65</v>
      </c>
      <c r="BJ190" s="451">
        <v>2236.63</v>
      </c>
      <c r="BK190" s="451">
        <v>0</v>
      </c>
      <c r="BL190" s="451">
        <v>0</v>
      </c>
      <c r="BM190" s="451">
        <v>2236.63</v>
      </c>
      <c r="BN190" s="451">
        <v>2460.73</v>
      </c>
      <c r="BO190" s="451">
        <v>0</v>
      </c>
      <c r="BP190" s="451">
        <v>0</v>
      </c>
      <c r="BQ190" s="451">
        <v>2460.73</v>
      </c>
      <c r="BR190" s="451">
        <v>450816.22</v>
      </c>
      <c r="BS190" s="451">
        <v>0</v>
      </c>
      <c r="BT190" s="451">
        <v>0</v>
      </c>
      <c r="BU190" s="451">
        <v>450816.22</v>
      </c>
      <c r="BV190" s="451">
        <v>8355.7199999999993</v>
      </c>
      <c r="BW190" s="451">
        <v>0</v>
      </c>
      <c r="BX190" s="451">
        <v>0</v>
      </c>
      <c r="BY190" s="451">
        <v>8355.7199999999993</v>
      </c>
      <c r="BZ190" s="451">
        <v>20495.900000000001</v>
      </c>
      <c r="CA190" s="451">
        <v>0</v>
      </c>
      <c r="CB190" s="451">
        <v>0</v>
      </c>
      <c r="CC190" s="451">
        <v>20495.900000000001</v>
      </c>
      <c r="CD190" s="451">
        <v>1885.3</v>
      </c>
      <c r="CE190" s="451">
        <v>0</v>
      </c>
      <c r="CF190" s="451">
        <v>0</v>
      </c>
      <c r="CG190" s="451">
        <v>1885.3</v>
      </c>
      <c r="CH190" s="451">
        <v>177178.8</v>
      </c>
      <c r="CI190" s="451">
        <v>0</v>
      </c>
      <c r="CJ190" s="451">
        <v>0</v>
      </c>
      <c r="CK190" s="451">
        <v>177178.8</v>
      </c>
      <c r="CL190" s="451">
        <v>6188.84</v>
      </c>
      <c r="CM190" s="451">
        <v>0</v>
      </c>
      <c r="CN190" s="451">
        <v>0</v>
      </c>
      <c r="CO190" s="451">
        <v>6188.84</v>
      </c>
      <c r="CP190" s="451">
        <v>0</v>
      </c>
      <c r="CQ190" s="451">
        <v>0</v>
      </c>
      <c r="CR190" s="451">
        <v>0</v>
      </c>
      <c r="CS190" s="451">
        <v>0</v>
      </c>
      <c r="CT190" s="451">
        <v>0</v>
      </c>
      <c r="CU190" s="451">
        <v>0</v>
      </c>
      <c r="CV190" s="451">
        <v>0</v>
      </c>
      <c r="CW190" s="451">
        <v>0</v>
      </c>
      <c r="CX190" s="451">
        <v>12905.72</v>
      </c>
      <c r="CY190" s="451">
        <v>0</v>
      </c>
      <c r="CZ190" s="451">
        <v>0</v>
      </c>
      <c r="DA190" s="451">
        <v>12905.72</v>
      </c>
      <c r="DB190" s="451">
        <v>1005.63</v>
      </c>
      <c r="DC190" s="451">
        <v>0</v>
      </c>
      <c r="DD190" s="451">
        <v>0</v>
      </c>
      <c r="DE190" s="451">
        <v>1005.63</v>
      </c>
      <c r="DF190" s="451">
        <v>0</v>
      </c>
      <c r="DG190" s="451">
        <v>0</v>
      </c>
      <c r="DH190" s="451">
        <v>0</v>
      </c>
      <c r="DI190" s="451">
        <v>0</v>
      </c>
      <c r="DJ190" s="451">
        <v>0</v>
      </c>
      <c r="DK190" s="451">
        <v>0</v>
      </c>
      <c r="DL190" s="451">
        <v>0</v>
      </c>
      <c r="DM190" s="451">
        <v>0</v>
      </c>
      <c r="DN190" s="451">
        <v>0</v>
      </c>
      <c r="DO190" s="451">
        <v>0</v>
      </c>
      <c r="DP190" s="451">
        <v>0</v>
      </c>
      <c r="DQ190" s="451">
        <v>0</v>
      </c>
      <c r="DR190" s="451">
        <v>0</v>
      </c>
      <c r="DS190" s="451">
        <v>0</v>
      </c>
      <c r="DT190" s="451">
        <v>0</v>
      </c>
      <c r="DU190" s="451">
        <v>0</v>
      </c>
      <c r="DV190" s="451">
        <v>0</v>
      </c>
      <c r="DW190" s="451">
        <v>0</v>
      </c>
      <c r="DX190" s="451">
        <v>718.11</v>
      </c>
      <c r="DY190" s="451">
        <v>0</v>
      </c>
      <c r="DZ190" s="451">
        <v>0</v>
      </c>
      <c r="EA190" s="451">
        <v>718.11</v>
      </c>
      <c r="EB190" s="451">
        <v>0</v>
      </c>
      <c r="EC190" s="451">
        <v>0</v>
      </c>
      <c r="ED190" s="451">
        <v>0</v>
      </c>
      <c r="EE190" s="451">
        <v>0</v>
      </c>
      <c r="EF190" s="451">
        <v>0</v>
      </c>
      <c r="EG190" s="451">
        <v>0</v>
      </c>
      <c r="EH190" s="451">
        <v>0</v>
      </c>
      <c r="EI190" s="451">
        <v>0</v>
      </c>
      <c r="EJ190" s="451">
        <v>0</v>
      </c>
      <c r="EK190" s="451">
        <v>0</v>
      </c>
      <c r="EL190" s="451">
        <v>0</v>
      </c>
      <c r="EM190" s="451">
        <v>0</v>
      </c>
    </row>
    <row r="191" spans="1:143" ht="12.75" x14ac:dyDescent="0.2">
      <c r="A191" s="446">
        <v>185</v>
      </c>
      <c r="B191" s="447" t="s">
        <v>253</v>
      </c>
      <c r="C191" s="448" t="s">
        <v>794</v>
      </c>
      <c r="D191" s="449" t="s">
        <v>1102</v>
      </c>
      <c r="E191" s="450" t="s">
        <v>731</v>
      </c>
      <c r="F191" s="451">
        <v>228046</v>
      </c>
      <c r="G191" s="451">
        <v>0</v>
      </c>
      <c r="H191" s="451">
        <v>0</v>
      </c>
      <c r="I191" s="451">
        <v>228046</v>
      </c>
      <c r="J191" s="451">
        <v>-103046</v>
      </c>
      <c r="K191" s="451">
        <v>0</v>
      </c>
      <c r="L191" s="451">
        <v>0</v>
      </c>
      <c r="M191" s="451">
        <v>-103046</v>
      </c>
      <c r="N191" s="451">
        <v>23476</v>
      </c>
      <c r="O191" s="451">
        <v>0</v>
      </c>
      <c r="P191" s="451">
        <v>0</v>
      </c>
      <c r="Q191" s="451">
        <v>23476</v>
      </c>
      <c r="R191" s="451">
        <v>17760</v>
      </c>
      <c r="S191" s="451">
        <v>0</v>
      </c>
      <c r="T191" s="451">
        <v>0</v>
      </c>
      <c r="U191" s="451">
        <v>17760</v>
      </c>
      <c r="V191" s="451">
        <v>3647005</v>
      </c>
      <c r="W191" s="451">
        <v>0</v>
      </c>
      <c r="X191" s="451">
        <v>0</v>
      </c>
      <c r="Y191" s="451">
        <v>3647005</v>
      </c>
      <c r="Z191" s="451">
        <v>187824</v>
      </c>
      <c r="AA191" s="451">
        <v>0</v>
      </c>
      <c r="AB191" s="451">
        <v>0</v>
      </c>
      <c r="AC191" s="451">
        <v>187824</v>
      </c>
      <c r="AD191" s="451">
        <v>1109662</v>
      </c>
      <c r="AE191" s="451">
        <v>0</v>
      </c>
      <c r="AF191" s="451">
        <v>0</v>
      </c>
      <c r="AG191" s="451">
        <v>1109662</v>
      </c>
      <c r="AH191" s="451">
        <v>48883</v>
      </c>
      <c r="AI191" s="451">
        <v>0</v>
      </c>
      <c r="AJ191" s="451">
        <v>0</v>
      </c>
      <c r="AK191" s="451">
        <v>48883</v>
      </c>
      <c r="AL191" s="451">
        <v>3720466</v>
      </c>
      <c r="AM191" s="451">
        <v>0</v>
      </c>
      <c r="AN191" s="451">
        <v>0</v>
      </c>
      <c r="AO191" s="451">
        <v>3720466</v>
      </c>
      <c r="AP191" s="451">
        <v>-34130</v>
      </c>
      <c r="AQ191" s="451">
        <v>0</v>
      </c>
      <c r="AR191" s="451">
        <v>0</v>
      </c>
      <c r="AS191" s="451">
        <v>-34130</v>
      </c>
      <c r="AT191" s="451">
        <v>106415</v>
      </c>
      <c r="AU191" s="451">
        <v>0</v>
      </c>
      <c r="AV191" s="451">
        <v>0</v>
      </c>
      <c r="AW191" s="451">
        <v>106415</v>
      </c>
      <c r="AX191" s="451">
        <v>0</v>
      </c>
      <c r="AY191" s="451">
        <v>0</v>
      </c>
      <c r="AZ191" s="451">
        <v>0</v>
      </c>
      <c r="BA191" s="451">
        <v>0</v>
      </c>
      <c r="BB191" s="451">
        <v>17608</v>
      </c>
      <c r="BC191" s="451">
        <v>0</v>
      </c>
      <c r="BD191" s="451">
        <v>0</v>
      </c>
      <c r="BE191" s="451">
        <v>17608</v>
      </c>
      <c r="BF191" s="451">
        <v>24925</v>
      </c>
      <c r="BG191" s="451">
        <v>0</v>
      </c>
      <c r="BH191" s="451">
        <v>0</v>
      </c>
      <c r="BI191" s="451">
        <v>24925</v>
      </c>
      <c r="BJ191" s="451">
        <v>43869</v>
      </c>
      <c r="BK191" s="451">
        <v>0</v>
      </c>
      <c r="BL191" s="451">
        <v>0</v>
      </c>
      <c r="BM191" s="451">
        <v>43869</v>
      </c>
      <c r="BN191" s="451">
        <v>-86743</v>
      </c>
      <c r="BO191" s="451">
        <v>0</v>
      </c>
      <c r="BP191" s="451">
        <v>0</v>
      </c>
      <c r="BQ191" s="451">
        <v>-86743</v>
      </c>
      <c r="BR191" s="451">
        <v>2752135</v>
      </c>
      <c r="BS191" s="451">
        <v>0</v>
      </c>
      <c r="BT191" s="451">
        <v>0</v>
      </c>
      <c r="BU191" s="451">
        <v>2752135</v>
      </c>
      <c r="BV191" s="451">
        <v>-588155</v>
      </c>
      <c r="BW191" s="451">
        <v>0</v>
      </c>
      <c r="BX191" s="451">
        <v>0</v>
      </c>
      <c r="BY191" s="451">
        <v>-588155</v>
      </c>
      <c r="BZ191" s="451">
        <v>62902</v>
      </c>
      <c r="CA191" s="451">
        <v>0</v>
      </c>
      <c r="CB191" s="451">
        <v>0</v>
      </c>
      <c r="CC191" s="451">
        <v>62902</v>
      </c>
      <c r="CD191" s="451">
        <v>158</v>
      </c>
      <c r="CE191" s="451">
        <v>0</v>
      </c>
      <c r="CF191" s="451">
        <v>0</v>
      </c>
      <c r="CG191" s="451">
        <v>158</v>
      </c>
      <c r="CH191" s="451">
        <v>635530</v>
      </c>
      <c r="CI191" s="451">
        <v>0</v>
      </c>
      <c r="CJ191" s="451">
        <v>0</v>
      </c>
      <c r="CK191" s="451">
        <v>635530</v>
      </c>
      <c r="CL191" s="451">
        <v>-944</v>
      </c>
      <c r="CM191" s="451">
        <v>0</v>
      </c>
      <c r="CN191" s="451">
        <v>0</v>
      </c>
      <c r="CO191" s="451">
        <v>-944</v>
      </c>
      <c r="CP191" s="451">
        <v>0</v>
      </c>
      <c r="CQ191" s="451">
        <v>0</v>
      </c>
      <c r="CR191" s="451">
        <v>0</v>
      </c>
      <c r="CS191" s="451">
        <v>0</v>
      </c>
      <c r="CT191" s="451">
        <v>0</v>
      </c>
      <c r="CU191" s="451">
        <v>0</v>
      </c>
      <c r="CV191" s="451">
        <v>0</v>
      </c>
      <c r="CW191" s="451">
        <v>0</v>
      </c>
      <c r="CX191" s="451">
        <v>5025</v>
      </c>
      <c r="CY191" s="451">
        <v>0</v>
      </c>
      <c r="CZ191" s="451">
        <v>0</v>
      </c>
      <c r="DA191" s="451">
        <v>5025</v>
      </c>
      <c r="DB191" s="451">
        <v>0</v>
      </c>
      <c r="DC191" s="451">
        <v>0</v>
      </c>
      <c r="DD191" s="451">
        <v>0</v>
      </c>
      <c r="DE191" s="451">
        <v>0</v>
      </c>
      <c r="DF191" s="451">
        <v>290</v>
      </c>
      <c r="DG191" s="451">
        <v>0</v>
      </c>
      <c r="DH191" s="451">
        <v>0</v>
      </c>
      <c r="DI191" s="451">
        <v>290</v>
      </c>
      <c r="DJ191" s="451">
        <v>0</v>
      </c>
      <c r="DK191" s="451">
        <v>0</v>
      </c>
      <c r="DL191" s="451">
        <v>0</v>
      </c>
      <c r="DM191" s="451">
        <v>0</v>
      </c>
      <c r="DN191" s="451">
        <v>0</v>
      </c>
      <c r="DO191" s="451">
        <v>0</v>
      </c>
      <c r="DP191" s="451">
        <v>0</v>
      </c>
      <c r="DQ191" s="451">
        <v>0</v>
      </c>
      <c r="DR191" s="451">
        <v>0</v>
      </c>
      <c r="DS191" s="451">
        <v>0</v>
      </c>
      <c r="DT191" s="451">
        <v>0</v>
      </c>
      <c r="DU191" s="451">
        <v>0</v>
      </c>
      <c r="DV191" s="451">
        <v>0</v>
      </c>
      <c r="DW191" s="451">
        <v>0</v>
      </c>
      <c r="DX191" s="451">
        <v>42493</v>
      </c>
      <c r="DY191" s="451">
        <v>0</v>
      </c>
      <c r="DZ191" s="451">
        <v>0</v>
      </c>
      <c r="EA191" s="451">
        <v>42493</v>
      </c>
      <c r="EB191" s="451">
        <v>0</v>
      </c>
      <c r="EC191" s="451">
        <v>0</v>
      </c>
      <c r="ED191" s="451">
        <v>0</v>
      </c>
      <c r="EE191" s="451">
        <v>0</v>
      </c>
      <c r="EF191" s="451">
        <v>0</v>
      </c>
      <c r="EG191" s="451">
        <v>0</v>
      </c>
      <c r="EH191" s="451">
        <v>0</v>
      </c>
      <c r="EI191" s="451">
        <v>0</v>
      </c>
      <c r="EJ191" s="451">
        <v>0</v>
      </c>
      <c r="EK191" s="451">
        <v>0</v>
      </c>
      <c r="EL191" s="451">
        <v>0</v>
      </c>
      <c r="EM191" s="451">
        <v>0</v>
      </c>
    </row>
    <row r="192" spans="1:143" ht="12.75" x14ac:dyDescent="0.2">
      <c r="A192" s="446">
        <v>186</v>
      </c>
      <c r="B192" s="447" t="s">
        <v>255</v>
      </c>
      <c r="C192" s="448" t="s">
        <v>1100</v>
      </c>
      <c r="D192" s="449" t="s">
        <v>1105</v>
      </c>
      <c r="E192" s="450" t="s">
        <v>254</v>
      </c>
      <c r="F192" s="451">
        <v>78962</v>
      </c>
      <c r="G192" s="451">
        <v>0</v>
      </c>
      <c r="H192" s="451">
        <v>0</v>
      </c>
      <c r="I192" s="451">
        <v>78962</v>
      </c>
      <c r="J192" s="451">
        <v>-178619.8</v>
      </c>
      <c r="K192" s="451">
        <v>0</v>
      </c>
      <c r="L192" s="451">
        <v>0</v>
      </c>
      <c r="M192" s="451">
        <v>-178619.8</v>
      </c>
      <c r="N192" s="451">
        <v>157978.19</v>
      </c>
      <c r="O192" s="451">
        <v>0</v>
      </c>
      <c r="P192" s="451">
        <v>0</v>
      </c>
      <c r="Q192" s="451">
        <v>157978.19</v>
      </c>
      <c r="R192" s="451">
        <v>-80707.08</v>
      </c>
      <c r="S192" s="451">
        <v>0</v>
      </c>
      <c r="T192" s="451">
        <v>0</v>
      </c>
      <c r="U192" s="451">
        <v>-80707.08</v>
      </c>
      <c r="V192" s="451">
        <v>3202553</v>
      </c>
      <c r="W192" s="451">
        <v>0</v>
      </c>
      <c r="X192" s="451">
        <v>4773</v>
      </c>
      <c r="Y192" s="451">
        <v>3207326</v>
      </c>
      <c r="Z192" s="451">
        <v>204812.62</v>
      </c>
      <c r="AA192" s="451">
        <v>0</v>
      </c>
      <c r="AB192" s="451">
        <v>0</v>
      </c>
      <c r="AC192" s="451">
        <v>204812.62</v>
      </c>
      <c r="AD192" s="451">
        <v>1148206</v>
      </c>
      <c r="AE192" s="451">
        <v>0</v>
      </c>
      <c r="AF192" s="451">
        <v>9644</v>
      </c>
      <c r="AG192" s="451">
        <v>1157850</v>
      </c>
      <c r="AH192" s="451">
        <v>8964.36</v>
      </c>
      <c r="AI192" s="451">
        <v>0</v>
      </c>
      <c r="AJ192" s="451">
        <v>0</v>
      </c>
      <c r="AK192" s="451">
        <v>8964.36</v>
      </c>
      <c r="AL192" s="451">
        <v>3654879</v>
      </c>
      <c r="AM192" s="451">
        <v>0</v>
      </c>
      <c r="AN192" s="451">
        <v>0</v>
      </c>
      <c r="AO192" s="451">
        <v>3654879</v>
      </c>
      <c r="AP192" s="451">
        <v>-107706</v>
      </c>
      <c r="AQ192" s="451">
        <v>0</v>
      </c>
      <c r="AR192" s="451">
        <v>0</v>
      </c>
      <c r="AS192" s="451">
        <v>-107706</v>
      </c>
      <c r="AT192" s="451">
        <v>57423</v>
      </c>
      <c r="AU192" s="451">
        <v>0</v>
      </c>
      <c r="AV192" s="451">
        <v>0</v>
      </c>
      <c r="AW192" s="451">
        <v>57423</v>
      </c>
      <c r="AX192" s="451">
        <v>0</v>
      </c>
      <c r="AY192" s="451">
        <v>0</v>
      </c>
      <c r="AZ192" s="451">
        <v>0</v>
      </c>
      <c r="BA192" s="451">
        <v>0</v>
      </c>
      <c r="BB192" s="451">
        <v>0</v>
      </c>
      <c r="BC192" s="451">
        <v>0</v>
      </c>
      <c r="BD192" s="451">
        <v>0</v>
      </c>
      <c r="BE192" s="451">
        <v>0</v>
      </c>
      <c r="BF192" s="451">
        <v>0</v>
      </c>
      <c r="BG192" s="451">
        <v>0</v>
      </c>
      <c r="BH192" s="451">
        <v>0</v>
      </c>
      <c r="BI192" s="451">
        <v>0</v>
      </c>
      <c r="BJ192" s="451">
        <v>175051</v>
      </c>
      <c r="BK192" s="451">
        <v>0</v>
      </c>
      <c r="BL192" s="451">
        <v>0</v>
      </c>
      <c r="BM192" s="451">
        <v>175051</v>
      </c>
      <c r="BN192" s="451">
        <v>-44796</v>
      </c>
      <c r="BO192" s="451">
        <v>0</v>
      </c>
      <c r="BP192" s="451">
        <v>0</v>
      </c>
      <c r="BQ192" s="451">
        <v>-44796</v>
      </c>
      <c r="BR192" s="451">
        <v>3025870</v>
      </c>
      <c r="BS192" s="451">
        <v>0</v>
      </c>
      <c r="BT192" s="451">
        <v>713</v>
      </c>
      <c r="BU192" s="451">
        <v>3026583</v>
      </c>
      <c r="BV192" s="451">
        <v>128419</v>
      </c>
      <c r="BW192" s="451">
        <v>0</v>
      </c>
      <c r="BX192" s="451">
        <v>0</v>
      </c>
      <c r="BY192" s="451">
        <v>128419</v>
      </c>
      <c r="BZ192" s="451">
        <v>273842</v>
      </c>
      <c r="CA192" s="451">
        <v>0</v>
      </c>
      <c r="CB192" s="451">
        <v>0</v>
      </c>
      <c r="CC192" s="451">
        <v>273842</v>
      </c>
      <c r="CD192" s="451">
        <v>-1986</v>
      </c>
      <c r="CE192" s="451">
        <v>0</v>
      </c>
      <c r="CF192" s="451">
        <v>0</v>
      </c>
      <c r="CG192" s="451">
        <v>-1986</v>
      </c>
      <c r="CH192" s="451">
        <v>24645</v>
      </c>
      <c r="CI192" s="451">
        <v>0</v>
      </c>
      <c r="CJ192" s="451">
        <v>0</v>
      </c>
      <c r="CK192" s="451">
        <v>24645</v>
      </c>
      <c r="CL192" s="451">
        <v>-3149</v>
      </c>
      <c r="CM192" s="451">
        <v>0</v>
      </c>
      <c r="CN192" s="451">
        <v>0</v>
      </c>
      <c r="CO192" s="451">
        <v>-3149</v>
      </c>
      <c r="CP192" s="451">
        <v>14356</v>
      </c>
      <c r="CQ192" s="451">
        <v>0</v>
      </c>
      <c r="CR192" s="451">
        <v>0</v>
      </c>
      <c r="CS192" s="451">
        <v>14356</v>
      </c>
      <c r="CT192" s="451">
        <v>0</v>
      </c>
      <c r="CU192" s="451">
        <v>0</v>
      </c>
      <c r="CV192" s="451">
        <v>0</v>
      </c>
      <c r="CW192" s="451">
        <v>0</v>
      </c>
      <c r="CX192" s="451">
        <v>0</v>
      </c>
      <c r="CY192" s="451">
        <v>0</v>
      </c>
      <c r="CZ192" s="451">
        <v>0</v>
      </c>
      <c r="DA192" s="451">
        <v>0</v>
      </c>
      <c r="DB192" s="451">
        <v>0</v>
      </c>
      <c r="DC192" s="451">
        <v>0</v>
      </c>
      <c r="DD192" s="451">
        <v>0</v>
      </c>
      <c r="DE192" s="451">
        <v>0</v>
      </c>
      <c r="DF192" s="451">
        <v>0</v>
      </c>
      <c r="DG192" s="451">
        <v>0</v>
      </c>
      <c r="DH192" s="451">
        <v>0</v>
      </c>
      <c r="DI192" s="451">
        <v>0</v>
      </c>
      <c r="DJ192" s="451">
        <v>0</v>
      </c>
      <c r="DK192" s="451">
        <v>0</v>
      </c>
      <c r="DL192" s="451">
        <v>0</v>
      </c>
      <c r="DM192" s="451">
        <v>0</v>
      </c>
      <c r="DN192" s="451">
        <v>0</v>
      </c>
      <c r="DO192" s="451">
        <v>0</v>
      </c>
      <c r="DP192" s="451">
        <v>0</v>
      </c>
      <c r="DQ192" s="451">
        <v>0</v>
      </c>
      <c r="DR192" s="451">
        <v>0</v>
      </c>
      <c r="DS192" s="451">
        <v>0</v>
      </c>
      <c r="DT192" s="451">
        <v>0</v>
      </c>
      <c r="DU192" s="451">
        <v>0</v>
      </c>
      <c r="DV192" s="451">
        <v>0</v>
      </c>
      <c r="DW192" s="451">
        <v>0</v>
      </c>
      <c r="DX192" s="451">
        <v>0</v>
      </c>
      <c r="DY192" s="451">
        <v>0</v>
      </c>
      <c r="DZ192" s="451">
        <v>0</v>
      </c>
      <c r="EA192" s="451">
        <v>0</v>
      </c>
      <c r="EB192" s="451">
        <v>0</v>
      </c>
      <c r="EC192" s="451">
        <v>0</v>
      </c>
      <c r="ED192" s="451">
        <v>0</v>
      </c>
      <c r="EE192" s="451">
        <v>0</v>
      </c>
      <c r="EF192" s="451">
        <v>38943</v>
      </c>
      <c r="EG192" s="451">
        <v>0</v>
      </c>
      <c r="EH192" s="451">
        <v>0</v>
      </c>
      <c r="EI192" s="451">
        <v>38943</v>
      </c>
      <c r="EJ192" s="451">
        <v>464</v>
      </c>
      <c r="EK192" s="451">
        <v>0</v>
      </c>
      <c r="EL192" s="451">
        <v>0</v>
      </c>
      <c r="EM192" s="451">
        <v>464</v>
      </c>
    </row>
    <row r="193" spans="1:143" ht="12.75" x14ac:dyDescent="0.2">
      <c r="A193" s="446">
        <v>187</v>
      </c>
      <c r="B193" s="447" t="s">
        <v>257</v>
      </c>
      <c r="C193" s="448" t="s">
        <v>1093</v>
      </c>
      <c r="D193" s="449" t="s">
        <v>1103</v>
      </c>
      <c r="E193" s="450" t="s">
        <v>256</v>
      </c>
      <c r="F193" s="451">
        <v>67774</v>
      </c>
      <c r="G193" s="451">
        <v>0</v>
      </c>
      <c r="H193" s="451">
        <v>0</v>
      </c>
      <c r="I193" s="451">
        <v>67774</v>
      </c>
      <c r="J193" s="451">
        <v>90052</v>
      </c>
      <c r="K193" s="451">
        <v>0</v>
      </c>
      <c r="L193" s="451">
        <v>0</v>
      </c>
      <c r="M193" s="451">
        <v>90052</v>
      </c>
      <c r="N193" s="451">
        <v>97726</v>
      </c>
      <c r="O193" s="451">
        <v>0</v>
      </c>
      <c r="P193" s="451">
        <v>0</v>
      </c>
      <c r="Q193" s="451">
        <v>97726</v>
      </c>
      <c r="R193" s="451">
        <v>976250</v>
      </c>
      <c r="S193" s="451">
        <v>0</v>
      </c>
      <c r="T193" s="451">
        <v>0</v>
      </c>
      <c r="U193" s="451">
        <v>976250</v>
      </c>
      <c r="V193" s="451">
        <v>1201587.33</v>
      </c>
      <c r="W193" s="451">
        <v>0</v>
      </c>
      <c r="X193" s="451">
        <v>0</v>
      </c>
      <c r="Y193" s="451">
        <v>1201587.33</v>
      </c>
      <c r="Z193" s="451">
        <v>47422</v>
      </c>
      <c r="AA193" s="451">
        <v>0</v>
      </c>
      <c r="AB193" s="451">
        <v>0</v>
      </c>
      <c r="AC193" s="451">
        <v>47422</v>
      </c>
      <c r="AD193" s="451">
        <v>793498</v>
      </c>
      <c r="AE193" s="451">
        <v>0</v>
      </c>
      <c r="AF193" s="451">
        <v>0</v>
      </c>
      <c r="AG193" s="451">
        <v>793498</v>
      </c>
      <c r="AH193" s="451">
        <v>-33010.019999999997</v>
      </c>
      <c r="AI193" s="451">
        <v>0</v>
      </c>
      <c r="AJ193" s="451">
        <v>0</v>
      </c>
      <c r="AK193" s="451">
        <v>-33010.019999999997</v>
      </c>
      <c r="AL193" s="451">
        <v>747101</v>
      </c>
      <c r="AM193" s="451">
        <v>0</v>
      </c>
      <c r="AN193" s="451">
        <v>0</v>
      </c>
      <c r="AO193" s="451">
        <v>747101</v>
      </c>
      <c r="AP193" s="451">
        <v>2844</v>
      </c>
      <c r="AQ193" s="451">
        <v>0</v>
      </c>
      <c r="AR193" s="451">
        <v>0</v>
      </c>
      <c r="AS193" s="451">
        <v>2844</v>
      </c>
      <c r="AT193" s="451">
        <v>27440</v>
      </c>
      <c r="AU193" s="451">
        <v>0</v>
      </c>
      <c r="AV193" s="451">
        <v>0</v>
      </c>
      <c r="AW193" s="451">
        <v>27440</v>
      </c>
      <c r="AX193" s="451">
        <v>0</v>
      </c>
      <c r="AY193" s="451">
        <v>0</v>
      </c>
      <c r="AZ193" s="451">
        <v>0</v>
      </c>
      <c r="BA193" s="451">
        <v>0</v>
      </c>
      <c r="BB193" s="451">
        <v>16944</v>
      </c>
      <c r="BC193" s="451">
        <v>0</v>
      </c>
      <c r="BD193" s="451">
        <v>0</v>
      </c>
      <c r="BE193" s="451">
        <v>16944</v>
      </c>
      <c r="BF193" s="451">
        <v>30</v>
      </c>
      <c r="BG193" s="451">
        <v>0</v>
      </c>
      <c r="BH193" s="451">
        <v>0</v>
      </c>
      <c r="BI193" s="451">
        <v>30</v>
      </c>
      <c r="BJ193" s="451">
        <v>0</v>
      </c>
      <c r="BK193" s="451">
        <v>0</v>
      </c>
      <c r="BL193" s="451">
        <v>0</v>
      </c>
      <c r="BM193" s="451">
        <v>0</v>
      </c>
      <c r="BN193" s="451">
        <v>106130</v>
      </c>
      <c r="BO193" s="451">
        <v>0</v>
      </c>
      <c r="BP193" s="451">
        <v>0</v>
      </c>
      <c r="BQ193" s="451">
        <v>106130</v>
      </c>
      <c r="BR193" s="451">
        <v>1259849</v>
      </c>
      <c r="BS193" s="451">
        <v>0</v>
      </c>
      <c r="BT193" s="451">
        <v>0</v>
      </c>
      <c r="BU193" s="451">
        <v>1259849</v>
      </c>
      <c r="BV193" s="451">
        <v>48383</v>
      </c>
      <c r="BW193" s="451">
        <v>0</v>
      </c>
      <c r="BX193" s="451">
        <v>0</v>
      </c>
      <c r="BY193" s="451">
        <v>48383</v>
      </c>
      <c r="BZ193" s="451">
        <v>12611</v>
      </c>
      <c r="CA193" s="451">
        <v>0</v>
      </c>
      <c r="CB193" s="451">
        <v>0</v>
      </c>
      <c r="CC193" s="451">
        <v>12611</v>
      </c>
      <c r="CD193" s="451">
        <v>801</v>
      </c>
      <c r="CE193" s="451">
        <v>0</v>
      </c>
      <c r="CF193" s="451">
        <v>0</v>
      </c>
      <c r="CG193" s="451">
        <v>801</v>
      </c>
      <c r="CH193" s="451">
        <v>578</v>
      </c>
      <c r="CI193" s="451">
        <v>0</v>
      </c>
      <c r="CJ193" s="451">
        <v>0</v>
      </c>
      <c r="CK193" s="451">
        <v>578</v>
      </c>
      <c r="CL193" s="451">
        <v>-340</v>
      </c>
      <c r="CM193" s="451">
        <v>0</v>
      </c>
      <c r="CN193" s="451">
        <v>0</v>
      </c>
      <c r="CO193" s="451">
        <v>-340</v>
      </c>
      <c r="CP193" s="451">
        <v>854</v>
      </c>
      <c r="CQ193" s="451">
        <v>0</v>
      </c>
      <c r="CR193" s="451">
        <v>0</v>
      </c>
      <c r="CS193" s="451">
        <v>854</v>
      </c>
      <c r="CT193" s="451">
        <v>0</v>
      </c>
      <c r="CU193" s="451">
        <v>0</v>
      </c>
      <c r="CV193" s="451">
        <v>0</v>
      </c>
      <c r="CW193" s="451">
        <v>0</v>
      </c>
      <c r="CX193" s="451">
        <v>0</v>
      </c>
      <c r="CY193" s="451">
        <v>0</v>
      </c>
      <c r="CZ193" s="451">
        <v>0</v>
      </c>
      <c r="DA193" s="451">
        <v>0</v>
      </c>
      <c r="DB193" s="451">
        <v>0</v>
      </c>
      <c r="DC193" s="451">
        <v>0</v>
      </c>
      <c r="DD193" s="451">
        <v>0</v>
      </c>
      <c r="DE193" s="451">
        <v>0</v>
      </c>
      <c r="DF193" s="451">
        <v>0</v>
      </c>
      <c r="DG193" s="451">
        <v>0</v>
      </c>
      <c r="DH193" s="451">
        <v>0</v>
      </c>
      <c r="DI193" s="451">
        <v>0</v>
      </c>
      <c r="DJ193" s="451">
        <v>0</v>
      </c>
      <c r="DK193" s="451">
        <v>0</v>
      </c>
      <c r="DL193" s="451">
        <v>0</v>
      </c>
      <c r="DM193" s="451">
        <v>0</v>
      </c>
      <c r="DN193" s="451">
        <v>0</v>
      </c>
      <c r="DO193" s="451">
        <v>0</v>
      </c>
      <c r="DP193" s="451">
        <v>0</v>
      </c>
      <c r="DQ193" s="451">
        <v>0</v>
      </c>
      <c r="DR193" s="451">
        <v>0</v>
      </c>
      <c r="DS193" s="451">
        <v>0</v>
      </c>
      <c r="DT193" s="451">
        <v>0</v>
      </c>
      <c r="DU193" s="451">
        <v>0</v>
      </c>
      <c r="DV193" s="451">
        <v>0</v>
      </c>
      <c r="DW193" s="451">
        <v>0</v>
      </c>
      <c r="DX193" s="451">
        <v>0</v>
      </c>
      <c r="DY193" s="451">
        <v>0</v>
      </c>
      <c r="DZ193" s="451">
        <v>0</v>
      </c>
      <c r="EA193" s="451">
        <v>0</v>
      </c>
      <c r="EB193" s="451">
        <v>0</v>
      </c>
      <c r="EC193" s="451">
        <v>0</v>
      </c>
      <c r="ED193" s="451">
        <v>0</v>
      </c>
      <c r="EE193" s="451">
        <v>0</v>
      </c>
      <c r="EF193" s="451">
        <v>0</v>
      </c>
      <c r="EG193" s="451">
        <v>0</v>
      </c>
      <c r="EH193" s="451">
        <v>0</v>
      </c>
      <c r="EI193" s="451">
        <v>0</v>
      </c>
      <c r="EJ193" s="451">
        <v>0</v>
      </c>
      <c r="EK193" s="451">
        <v>0</v>
      </c>
      <c r="EL193" s="451">
        <v>0</v>
      </c>
      <c r="EM193" s="451">
        <v>0</v>
      </c>
    </row>
    <row r="194" spans="1:143" ht="12.75" x14ac:dyDescent="0.2">
      <c r="A194" s="446">
        <v>188</v>
      </c>
      <c r="B194" s="447" t="s">
        <v>259</v>
      </c>
      <c r="C194" s="448" t="s">
        <v>1093</v>
      </c>
      <c r="D194" s="449" t="s">
        <v>1096</v>
      </c>
      <c r="E194" s="450" t="s">
        <v>258</v>
      </c>
      <c r="F194" s="451">
        <v>59068.17</v>
      </c>
      <c r="G194" s="451">
        <v>0</v>
      </c>
      <c r="H194" s="451">
        <v>0</v>
      </c>
      <c r="I194" s="451">
        <v>59068.17</v>
      </c>
      <c r="J194" s="451">
        <v>-30941.01</v>
      </c>
      <c r="K194" s="451">
        <v>0</v>
      </c>
      <c r="L194" s="451">
        <v>0</v>
      </c>
      <c r="M194" s="451">
        <v>-30941.01</v>
      </c>
      <c r="N194" s="451">
        <v>61697.43</v>
      </c>
      <c r="O194" s="451">
        <v>0</v>
      </c>
      <c r="P194" s="451">
        <v>0</v>
      </c>
      <c r="Q194" s="451">
        <v>61697.43</v>
      </c>
      <c r="R194" s="451">
        <v>-172038.52</v>
      </c>
      <c r="S194" s="451">
        <v>0</v>
      </c>
      <c r="T194" s="451">
        <v>0</v>
      </c>
      <c r="U194" s="451">
        <v>-172038.52</v>
      </c>
      <c r="V194" s="451">
        <v>1723442.65</v>
      </c>
      <c r="W194" s="451">
        <v>0</v>
      </c>
      <c r="X194" s="451">
        <v>0</v>
      </c>
      <c r="Y194" s="451">
        <v>1723442.65</v>
      </c>
      <c r="Z194" s="451">
        <v>45779.62</v>
      </c>
      <c r="AA194" s="451">
        <v>0</v>
      </c>
      <c r="AB194" s="451">
        <v>0</v>
      </c>
      <c r="AC194" s="451">
        <v>45779.62</v>
      </c>
      <c r="AD194" s="451">
        <v>949885.55</v>
      </c>
      <c r="AE194" s="451">
        <v>0</v>
      </c>
      <c r="AF194" s="451">
        <v>0</v>
      </c>
      <c r="AG194" s="451">
        <v>949885.55</v>
      </c>
      <c r="AH194" s="451">
        <v>-9503.59</v>
      </c>
      <c r="AI194" s="451">
        <v>0</v>
      </c>
      <c r="AJ194" s="451">
        <v>0</v>
      </c>
      <c r="AK194" s="451">
        <v>-9503.59</v>
      </c>
      <c r="AL194" s="451">
        <v>1189490.1299999999</v>
      </c>
      <c r="AM194" s="451">
        <v>0</v>
      </c>
      <c r="AN194" s="451">
        <v>0</v>
      </c>
      <c r="AO194" s="451">
        <v>1189490.1299999999</v>
      </c>
      <c r="AP194" s="451">
        <v>29273.82</v>
      </c>
      <c r="AQ194" s="451">
        <v>0</v>
      </c>
      <c r="AR194" s="451">
        <v>0</v>
      </c>
      <c r="AS194" s="451">
        <v>29273.82</v>
      </c>
      <c r="AT194" s="451">
        <v>16541.52</v>
      </c>
      <c r="AU194" s="451">
        <v>0</v>
      </c>
      <c r="AV194" s="451">
        <v>0</v>
      </c>
      <c r="AW194" s="451">
        <v>16541.52</v>
      </c>
      <c r="AX194" s="451">
        <v>0</v>
      </c>
      <c r="AY194" s="451">
        <v>0</v>
      </c>
      <c r="AZ194" s="451">
        <v>0</v>
      </c>
      <c r="BA194" s="451">
        <v>0</v>
      </c>
      <c r="BB194" s="451">
        <v>10487.63</v>
      </c>
      <c r="BC194" s="451">
        <v>0</v>
      </c>
      <c r="BD194" s="451">
        <v>0</v>
      </c>
      <c r="BE194" s="451">
        <v>10487.63</v>
      </c>
      <c r="BF194" s="451">
        <v>64.06</v>
      </c>
      <c r="BG194" s="451">
        <v>0</v>
      </c>
      <c r="BH194" s="451">
        <v>0</v>
      </c>
      <c r="BI194" s="451">
        <v>64.06</v>
      </c>
      <c r="BJ194" s="451">
        <v>291350.46000000002</v>
      </c>
      <c r="BK194" s="451">
        <v>0</v>
      </c>
      <c r="BL194" s="451">
        <v>0</v>
      </c>
      <c r="BM194" s="451">
        <v>291350.46000000002</v>
      </c>
      <c r="BN194" s="451">
        <v>87562.89</v>
      </c>
      <c r="BO194" s="451">
        <v>0</v>
      </c>
      <c r="BP194" s="451">
        <v>0</v>
      </c>
      <c r="BQ194" s="451">
        <v>87562.89</v>
      </c>
      <c r="BR194" s="451">
        <v>1852387.39</v>
      </c>
      <c r="BS194" s="451">
        <v>0</v>
      </c>
      <c r="BT194" s="451">
        <v>0</v>
      </c>
      <c r="BU194" s="451">
        <v>1852387.39</v>
      </c>
      <c r="BV194" s="451">
        <v>-9735.69</v>
      </c>
      <c r="BW194" s="451">
        <v>0</v>
      </c>
      <c r="BX194" s="451">
        <v>0</v>
      </c>
      <c r="BY194" s="451">
        <v>-9735.69</v>
      </c>
      <c r="BZ194" s="451">
        <v>43478.080000000002</v>
      </c>
      <c r="CA194" s="451">
        <v>0</v>
      </c>
      <c r="CB194" s="451">
        <v>0</v>
      </c>
      <c r="CC194" s="451">
        <v>43478.080000000002</v>
      </c>
      <c r="CD194" s="451">
        <v>830.78</v>
      </c>
      <c r="CE194" s="451">
        <v>0</v>
      </c>
      <c r="CF194" s="451">
        <v>0</v>
      </c>
      <c r="CG194" s="451">
        <v>830.78</v>
      </c>
      <c r="CH194" s="451">
        <v>70924.89</v>
      </c>
      <c r="CI194" s="451">
        <v>0</v>
      </c>
      <c r="CJ194" s="451">
        <v>0</v>
      </c>
      <c r="CK194" s="451">
        <v>70924.89</v>
      </c>
      <c r="CL194" s="451">
        <v>-2204.8000000000002</v>
      </c>
      <c r="CM194" s="451">
        <v>0</v>
      </c>
      <c r="CN194" s="451">
        <v>0</v>
      </c>
      <c r="CO194" s="451">
        <v>-2204.8000000000002</v>
      </c>
      <c r="CP194" s="451">
        <v>1538.99</v>
      </c>
      <c r="CQ194" s="451">
        <v>0</v>
      </c>
      <c r="CR194" s="451">
        <v>0</v>
      </c>
      <c r="CS194" s="451">
        <v>1538.99</v>
      </c>
      <c r="CT194" s="451">
        <v>0</v>
      </c>
      <c r="CU194" s="451">
        <v>0</v>
      </c>
      <c r="CV194" s="451">
        <v>0</v>
      </c>
      <c r="CW194" s="451">
        <v>0</v>
      </c>
      <c r="CX194" s="451">
        <v>10487.63</v>
      </c>
      <c r="CY194" s="451">
        <v>0</v>
      </c>
      <c r="CZ194" s="451">
        <v>0</v>
      </c>
      <c r="DA194" s="451">
        <v>10487.63</v>
      </c>
      <c r="DB194" s="451">
        <v>64.06</v>
      </c>
      <c r="DC194" s="451">
        <v>0</v>
      </c>
      <c r="DD194" s="451">
        <v>0</v>
      </c>
      <c r="DE194" s="451">
        <v>64.06</v>
      </c>
      <c r="DF194" s="451">
        <v>228.69</v>
      </c>
      <c r="DG194" s="451">
        <v>0</v>
      </c>
      <c r="DH194" s="451">
        <v>0</v>
      </c>
      <c r="DI194" s="451">
        <v>228.69</v>
      </c>
      <c r="DJ194" s="451">
        <v>0</v>
      </c>
      <c r="DK194" s="451">
        <v>0</v>
      </c>
      <c r="DL194" s="451">
        <v>0</v>
      </c>
      <c r="DM194" s="451">
        <v>0</v>
      </c>
      <c r="DN194" s="451">
        <v>0</v>
      </c>
      <c r="DO194" s="451">
        <v>0</v>
      </c>
      <c r="DP194" s="451">
        <v>0</v>
      </c>
      <c r="DQ194" s="451">
        <v>0</v>
      </c>
      <c r="DR194" s="451">
        <v>0</v>
      </c>
      <c r="DS194" s="451">
        <v>0</v>
      </c>
      <c r="DT194" s="451">
        <v>0</v>
      </c>
      <c r="DU194" s="451">
        <v>0</v>
      </c>
      <c r="DV194" s="451">
        <v>0</v>
      </c>
      <c r="DW194" s="451">
        <v>0</v>
      </c>
      <c r="DX194" s="451">
        <v>0</v>
      </c>
      <c r="DY194" s="451">
        <v>0</v>
      </c>
      <c r="DZ194" s="451">
        <v>0</v>
      </c>
      <c r="EA194" s="451">
        <v>0</v>
      </c>
      <c r="EB194" s="451">
        <v>0</v>
      </c>
      <c r="EC194" s="451">
        <v>0</v>
      </c>
      <c r="ED194" s="451">
        <v>0</v>
      </c>
      <c r="EE194" s="451">
        <v>0</v>
      </c>
      <c r="EF194" s="451">
        <v>0</v>
      </c>
      <c r="EG194" s="451">
        <v>0</v>
      </c>
      <c r="EH194" s="451">
        <v>0</v>
      </c>
      <c r="EI194" s="451">
        <v>0</v>
      </c>
      <c r="EJ194" s="451">
        <v>0</v>
      </c>
      <c r="EK194" s="451">
        <v>0</v>
      </c>
      <c r="EL194" s="451">
        <v>0</v>
      </c>
      <c r="EM194" s="451">
        <v>0</v>
      </c>
    </row>
    <row r="195" spans="1:143" ht="12.75" x14ac:dyDescent="0.2">
      <c r="A195" s="446">
        <v>189</v>
      </c>
      <c r="B195" s="447" t="s">
        <v>261</v>
      </c>
      <c r="C195" s="448" t="s">
        <v>1093</v>
      </c>
      <c r="D195" s="449" t="s">
        <v>1096</v>
      </c>
      <c r="E195" s="450" t="s">
        <v>260</v>
      </c>
      <c r="F195" s="451">
        <v>68982.69</v>
      </c>
      <c r="G195" s="451">
        <v>0</v>
      </c>
      <c r="H195" s="451">
        <v>0</v>
      </c>
      <c r="I195" s="451">
        <v>68982.69</v>
      </c>
      <c r="J195" s="451">
        <v>-194635.93</v>
      </c>
      <c r="K195" s="451">
        <v>0</v>
      </c>
      <c r="L195" s="451">
        <v>0</v>
      </c>
      <c r="M195" s="451">
        <v>-194635.93</v>
      </c>
      <c r="N195" s="451">
        <v>718808.18</v>
      </c>
      <c r="O195" s="451">
        <v>0</v>
      </c>
      <c r="P195" s="451">
        <v>9781.48</v>
      </c>
      <c r="Q195" s="451">
        <v>728589.66</v>
      </c>
      <c r="R195" s="451">
        <v>1949811.4</v>
      </c>
      <c r="S195" s="451">
        <v>0</v>
      </c>
      <c r="T195" s="451">
        <v>67104.740000000005</v>
      </c>
      <c r="U195" s="451">
        <v>2016916.14</v>
      </c>
      <c r="V195" s="451">
        <v>3300685.1</v>
      </c>
      <c r="W195" s="451">
        <v>0</v>
      </c>
      <c r="X195" s="451">
        <v>65205.16</v>
      </c>
      <c r="Y195" s="451">
        <v>3365890.26</v>
      </c>
      <c r="Z195" s="451">
        <v>138152.24</v>
      </c>
      <c r="AA195" s="451">
        <v>0</v>
      </c>
      <c r="AB195" s="451">
        <v>0</v>
      </c>
      <c r="AC195" s="451">
        <v>138152.24</v>
      </c>
      <c r="AD195" s="451">
        <v>1911572.93</v>
      </c>
      <c r="AE195" s="451">
        <v>0</v>
      </c>
      <c r="AF195" s="451">
        <v>80859.88</v>
      </c>
      <c r="AG195" s="451">
        <v>1992432.81</v>
      </c>
      <c r="AH195" s="451">
        <v>-44235.54</v>
      </c>
      <c r="AI195" s="451">
        <v>0</v>
      </c>
      <c r="AJ195" s="451">
        <v>-4203.12</v>
      </c>
      <c r="AK195" s="451">
        <v>-48438.66</v>
      </c>
      <c r="AL195" s="451">
        <v>6244840.0899999999</v>
      </c>
      <c r="AM195" s="451">
        <v>0</v>
      </c>
      <c r="AN195" s="451">
        <v>86833.56</v>
      </c>
      <c r="AO195" s="451">
        <v>6331673.6500000004</v>
      </c>
      <c r="AP195" s="451">
        <v>-7394.1</v>
      </c>
      <c r="AQ195" s="451">
        <v>0</v>
      </c>
      <c r="AR195" s="451">
        <v>0</v>
      </c>
      <c r="AS195" s="451">
        <v>-7394.1</v>
      </c>
      <c r="AT195" s="451">
        <v>15072</v>
      </c>
      <c r="AU195" s="451">
        <v>0</v>
      </c>
      <c r="AV195" s="451">
        <v>0</v>
      </c>
      <c r="AW195" s="451">
        <v>15072</v>
      </c>
      <c r="AX195" s="451">
        <v>0</v>
      </c>
      <c r="AY195" s="451">
        <v>0</v>
      </c>
      <c r="AZ195" s="451">
        <v>0</v>
      </c>
      <c r="BA195" s="451">
        <v>0</v>
      </c>
      <c r="BB195" s="451">
        <v>0</v>
      </c>
      <c r="BC195" s="451">
        <v>0</v>
      </c>
      <c r="BD195" s="451">
        <v>0</v>
      </c>
      <c r="BE195" s="451">
        <v>0</v>
      </c>
      <c r="BF195" s="451">
        <v>0</v>
      </c>
      <c r="BG195" s="451">
        <v>0</v>
      </c>
      <c r="BH195" s="451">
        <v>0</v>
      </c>
      <c r="BI195" s="451">
        <v>0</v>
      </c>
      <c r="BJ195" s="451">
        <v>622221.21</v>
      </c>
      <c r="BK195" s="451">
        <v>0</v>
      </c>
      <c r="BL195" s="451">
        <v>132291.88</v>
      </c>
      <c r="BM195" s="451">
        <v>754513.09</v>
      </c>
      <c r="BN195" s="451">
        <v>178487.46</v>
      </c>
      <c r="BO195" s="451">
        <v>0</v>
      </c>
      <c r="BP195" s="451">
        <v>6369.53</v>
      </c>
      <c r="BQ195" s="451">
        <v>184856.99</v>
      </c>
      <c r="BR195" s="451">
        <v>5029832.33</v>
      </c>
      <c r="BS195" s="451">
        <v>0</v>
      </c>
      <c r="BT195" s="451">
        <v>80034.06</v>
      </c>
      <c r="BU195" s="451">
        <v>5109866.3899999997</v>
      </c>
      <c r="BV195" s="451">
        <v>228450.52</v>
      </c>
      <c r="BW195" s="451">
        <v>0</v>
      </c>
      <c r="BX195" s="451">
        <v>-40973.440000000002</v>
      </c>
      <c r="BY195" s="451">
        <v>187477.08</v>
      </c>
      <c r="BZ195" s="451">
        <v>216179.9</v>
      </c>
      <c r="CA195" s="451">
        <v>0</v>
      </c>
      <c r="CB195" s="451">
        <v>5118.58</v>
      </c>
      <c r="CC195" s="451">
        <v>221298.48</v>
      </c>
      <c r="CD195" s="451">
        <v>-4040.59</v>
      </c>
      <c r="CE195" s="451">
        <v>0</v>
      </c>
      <c r="CF195" s="451">
        <v>0</v>
      </c>
      <c r="CG195" s="451">
        <v>-4040.59</v>
      </c>
      <c r="CH195" s="451">
        <v>184290.12</v>
      </c>
      <c r="CI195" s="451">
        <v>0</v>
      </c>
      <c r="CJ195" s="451">
        <v>0</v>
      </c>
      <c r="CK195" s="451">
        <v>184290.12</v>
      </c>
      <c r="CL195" s="451">
        <v>-10917.76</v>
      </c>
      <c r="CM195" s="451">
        <v>0</v>
      </c>
      <c r="CN195" s="451">
        <v>0</v>
      </c>
      <c r="CO195" s="451">
        <v>-10917.76</v>
      </c>
      <c r="CP195" s="451">
        <v>2826</v>
      </c>
      <c r="CQ195" s="451">
        <v>0</v>
      </c>
      <c r="CR195" s="451">
        <v>0</v>
      </c>
      <c r="CS195" s="451">
        <v>2826</v>
      </c>
      <c r="CT195" s="451">
        <v>0</v>
      </c>
      <c r="CU195" s="451">
        <v>0</v>
      </c>
      <c r="CV195" s="451">
        <v>0</v>
      </c>
      <c r="CW195" s="451">
        <v>0</v>
      </c>
      <c r="CX195" s="451">
        <v>0</v>
      </c>
      <c r="CY195" s="451">
        <v>0</v>
      </c>
      <c r="CZ195" s="451">
        <v>0</v>
      </c>
      <c r="DA195" s="451">
        <v>0</v>
      </c>
      <c r="DB195" s="451">
        <v>0</v>
      </c>
      <c r="DC195" s="451">
        <v>0</v>
      </c>
      <c r="DD195" s="451">
        <v>0</v>
      </c>
      <c r="DE195" s="451">
        <v>0</v>
      </c>
      <c r="DF195" s="451">
        <v>0</v>
      </c>
      <c r="DG195" s="451">
        <v>0</v>
      </c>
      <c r="DH195" s="451">
        <v>0</v>
      </c>
      <c r="DI195" s="451">
        <v>0</v>
      </c>
      <c r="DJ195" s="451">
        <v>0</v>
      </c>
      <c r="DK195" s="451">
        <v>0</v>
      </c>
      <c r="DL195" s="451">
        <v>0</v>
      </c>
      <c r="DM195" s="451">
        <v>0</v>
      </c>
      <c r="DN195" s="451">
        <v>0</v>
      </c>
      <c r="DO195" s="451">
        <v>0</v>
      </c>
      <c r="DP195" s="451">
        <v>1961148</v>
      </c>
      <c r="DQ195" s="451">
        <v>1961148</v>
      </c>
      <c r="DR195" s="451">
        <v>0</v>
      </c>
      <c r="DS195" s="451">
        <v>0</v>
      </c>
      <c r="DT195" s="451">
        <v>144501</v>
      </c>
      <c r="DU195" s="451">
        <v>144501</v>
      </c>
      <c r="DV195" s="451">
        <v>2105648.5099999998</v>
      </c>
      <c r="DW195" s="451">
        <v>0</v>
      </c>
      <c r="DX195" s="451">
        <v>0</v>
      </c>
      <c r="DY195" s="451">
        <v>0</v>
      </c>
      <c r="DZ195" s="451">
        <v>0</v>
      </c>
      <c r="EA195" s="451">
        <v>0</v>
      </c>
      <c r="EB195" s="451">
        <v>0</v>
      </c>
      <c r="EC195" s="451">
        <v>0</v>
      </c>
      <c r="ED195" s="451">
        <v>0</v>
      </c>
      <c r="EE195" s="451">
        <v>0</v>
      </c>
      <c r="EF195" s="451">
        <v>0</v>
      </c>
      <c r="EG195" s="451">
        <v>0</v>
      </c>
      <c r="EH195" s="451">
        <v>0</v>
      </c>
      <c r="EI195" s="451">
        <v>0</v>
      </c>
      <c r="EJ195" s="451">
        <v>0</v>
      </c>
      <c r="EK195" s="451">
        <v>0</v>
      </c>
      <c r="EL195" s="451">
        <v>0</v>
      </c>
      <c r="EM195" s="451">
        <v>0</v>
      </c>
    </row>
    <row r="196" spans="1:143" ht="12.75" x14ac:dyDescent="0.2">
      <c r="A196" s="446">
        <v>190</v>
      </c>
      <c r="B196" s="447" t="s">
        <v>263</v>
      </c>
      <c r="C196" s="448" t="s">
        <v>794</v>
      </c>
      <c r="D196" s="449" t="s">
        <v>1105</v>
      </c>
      <c r="E196" s="450" t="s">
        <v>262</v>
      </c>
      <c r="F196" s="451">
        <v>436042.57</v>
      </c>
      <c r="G196" s="451">
        <v>0</v>
      </c>
      <c r="H196" s="451">
        <v>0</v>
      </c>
      <c r="I196" s="451">
        <v>436042.57</v>
      </c>
      <c r="J196" s="451">
        <v>-263461.43</v>
      </c>
      <c r="K196" s="451">
        <v>0</v>
      </c>
      <c r="L196" s="451">
        <v>0</v>
      </c>
      <c r="M196" s="451">
        <v>-263461.43</v>
      </c>
      <c r="N196" s="451">
        <v>12117.06</v>
      </c>
      <c r="O196" s="451">
        <v>0</v>
      </c>
      <c r="P196" s="451">
        <v>0</v>
      </c>
      <c r="Q196" s="451">
        <v>12117.06</v>
      </c>
      <c r="R196" s="451">
        <v>-280978.44</v>
      </c>
      <c r="S196" s="451">
        <v>0</v>
      </c>
      <c r="T196" s="451">
        <v>0</v>
      </c>
      <c r="U196" s="451">
        <v>-280978.44</v>
      </c>
      <c r="V196" s="451">
        <v>7067365.2999999998</v>
      </c>
      <c r="W196" s="451">
        <v>0</v>
      </c>
      <c r="X196" s="451">
        <v>0</v>
      </c>
      <c r="Y196" s="451">
        <v>7067365.2999999998</v>
      </c>
      <c r="Z196" s="451">
        <v>477102.39</v>
      </c>
      <c r="AA196" s="451">
        <v>0</v>
      </c>
      <c r="AB196" s="451">
        <v>0</v>
      </c>
      <c r="AC196" s="451">
        <v>477102.39</v>
      </c>
      <c r="AD196" s="451">
        <v>1410803.86</v>
      </c>
      <c r="AE196" s="451">
        <v>0</v>
      </c>
      <c r="AF196" s="451">
        <v>0</v>
      </c>
      <c r="AG196" s="451">
        <v>1410803.86</v>
      </c>
      <c r="AH196" s="451">
        <v>51789.11</v>
      </c>
      <c r="AI196" s="451">
        <v>0</v>
      </c>
      <c r="AJ196" s="451">
        <v>0</v>
      </c>
      <c r="AK196" s="451">
        <v>51789.11</v>
      </c>
      <c r="AL196" s="451">
        <v>5677638.7000000002</v>
      </c>
      <c r="AM196" s="451">
        <v>0</v>
      </c>
      <c r="AN196" s="451">
        <v>0</v>
      </c>
      <c r="AO196" s="451">
        <v>5677638.7000000002</v>
      </c>
      <c r="AP196" s="451">
        <v>-61707.45</v>
      </c>
      <c r="AQ196" s="451">
        <v>0</v>
      </c>
      <c r="AR196" s="451">
        <v>0</v>
      </c>
      <c r="AS196" s="451">
        <v>-61707.45</v>
      </c>
      <c r="AT196" s="451">
        <v>177664.91</v>
      </c>
      <c r="AU196" s="451">
        <v>0</v>
      </c>
      <c r="AV196" s="451">
        <v>0</v>
      </c>
      <c r="AW196" s="451">
        <v>177664.91</v>
      </c>
      <c r="AX196" s="451">
        <v>-4764.4399999999996</v>
      </c>
      <c r="AY196" s="451">
        <v>0</v>
      </c>
      <c r="AZ196" s="451">
        <v>0</v>
      </c>
      <c r="BA196" s="451">
        <v>-4764.4399999999996</v>
      </c>
      <c r="BB196" s="451">
        <v>97502.02</v>
      </c>
      <c r="BC196" s="451">
        <v>0</v>
      </c>
      <c r="BD196" s="451">
        <v>0</v>
      </c>
      <c r="BE196" s="451">
        <v>97502.02</v>
      </c>
      <c r="BF196" s="451">
        <v>7341.04</v>
      </c>
      <c r="BG196" s="451">
        <v>0</v>
      </c>
      <c r="BH196" s="451">
        <v>0</v>
      </c>
      <c r="BI196" s="451">
        <v>7341.04</v>
      </c>
      <c r="BJ196" s="451">
        <v>40044.339999999997</v>
      </c>
      <c r="BK196" s="451">
        <v>0</v>
      </c>
      <c r="BL196" s="451">
        <v>0</v>
      </c>
      <c r="BM196" s="451">
        <v>40044.339999999997</v>
      </c>
      <c r="BN196" s="451">
        <v>22596.14</v>
      </c>
      <c r="BO196" s="451">
        <v>0</v>
      </c>
      <c r="BP196" s="451">
        <v>0</v>
      </c>
      <c r="BQ196" s="451">
        <v>22596.14</v>
      </c>
      <c r="BR196" s="451">
        <v>2513349.23</v>
      </c>
      <c r="BS196" s="451">
        <v>0</v>
      </c>
      <c r="BT196" s="451">
        <v>0</v>
      </c>
      <c r="BU196" s="451">
        <v>2513349.23</v>
      </c>
      <c r="BV196" s="451">
        <v>-55109.36</v>
      </c>
      <c r="BW196" s="451">
        <v>0</v>
      </c>
      <c r="BX196" s="451">
        <v>0</v>
      </c>
      <c r="BY196" s="451">
        <v>-55109.36</v>
      </c>
      <c r="BZ196" s="451">
        <v>546936.63</v>
      </c>
      <c r="CA196" s="451">
        <v>0</v>
      </c>
      <c r="CB196" s="451">
        <v>0</v>
      </c>
      <c r="CC196" s="451">
        <v>546936.63</v>
      </c>
      <c r="CD196" s="451">
        <v>6840.81</v>
      </c>
      <c r="CE196" s="451">
        <v>0</v>
      </c>
      <c r="CF196" s="451">
        <v>0</v>
      </c>
      <c r="CG196" s="451">
        <v>6840.81</v>
      </c>
      <c r="CH196" s="451">
        <v>342366.16</v>
      </c>
      <c r="CI196" s="451">
        <v>0</v>
      </c>
      <c r="CJ196" s="451">
        <v>0</v>
      </c>
      <c r="CK196" s="451">
        <v>342366.16</v>
      </c>
      <c r="CL196" s="451">
        <v>-2424.46</v>
      </c>
      <c r="CM196" s="451">
        <v>0</v>
      </c>
      <c r="CN196" s="451">
        <v>0</v>
      </c>
      <c r="CO196" s="451">
        <v>-2424.46</v>
      </c>
      <c r="CP196" s="451">
        <v>19312.37</v>
      </c>
      <c r="CQ196" s="451">
        <v>0</v>
      </c>
      <c r="CR196" s="451">
        <v>0</v>
      </c>
      <c r="CS196" s="451">
        <v>19312.37</v>
      </c>
      <c r="CT196" s="451">
        <v>1287.07</v>
      </c>
      <c r="CU196" s="451">
        <v>0</v>
      </c>
      <c r="CV196" s="451">
        <v>0</v>
      </c>
      <c r="CW196" s="451">
        <v>1287.07</v>
      </c>
      <c r="CX196" s="451">
        <v>9536.7199999999993</v>
      </c>
      <c r="CY196" s="451">
        <v>0</v>
      </c>
      <c r="CZ196" s="451">
        <v>0</v>
      </c>
      <c r="DA196" s="451">
        <v>9536.7199999999993</v>
      </c>
      <c r="DB196" s="451">
        <v>2863.93</v>
      </c>
      <c r="DC196" s="451">
        <v>0</v>
      </c>
      <c r="DD196" s="451">
        <v>0</v>
      </c>
      <c r="DE196" s="451">
        <v>2863.93</v>
      </c>
      <c r="DF196" s="451">
        <v>8374.6200000000008</v>
      </c>
      <c r="DG196" s="451">
        <v>0</v>
      </c>
      <c r="DH196" s="451">
        <v>0</v>
      </c>
      <c r="DI196" s="451">
        <v>8374.6200000000008</v>
      </c>
      <c r="DJ196" s="451">
        <v>-778.52</v>
      </c>
      <c r="DK196" s="451">
        <v>0</v>
      </c>
      <c r="DL196" s="451">
        <v>0</v>
      </c>
      <c r="DM196" s="451">
        <v>-778.52</v>
      </c>
      <c r="DN196" s="451">
        <v>0</v>
      </c>
      <c r="DO196" s="451">
        <v>0</v>
      </c>
      <c r="DP196" s="451">
        <v>12370.67</v>
      </c>
      <c r="DQ196" s="451">
        <v>12370.67</v>
      </c>
      <c r="DR196" s="451">
        <v>22556.5</v>
      </c>
      <c r="DS196" s="451">
        <v>0</v>
      </c>
      <c r="DT196" s="451">
        <v>-458</v>
      </c>
      <c r="DU196" s="451">
        <v>22098.5</v>
      </c>
      <c r="DV196" s="451">
        <v>11912.67</v>
      </c>
      <c r="DW196" s="451">
        <v>0</v>
      </c>
      <c r="DX196" s="451">
        <v>0</v>
      </c>
      <c r="DY196" s="451">
        <v>0</v>
      </c>
      <c r="DZ196" s="451">
        <v>0</v>
      </c>
      <c r="EA196" s="451">
        <v>0</v>
      </c>
      <c r="EB196" s="451">
        <v>0</v>
      </c>
      <c r="EC196" s="451">
        <v>0</v>
      </c>
      <c r="ED196" s="451">
        <v>0</v>
      </c>
      <c r="EE196" s="451">
        <v>0</v>
      </c>
      <c r="EF196" s="451">
        <v>0</v>
      </c>
      <c r="EG196" s="451">
        <v>0</v>
      </c>
      <c r="EH196" s="451">
        <v>0</v>
      </c>
      <c r="EI196" s="451">
        <v>0</v>
      </c>
      <c r="EJ196" s="451">
        <v>2124.7600000000002</v>
      </c>
      <c r="EK196" s="451">
        <v>0</v>
      </c>
      <c r="EL196" s="451">
        <v>0</v>
      </c>
      <c r="EM196" s="451">
        <v>2124.7600000000002</v>
      </c>
    </row>
    <row r="197" spans="1:143" ht="12.75" x14ac:dyDescent="0.2">
      <c r="A197" s="446">
        <v>191</v>
      </c>
      <c r="B197" s="447" t="s">
        <v>265</v>
      </c>
      <c r="C197" s="448" t="s">
        <v>1093</v>
      </c>
      <c r="D197" s="449" t="s">
        <v>1097</v>
      </c>
      <c r="E197" s="450" t="s">
        <v>264</v>
      </c>
      <c r="F197" s="451">
        <v>114658</v>
      </c>
      <c r="G197" s="451">
        <v>0</v>
      </c>
      <c r="H197" s="451">
        <v>0</v>
      </c>
      <c r="I197" s="451">
        <v>114658</v>
      </c>
      <c r="J197" s="451">
        <v>0</v>
      </c>
      <c r="K197" s="451">
        <v>0</v>
      </c>
      <c r="L197" s="451">
        <v>0</v>
      </c>
      <c r="M197" s="451">
        <v>0</v>
      </c>
      <c r="N197" s="451">
        <v>107693</v>
      </c>
      <c r="O197" s="451">
        <v>0</v>
      </c>
      <c r="P197" s="451">
        <v>0</v>
      </c>
      <c r="Q197" s="451">
        <v>107693</v>
      </c>
      <c r="R197" s="451">
        <v>950864</v>
      </c>
      <c r="S197" s="451">
        <v>0</v>
      </c>
      <c r="T197" s="451">
        <v>0</v>
      </c>
      <c r="U197" s="451">
        <v>950864</v>
      </c>
      <c r="V197" s="451">
        <v>3000844</v>
      </c>
      <c r="W197" s="451">
        <v>0</v>
      </c>
      <c r="X197" s="451">
        <v>0</v>
      </c>
      <c r="Y197" s="451">
        <v>3000844</v>
      </c>
      <c r="Z197" s="451">
        <v>114984</v>
      </c>
      <c r="AA197" s="451">
        <v>0</v>
      </c>
      <c r="AB197" s="451">
        <v>0</v>
      </c>
      <c r="AC197" s="451">
        <v>114984</v>
      </c>
      <c r="AD197" s="451">
        <v>1561537</v>
      </c>
      <c r="AE197" s="451">
        <v>0</v>
      </c>
      <c r="AF197" s="451">
        <v>0</v>
      </c>
      <c r="AG197" s="451">
        <v>1561537</v>
      </c>
      <c r="AH197" s="451">
        <v>14092</v>
      </c>
      <c r="AI197" s="451">
        <v>0</v>
      </c>
      <c r="AJ197" s="451">
        <v>0</v>
      </c>
      <c r="AK197" s="451">
        <v>14092</v>
      </c>
      <c r="AL197" s="451">
        <v>5051995</v>
      </c>
      <c r="AM197" s="451">
        <v>0</v>
      </c>
      <c r="AN197" s="451">
        <v>0</v>
      </c>
      <c r="AO197" s="451">
        <v>5051995</v>
      </c>
      <c r="AP197" s="451">
        <v>152789</v>
      </c>
      <c r="AQ197" s="451">
        <v>0</v>
      </c>
      <c r="AR197" s="451">
        <v>0</v>
      </c>
      <c r="AS197" s="451">
        <v>152789</v>
      </c>
      <c r="AT197" s="451">
        <v>23511</v>
      </c>
      <c r="AU197" s="451">
        <v>0</v>
      </c>
      <c r="AV197" s="451">
        <v>0</v>
      </c>
      <c r="AW197" s="451">
        <v>23511</v>
      </c>
      <c r="AX197" s="451">
        <v>0</v>
      </c>
      <c r="AY197" s="451">
        <v>0</v>
      </c>
      <c r="AZ197" s="451">
        <v>0</v>
      </c>
      <c r="BA197" s="451">
        <v>0</v>
      </c>
      <c r="BB197" s="451">
        <v>0</v>
      </c>
      <c r="BC197" s="451">
        <v>0</v>
      </c>
      <c r="BD197" s="451">
        <v>0</v>
      </c>
      <c r="BE197" s="451">
        <v>0</v>
      </c>
      <c r="BF197" s="451">
        <v>0</v>
      </c>
      <c r="BG197" s="451">
        <v>0</v>
      </c>
      <c r="BH197" s="451">
        <v>0</v>
      </c>
      <c r="BI197" s="451">
        <v>0</v>
      </c>
      <c r="BJ197" s="451">
        <v>23297</v>
      </c>
      <c r="BK197" s="451">
        <v>0</v>
      </c>
      <c r="BL197" s="451">
        <v>0</v>
      </c>
      <c r="BM197" s="451">
        <v>23297</v>
      </c>
      <c r="BN197" s="451">
        <v>25782</v>
      </c>
      <c r="BO197" s="451">
        <v>0</v>
      </c>
      <c r="BP197" s="451">
        <v>0</v>
      </c>
      <c r="BQ197" s="451">
        <v>25782</v>
      </c>
      <c r="BR197" s="451">
        <v>4227666</v>
      </c>
      <c r="BS197" s="451">
        <v>0</v>
      </c>
      <c r="BT197" s="451">
        <v>0</v>
      </c>
      <c r="BU197" s="451">
        <v>4227666</v>
      </c>
      <c r="BV197" s="451">
        <v>145611</v>
      </c>
      <c r="BW197" s="451">
        <v>0</v>
      </c>
      <c r="BX197" s="451">
        <v>0</v>
      </c>
      <c r="BY197" s="451">
        <v>145611</v>
      </c>
      <c r="BZ197" s="451">
        <v>106112</v>
      </c>
      <c r="CA197" s="451">
        <v>0</v>
      </c>
      <c r="CB197" s="451">
        <v>0</v>
      </c>
      <c r="CC197" s="451">
        <v>106112</v>
      </c>
      <c r="CD197" s="451">
        <v>-880</v>
      </c>
      <c r="CE197" s="451">
        <v>0</v>
      </c>
      <c r="CF197" s="451">
        <v>0</v>
      </c>
      <c r="CG197" s="451">
        <v>-880</v>
      </c>
      <c r="CH197" s="451">
        <v>56358</v>
      </c>
      <c r="CI197" s="451">
        <v>0</v>
      </c>
      <c r="CJ197" s="451">
        <v>0</v>
      </c>
      <c r="CK197" s="451">
        <v>56358</v>
      </c>
      <c r="CL197" s="451">
        <v>1377</v>
      </c>
      <c r="CM197" s="451">
        <v>0</v>
      </c>
      <c r="CN197" s="451">
        <v>0</v>
      </c>
      <c r="CO197" s="451">
        <v>1377</v>
      </c>
      <c r="CP197" s="451">
        <v>0</v>
      </c>
      <c r="CQ197" s="451">
        <v>0</v>
      </c>
      <c r="CR197" s="451">
        <v>0</v>
      </c>
      <c r="CS197" s="451">
        <v>0</v>
      </c>
      <c r="CT197" s="451">
        <v>0</v>
      </c>
      <c r="CU197" s="451">
        <v>0</v>
      </c>
      <c r="CV197" s="451">
        <v>0</v>
      </c>
      <c r="CW197" s="451">
        <v>0</v>
      </c>
      <c r="CX197" s="451">
        <v>0</v>
      </c>
      <c r="CY197" s="451">
        <v>0</v>
      </c>
      <c r="CZ197" s="451">
        <v>0</v>
      </c>
      <c r="DA197" s="451">
        <v>0</v>
      </c>
      <c r="DB197" s="451">
        <v>0</v>
      </c>
      <c r="DC197" s="451">
        <v>0</v>
      </c>
      <c r="DD197" s="451">
        <v>0</v>
      </c>
      <c r="DE197" s="451">
        <v>0</v>
      </c>
      <c r="DF197" s="451">
        <v>0</v>
      </c>
      <c r="DG197" s="451">
        <v>0</v>
      </c>
      <c r="DH197" s="451">
        <v>0</v>
      </c>
      <c r="DI197" s="451">
        <v>0</v>
      </c>
      <c r="DJ197" s="451">
        <v>0</v>
      </c>
      <c r="DK197" s="451">
        <v>0</v>
      </c>
      <c r="DL197" s="451">
        <v>0</v>
      </c>
      <c r="DM197" s="451">
        <v>0</v>
      </c>
      <c r="DN197" s="451">
        <v>0</v>
      </c>
      <c r="DO197" s="451">
        <v>0</v>
      </c>
      <c r="DP197" s="451">
        <v>0</v>
      </c>
      <c r="DQ197" s="451">
        <v>0</v>
      </c>
      <c r="DR197" s="451">
        <v>0</v>
      </c>
      <c r="DS197" s="451">
        <v>0</v>
      </c>
      <c r="DT197" s="451">
        <v>0</v>
      </c>
      <c r="DU197" s="451">
        <v>0</v>
      </c>
      <c r="DV197" s="451">
        <v>0</v>
      </c>
      <c r="DW197" s="451">
        <v>0</v>
      </c>
      <c r="DX197" s="451">
        <v>0</v>
      </c>
      <c r="DY197" s="451">
        <v>0</v>
      </c>
      <c r="DZ197" s="451">
        <v>0</v>
      </c>
      <c r="EA197" s="451">
        <v>0</v>
      </c>
      <c r="EB197" s="451">
        <v>0</v>
      </c>
      <c r="EC197" s="451">
        <v>0</v>
      </c>
      <c r="ED197" s="451">
        <v>0</v>
      </c>
      <c r="EE197" s="451">
        <v>0</v>
      </c>
      <c r="EF197" s="451">
        <v>0</v>
      </c>
      <c r="EG197" s="451">
        <v>0</v>
      </c>
      <c r="EH197" s="451">
        <v>0</v>
      </c>
      <c r="EI197" s="451">
        <v>0</v>
      </c>
      <c r="EJ197" s="451">
        <v>0</v>
      </c>
      <c r="EK197" s="451">
        <v>0</v>
      </c>
      <c r="EL197" s="451">
        <v>0</v>
      </c>
      <c r="EM197" s="451">
        <v>0</v>
      </c>
    </row>
    <row r="198" spans="1:143" ht="12.75" x14ac:dyDescent="0.2">
      <c r="A198" s="446">
        <v>192</v>
      </c>
      <c r="B198" s="447" t="s">
        <v>267</v>
      </c>
      <c r="C198" s="448" t="s">
        <v>794</v>
      </c>
      <c r="D198" s="449" t="s">
        <v>1096</v>
      </c>
      <c r="E198" s="450" t="s">
        <v>732</v>
      </c>
      <c r="F198" s="451">
        <v>101468</v>
      </c>
      <c r="G198" s="451">
        <v>4295</v>
      </c>
      <c r="H198" s="451">
        <v>0</v>
      </c>
      <c r="I198" s="451">
        <v>105763</v>
      </c>
      <c r="J198" s="451">
        <v>44029</v>
      </c>
      <c r="K198" s="451">
        <v>0</v>
      </c>
      <c r="L198" s="451">
        <v>0</v>
      </c>
      <c r="M198" s="451">
        <v>44029</v>
      </c>
      <c r="N198" s="451">
        <v>681763</v>
      </c>
      <c r="O198" s="451">
        <v>38923</v>
      </c>
      <c r="P198" s="451">
        <v>881</v>
      </c>
      <c r="Q198" s="451">
        <v>721567</v>
      </c>
      <c r="R198" s="451">
        <v>211920</v>
      </c>
      <c r="S198" s="451">
        <v>0</v>
      </c>
      <c r="T198" s="451">
        <v>409</v>
      </c>
      <c r="U198" s="451">
        <v>212329</v>
      </c>
      <c r="V198" s="451">
        <v>4637079</v>
      </c>
      <c r="W198" s="451">
        <v>197205</v>
      </c>
      <c r="X198" s="451">
        <v>2599</v>
      </c>
      <c r="Y198" s="451">
        <v>4836883</v>
      </c>
      <c r="Z198" s="451">
        <v>162066</v>
      </c>
      <c r="AA198" s="451">
        <v>0</v>
      </c>
      <c r="AB198" s="451">
        <v>0</v>
      </c>
      <c r="AC198" s="451">
        <v>162066</v>
      </c>
      <c r="AD198" s="451">
        <v>2466898</v>
      </c>
      <c r="AE198" s="451">
        <v>102787</v>
      </c>
      <c r="AF198" s="451">
        <v>75400</v>
      </c>
      <c r="AG198" s="451">
        <v>2645085</v>
      </c>
      <c r="AH198" s="451">
        <v>17931</v>
      </c>
      <c r="AI198" s="451">
        <v>0</v>
      </c>
      <c r="AJ198" s="451">
        <v>0</v>
      </c>
      <c r="AK198" s="451">
        <v>17931</v>
      </c>
      <c r="AL198" s="451">
        <v>11593231</v>
      </c>
      <c r="AM198" s="451">
        <v>521703</v>
      </c>
      <c r="AN198" s="451">
        <v>0</v>
      </c>
      <c r="AO198" s="451">
        <v>12114934</v>
      </c>
      <c r="AP198" s="451">
        <v>10908</v>
      </c>
      <c r="AQ198" s="451">
        <v>0</v>
      </c>
      <c r="AR198" s="451">
        <v>0</v>
      </c>
      <c r="AS198" s="451">
        <v>10908</v>
      </c>
      <c r="AT198" s="451">
        <v>45308</v>
      </c>
      <c r="AU198" s="451">
        <v>0</v>
      </c>
      <c r="AV198" s="451">
        <v>0</v>
      </c>
      <c r="AW198" s="451">
        <v>45308</v>
      </c>
      <c r="AX198" s="451">
        <v>0</v>
      </c>
      <c r="AY198" s="451">
        <v>0</v>
      </c>
      <c r="AZ198" s="451">
        <v>0</v>
      </c>
      <c r="BA198" s="451">
        <v>0</v>
      </c>
      <c r="BB198" s="451">
        <v>0</v>
      </c>
      <c r="BC198" s="451">
        <v>0</v>
      </c>
      <c r="BD198" s="451">
        <v>0</v>
      </c>
      <c r="BE198" s="451">
        <v>0</v>
      </c>
      <c r="BF198" s="451">
        <v>0</v>
      </c>
      <c r="BG198" s="451">
        <v>0</v>
      </c>
      <c r="BH198" s="451">
        <v>0</v>
      </c>
      <c r="BI198" s="451">
        <v>0</v>
      </c>
      <c r="BJ198" s="451">
        <v>111283</v>
      </c>
      <c r="BK198" s="451">
        <v>7922</v>
      </c>
      <c r="BL198" s="451">
        <v>17167</v>
      </c>
      <c r="BM198" s="451">
        <v>136372</v>
      </c>
      <c r="BN198" s="451">
        <v>239184</v>
      </c>
      <c r="BO198" s="451">
        <v>0</v>
      </c>
      <c r="BP198" s="451">
        <v>0</v>
      </c>
      <c r="BQ198" s="451">
        <v>239184</v>
      </c>
      <c r="BR198" s="451">
        <v>6219159</v>
      </c>
      <c r="BS198" s="451">
        <v>567331</v>
      </c>
      <c r="BT198" s="451">
        <v>0</v>
      </c>
      <c r="BU198" s="451">
        <v>6786490</v>
      </c>
      <c r="BV198" s="451">
        <v>301686</v>
      </c>
      <c r="BW198" s="451">
        <v>0</v>
      </c>
      <c r="BX198" s="451">
        <v>0</v>
      </c>
      <c r="BY198" s="451">
        <v>301686</v>
      </c>
      <c r="BZ198" s="451">
        <v>148161</v>
      </c>
      <c r="CA198" s="451">
        <v>1677</v>
      </c>
      <c r="CB198" s="451">
        <v>0</v>
      </c>
      <c r="CC198" s="451">
        <v>149838</v>
      </c>
      <c r="CD198" s="451">
        <v>4692</v>
      </c>
      <c r="CE198" s="451">
        <v>0</v>
      </c>
      <c r="CF198" s="451">
        <v>0</v>
      </c>
      <c r="CG198" s="451">
        <v>4692</v>
      </c>
      <c r="CH198" s="451">
        <v>247540</v>
      </c>
      <c r="CI198" s="451">
        <v>263194</v>
      </c>
      <c r="CJ198" s="451">
        <v>0</v>
      </c>
      <c r="CK198" s="451">
        <v>510734</v>
      </c>
      <c r="CL198" s="451">
        <v>25958</v>
      </c>
      <c r="CM198" s="451">
        <v>0</v>
      </c>
      <c r="CN198" s="451">
        <v>0</v>
      </c>
      <c r="CO198" s="451">
        <v>25958</v>
      </c>
      <c r="CP198" s="451">
        <v>819.4</v>
      </c>
      <c r="CQ198" s="451">
        <v>0</v>
      </c>
      <c r="CR198" s="451">
        <v>0</v>
      </c>
      <c r="CS198" s="451">
        <v>819.4</v>
      </c>
      <c r="CT198" s="451">
        <v>0</v>
      </c>
      <c r="CU198" s="451">
        <v>0</v>
      </c>
      <c r="CV198" s="451">
        <v>0</v>
      </c>
      <c r="CW198" s="451">
        <v>0</v>
      </c>
      <c r="CX198" s="451">
        <v>0</v>
      </c>
      <c r="CY198" s="451">
        <v>0</v>
      </c>
      <c r="CZ198" s="451">
        <v>0</v>
      </c>
      <c r="DA198" s="451">
        <v>0</v>
      </c>
      <c r="DB198" s="451">
        <v>0</v>
      </c>
      <c r="DC198" s="451">
        <v>0</v>
      </c>
      <c r="DD198" s="451">
        <v>0</v>
      </c>
      <c r="DE198" s="451">
        <v>0</v>
      </c>
      <c r="DF198" s="451">
        <v>0</v>
      </c>
      <c r="DG198" s="451">
        <v>0</v>
      </c>
      <c r="DH198" s="451">
        <v>0</v>
      </c>
      <c r="DI198" s="451">
        <v>0</v>
      </c>
      <c r="DJ198" s="451">
        <v>0</v>
      </c>
      <c r="DK198" s="451">
        <v>0</v>
      </c>
      <c r="DL198" s="451">
        <v>0</v>
      </c>
      <c r="DM198" s="451">
        <v>0</v>
      </c>
      <c r="DN198" s="451">
        <v>0</v>
      </c>
      <c r="DO198" s="451">
        <v>0</v>
      </c>
      <c r="DP198" s="451">
        <v>0</v>
      </c>
      <c r="DQ198" s="451">
        <v>0</v>
      </c>
      <c r="DR198" s="451">
        <v>0</v>
      </c>
      <c r="DS198" s="451">
        <v>0</v>
      </c>
      <c r="DT198" s="451">
        <v>0</v>
      </c>
      <c r="DU198" s="451">
        <v>0</v>
      </c>
      <c r="DV198" s="451">
        <v>0</v>
      </c>
      <c r="DW198" s="451">
        <v>0</v>
      </c>
      <c r="DX198" s="451">
        <v>0</v>
      </c>
      <c r="DY198" s="451">
        <v>0</v>
      </c>
      <c r="DZ198" s="451">
        <v>0</v>
      </c>
      <c r="EA198" s="451">
        <v>0</v>
      </c>
      <c r="EB198" s="451">
        <v>0</v>
      </c>
      <c r="EC198" s="451">
        <v>0</v>
      </c>
      <c r="ED198" s="451">
        <v>0</v>
      </c>
      <c r="EE198" s="451">
        <v>0</v>
      </c>
      <c r="EF198" s="451">
        <v>0</v>
      </c>
      <c r="EG198" s="451">
        <v>0</v>
      </c>
      <c r="EH198" s="451">
        <v>0</v>
      </c>
      <c r="EI198" s="451">
        <v>0</v>
      </c>
      <c r="EJ198" s="451">
        <v>0</v>
      </c>
      <c r="EK198" s="451">
        <v>0</v>
      </c>
      <c r="EL198" s="451">
        <v>0</v>
      </c>
      <c r="EM198" s="451">
        <v>0</v>
      </c>
    </row>
    <row r="199" spans="1:143" ht="12.75" x14ac:dyDescent="0.2">
      <c r="A199" s="446">
        <v>193</v>
      </c>
      <c r="B199" s="447" t="s">
        <v>269</v>
      </c>
      <c r="C199" s="448" t="s">
        <v>1093</v>
      </c>
      <c r="D199" s="449" t="s">
        <v>1103</v>
      </c>
      <c r="E199" s="450" t="s">
        <v>733</v>
      </c>
      <c r="F199" s="451">
        <v>35890</v>
      </c>
      <c r="G199" s="451">
        <v>0</v>
      </c>
      <c r="H199" s="451">
        <v>0</v>
      </c>
      <c r="I199" s="451">
        <v>35890</v>
      </c>
      <c r="J199" s="451">
        <v>-69540</v>
      </c>
      <c r="K199" s="451">
        <v>0</v>
      </c>
      <c r="L199" s="451">
        <v>0</v>
      </c>
      <c r="M199" s="451">
        <v>-69540</v>
      </c>
      <c r="N199" s="451">
        <v>54585</v>
      </c>
      <c r="O199" s="451">
        <v>0</v>
      </c>
      <c r="P199" s="451">
        <v>0</v>
      </c>
      <c r="Q199" s="451">
        <v>54585</v>
      </c>
      <c r="R199" s="451">
        <v>78811</v>
      </c>
      <c r="S199" s="451">
        <v>0</v>
      </c>
      <c r="T199" s="451">
        <v>0</v>
      </c>
      <c r="U199" s="451">
        <v>78811</v>
      </c>
      <c r="V199" s="451">
        <v>1714375</v>
      </c>
      <c r="W199" s="451">
        <v>0</v>
      </c>
      <c r="X199" s="451">
        <v>0</v>
      </c>
      <c r="Y199" s="451">
        <v>1714375</v>
      </c>
      <c r="Z199" s="451">
        <v>107482</v>
      </c>
      <c r="AA199" s="451">
        <v>0</v>
      </c>
      <c r="AB199" s="451">
        <v>0</v>
      </c>
      <c r="AC199" s="451">
        <v>107482</v>
      </c>
      <c r="AD199" s="451">
        <v>642392</v>
      </c>
      <c r="AE199" s="451">
        <v>0</v>
      </c>
      <c r="AF199" s="451">
        <v>0</v>
      </c>
      <c r="AG199" s="451">
        <v>642392</v>
      </c>
      <c r="AH199" s="451">
        <v>-16932</v>
      </c>
      <c r="AI199" s="451">
        <v>0</v>
      </c>
      <c r="AJ199" s="451">
        <v>0</v>
      </c>
      <c r="AK199" s="451">
        <v>-16932</v>
      </c>
      <c r="AL199" s="451">
        <v>1790973</v>
      </c>
      <c r="AM199" s="451">
        <v>0</v>
      </c>
      <c r="AN199" s="451">
        <v>0</v>
      </c>
      <c r="AO199" s="451">
        <v>1790973</v>
      </c>
      <c r="AP199" s="451">
        <v>-7906</v>
      </c>
      <c r="AQ199" s="451">
        <v>0</v>
      </c>
      <c r="AR199" s="451">
        <v>0</v>
      </c>
      <c r="AS199" s="451">
        <v>-7906</v>
      </c>
      <c r="AT199" s="451">
        <v>11605</v>
      </c>
      <c r="AU199" s="451">
        <v>0</v>
      </c>
      <c r="AV199" s="451">
        <v>0</v>
      </c>
      <c r="AW199" s="451">
        <v>11605</v>
      </c>
      <c r="AX199" s="451">
        <v>1258</v>
      </c>
      <c r="AY199" s="451">
        <v>0</v>
      </c>
      <c r="AZ199" s="451">
        <v>0</v>
      </c>
      <c r="BA199" s="451">
        <v>1258</v>
      </c>
      <c r="BB199" s="451">
        <v>0</v>
      </c>
      <c r="BC199" s="451">
        <v>0</v>
      </c>
      <c r="BD199" s="451">
        <v>0</v>
      </c>
      <c r="BE199" s="451">
        <v>0</v>
      </c>
      <c r="BF199" s="451">
        <v>0</v>
      </c>
      <c r="BG199" s="451">
        <v>0</v>
      </c>
      <c r="BH199" s="451">
        <v>0</v>
      </c>
      <c r="BI199" s="451">
        <v>0</v>
      </c>
      <c r="BJ199" s="451">
        <v>13911</v>
      </c>
      <c r="BK199" s="451">
        <v>0</v>
      </c>
      <c r="BL199" s="451">
        <v>0</v>
      </c>
      <c r="BM199" s="451">
        <v>13911</v>
      </c>
      <c r="BN199" s="451">
        <v>-358</v>
      </c>
      <c r="BO199" s="451">
        <v>0</v>
      </c>
      <c r="BP199" s="451">
        <v>0</v>
      </c>
      <c r="BQ199" s="451">
        <v>-358</v>
      </c>
      <c r="BR199" s="451">
        <v>1115563</v>
      </c>
      <c r="BS199" s="451">
        <v>0</v>
      </c>
      <c r="BT199" s="451">
        <v>0</v>
      </c>
      <c r="BU199" s="451">
        <v>1115563</v>
      </c>
      <c r="BV199" s="451">
        <v>-20259</v>
      </c>
      <c r="BW199" s="451">
        <v>0</v>
      </c>
      <c r="BX199" s="451">
        <v>0</v>
      </c>
      <c r="BY199" s="451">
        <v>-20259</v>
      </c>
      <c r="BZ199" s="451">
        <v>110628</v>
      </c>
      <c r="CA199" s="451">
        <v>0</v>
      </c>
      <c r="CB199" s="451">
        <v>0</v>
      </c>
      <c r="CC199" s="451">
        <v>110628</v>
      </c>
      <c r="CD199" s="451">
        <v>-451</v>
      </c>
      <c r="CE199" s="451">
        <v>0</v>
      </c>
      <c r="CF199" s="451">
        <v>0</v>
      </c>
      <c r="CG199" s="451">
        <v>-451</v>
      </c>
      <c r="CH199" s="451">
        <v>86338</v>
      </c>
      <c r="CI199" s="451">
        <v>0</v>
      </c>
      <c r="CJ199" s="451">
        <v>0</v>
      </c>
      <c r="CK199" s="451">
        <v>86338</v>
      </c>
      <c r="CL199" s="451">
        <v>-2538</v>
      </c>
      <c r="CM199" s="451">
        <v>0</v>
      </c>
      <c r="CN199" s="451">
        <v>0</v>
      </c>
      <c r="CO199" s="451">
        <v>-2538</v>
      </c>
      <c r="CP199" s="451">
        <v>0</v>
      </c>
      <c r="CQ199" s="451">
        <v>0</v>
      </c>
      <c r="CR199" s="451">
        <v>0</v>
      </c>
      <c r="CS199" s="451">
        <v>0</v>
      </c>
      <c r="CT199" s="451">
        <v>0</v>
      </c>
      <c r="CU199" s="451">
        <v>0</v>
      </c>
      <c r="CV199" s="451">
        <v>0</v>
      </c>
      <c r="CW199" s="451">
        <v>0</v>
      </c>
      <c r="CX199" s="451">
        <v>0</v>
      </c>
      <c r="CY199" s="451">
        <v>0</v>
      </c>
      <c r="CZ199" s="451">
        <v>0</v>
      </c>
      <c r="DA199" s="451">
        <v>0</v>
      </c>
      <c r="DB199" s="451">
        <v>0</v>
      </c>
      <c r="DC199" s="451">
        <v>0</v>
      </c>
      <c r="DD199" s="451">
        <v>0</v>
      </c>
      <c r="DE199" s="451">
        <v>0</v>
      </c>
      <c r="DF199" s="451">
        <v>0</v>
      </c>
      <c r="DG199" s="451">
        <v>0</v>
      </c>
      <c r="DH199" s="451">
        <v>0</v>
      </c>
      <c r="DI199" s="451">
        <v>0</v>
      </c>
      <c r="DJ199" s="451">
        <v>0</v>
      </c>
      <c r="DK199" s="451">
        <v>0</v>
      </c>
      <c r="DL199" s="451">
        <v>0</v>
      </c>
      <c r="DM199" s="451">
        <v>0</v>
      </c>
      <c r="DN199" s="451">
        <v>0</v>
      </c>
      <c r="DO199" s="451">
        <v>0</v>
      </c>
      <c r="DP199" s="451">
        <v>0</v>
      </c>
      <c r="DQ199" s="451">
        <v>0</v>
      </c>
      <c r="DR199" s="451">
        <v>0</v>
      </c>
      <c r="DS199" s="451">
        <v>0</v>
      </c>
      <c r="DT199" s="451">
        <v>0</v>
      </c>
      <c r="DU199" s="451">
        <v>0</v>
      </c>
      <c r="DV199" s="451">
        <v>0</v>
      </c>
      <c r="DW199" s="451">
        <v>0</v>
      </c>
      <c r="DX199" s="451">
        <v>0</v>
      </c>
      <c r="DY199" s="451">
        <v>0</v>
      </c>
      <c r="DZ199" s="451">
        <v>0</v>
      </c>
      <c r="EA199" s="451">
        <v>0</v>
      </c>
      <c r="EB199" s="451">
        <v>0</v>
      </c>
      <c r="EC199" s="451">
        <v>0</v>
      </c>
      <c r="ED199" s="451">
        <v>0</v>
      </c>
      <c r="EE199" s="451">
        <v>0</v>
      </c>
      <c r="EF199" s="451">
        <v>0</v>
      </c>
      <c r="EG199" s="451">
        <v>0</v>
      </c>
      <c r="EH199" s="451">
        <v>0</v>
      </c>
      <c r="EI199" s="451">
        <v>0</v>
      </c>
      <c r="EJ199" s="451">
        <v>0</v>
      </c>
      <c r="EK199" s="451">
        <v>0</v>
      </c>
      <c r="EL199" s="451">
        <v>0</v>
      </c>
      <c r="EM199" s="451">
        <v>0</v>
      </c>
    </row>
    <row r="200" spans="1:143" ht="12.75" x14ac:dyDescent="0.2">
      <c r="A200" s="446">
        <v>194</v>
      </c>
      <c r="B200" s="447" t="s">
        <v>271</v>
      </c>
      <c r="C200" s="448" t="s">
        <v>1093</v>
      </c>
      <c r="D200" s="449" t="s">
        <v>1096</v>
      </c>
      <c r="E200" s="450" t="s">
        <v>734</v>
      </c>
      <c r="F200" s="451">
        <v>8166</v>
      </c>
      <c r="G200" s="451">
        <v>0</v>
      </c>
      <c r="H200" s="451">
        <v>0</v>
      </c>
      <c r="I200" s="451">
        <v>8166</v>
      </c>
      <c r="J200" s="451">
        <v>-5597</v>
      </c>
      <c r="K200" s="451">
        <v>0</v>
      </c>
      <c r="L200" s="451">
        <v>0</v>
      </c>
      <c r="M200" s="451">
        <v>-5597</v>
      </c>
      <c r="N200" s="451">
        <v>2550</v>
      </c>
      <c r="O200" s="451">
        <v>0</v>
      </c>
      <c r="P200" s="451">
        <v>0</v>
      </c>
      <c r="Q200" s="451">
        <v>2550</v>
      </c>
      <c r="R200" s="451">
        <v>-3776</v>
      </c>
      <c r="S200" s="451">
        <v>0</v>
      </c>
      <c r="T200" s="451">
        <v>0</v>
      </c>
      <c r="U200" s="451">
        <v>-3776</v>
      </c>
      <c r="V200" s="451">
        <v>992084</v>
      </c>
      <c r="W200" s="451">
        <v>0</v>
      </c>
      <c r="X200" s="451">
        <v>0</v>
      </c>
      <c r="Y200" s="451">
        <v>992084</v>
      </c>
      <c r="Z200" s="451">
        <v>18114</v>
      </c>
      <c r="AA200" s="451">
        <v>0</v>
      </c>
      <c r="AB200" s="451">
        <v>0</v>
      </c>
      <c r="AC200" s="451">
        <v>18114</v>
      </c>
      <c r="AD200" s="451">
        <v>227416</v>
      </c>
      <c r="AE200" s="451">
        <v>0</v>
      </c>
      <c r="AF200" s="451">
        <v>0</v>
      </c>
      <c r="AG200" s="451">
        <v>227416</v>
      </c>
      <c r="AH200" s="451">
        <v>-2417</v>
      </c>
      <c r="AI200" s="451">
        <v>0</v>
      </c>
      <c r="AJ200" s="451">
        <v>0</v>
      </c>
      <c r="AK200" s="451">
        <v>-2417</v>
      </c>
      <c r="AL200" s="451">
        <v>1374636</v>
      </c>
      <c r="AM200" s="451">
        <v>0</v>
      </c>
      <c r="AN200" s="451">
        <v>0</v>
      </c>
      <c r="AO200" s="451">
        <v>1374636</v>
      </c>
      <c r="AP200" s="451">
        <v>150124</v>
      </c>
      <c r="AQ200" s="451">
        <v>0</v>
      </c>
      <c r="AR200" s="451">
        <v>0</v>
      </c>
      <c r="AS200" s="451">
        <v>150124</v>
      </c>
      <c r="AT200" s="451">
        <v>0</v>
      </c>
      <c r="AU200" s="451">
        <v>0</v>
      </c>
      <c r="AV200" s="451">
        <v>0</v>
      </c>
      <c r="AW200" s="451">
        <v>0</v>
      </c>
      <c r="AX200" s="451">
        <v>0</v>
      </c>
      <c r="AY200" s="451">
        <v>0</v>
      </c>
      <c r="AZ200" s="451">
        <v>0</v>
      </c>
      <c r="BA200" s="451">
        <v>0</v>
      </c>
      <c r="BB200" s="451">
        <v>0</v>
      </c>
      <c r="BC200" s="451">
        <v>0</v>
      </c>
      <c r="BD200" s="451">
        <v>0</v>
      </c>
      <c r="BE200" s="451">
        <v>0</v>
      </c>
      <c r="BF200" s="451">
        <v>0</v>
      </c>
      <c r="BG200" s="451">
        <v>0</v>
      </c>
      <c r="BH200" s="451">
        <v>0</v>
      </c>
      <c r="BI200" s="451">
        <v>0</v>
      </c>
      <c r="BJ200" s="451">
        <v>1227</v>
      </c>
      <c r="BK200" s="451">
        <v>0</v>
      </c>
      <c r="BL200" s="451">
        <v>0</v>
      </c>
      <c r="BM200" s="451">
        <v>1227</v>
      </c>
      <c r="BN200" s="451">
        <v>12349</v>
      </c>
      <c r="BO200" s="451">
        <v>0</v>
      </c>
      <c r="BP200" s="451">
        <v>0</v>
      </c>
      <c r="BQ200" s="451">
        <v>12349</v>
      </c>
      <c r="BR200" s="451">
        <v>555945</v>
      </c>
      <c r="BS200" s="451">
        <v>0</v>
      </c>
      <c r="BT200" s="451">
        <v>0</v>
      </c>
      <c r="BU200" s="451">
        <v>555945</v>
      </c>
      <c r="BV200" s="451">
        <v>-13078</v>
      </c>
      <c r="BW200" s="451">
        <v>0</v>
      </c>
      <c r="BX200" s="451">
        <v>0</v>
      </c>
      <c r="BY200" s="451">
        <v>-13078</v>
      </c>
      <c r="BZ200" s="451">
        <v>54160</v>
      </c>
      <c r="CA200" s="451">
        <v>0</v>
      </c>
      <c r="CB200" s="451">
        <v>0</v>
      </c>
      <c r="CC200" s="451">
        <v>54160</v>
      </c>
      <c r="CD200" s="451">
        <v>0</v>
      </c>
      <c r="CE200" s="451">
        <v>0</v>
      </c>
      <c r="CF200" s="451">
        <v>0</v>
      </c>
      <c r="CG200" s="451">
        <v>0</v>
      </c>
      <c r="CH200" s="451">
        <v>12904</v>
      </c>
      <c r="CI200" s="451">
        <v>0</v>
      </c>
      <c r="CJ200" s="451">
        <v>0</v>
      </c>
      <c r="CK200" s="451">
        <v>12904</v>
      </c>
      <c r="CL200" s="451">
        <v>0</v>
      </c>
      <c r="CM200" s="451">
        <v>0</v>
      </c>
      <c r="CN200" s="451">
        <v>0</v>
      </c>
      <c r="CO200" s="451">
        <v>0</v>
      </c>
      <c r="CP200" s="451">
        <v>0</v>
      </c>
      <c r="CQ200" s="451">
        <v>0</v>
      </c>
      <c r="CR200" s="451">
        <v>0</v>
      </c>
      <c r="CS200" s="451">
        <v>0</v>
      </c>
      <c r="CT200" s="451">
        <v>0</v>
      </c>
      <c r="CU200" s="451">
        <v>0</v>
      </c>
      <c r="CV200" s="451">
        <v>0</v>
      </c>
      <c r="CW200" s="451">
        <v>0</v>
      </c>
      <c r="CX200" s="451">
        <v>0</v>
      </c>
      <c r="CY200" s="451">
        <v>0</v>
      </c>
      <c r="CZ200" s="451">
        <v>0</v>
      </c>
      <c r="DA200" s="451">
        <v>0</v>
      </c>
      <c r="DB200" s="451">
        <v>0</v>
      </c>
      <c r="DC200" s="451">
        <v>0</v>
      </c>
      <c r="DD200" s="451">
        <v>0</v>
      </c>
      <c r="DE200" s="451">
        <v>0</v>
      </c>
      <c r="DF200" s="451">
        <v>0</v>
      </c>
      <c r="DG200" s="451">
        <v>0</v>
      </c>
      <c r="DH200" s="451">
        <v>0</v>
      </c>
      <c r="DI200" s="451">
        <v>0</v>
      </c>
      <c r="DJ200" s="451">
        <v>0</v>
      </c>
      <c r="DK200" s="451">
        <v>0</v>
      </c>
      <c r="DL200" s="451">
        <v>0</v>
      </c>
      <c r="DM200" s="451">
        <v>0</v>
      </c>
      <c r="DN200" s="451">
        <v>0</v>
      </c>
      <c r="DO200" s="451">
        <v>0</v>
      </c>
      <c r="DP200" s="451">
        <v>0</v>
      </c>
      <c r="DQ200" s="451">
        <v>0</v>
      </c>
      <c r="DR200" s="451">
        <v>0</v>
      </c>
      <c r="DS200" s="451">
        <v>0</v>
      </c>
      <c r="DT200" s="451">
        <v>0</v>
      </c>
      <c r="DU200" s="451">
        <v>0</v>
      </c>
      <c r="DV200" s="451">
        <v>0</v>
      </c>
      <c r="DW200" s="451">
        <v>0</v>
      </c>
      <c r="DX200" s="451">
        <v>0</v>
      </c>
      <c r="DY200" s="451">
        <v>0</v>
      </c>
      <c r="DZ200" s="451">
        <v>0</v>
      </c>
      <c r="EA200" s="451">
        <v>0</v>
      </c>
      <c r="EB200" s="451">
        <v>0</v>
      </c>
      <c r="EC200" s="451">
        <v>0</v>
      </c>
      <c r="ED200" s="451">
        <v>0</v>
      </c>
      <c r="EE200" s="451">
        <v>0</v>
      </c>
      <c r="EF200" s="451">
        <v>0</v>
      </c>
      <c r="EG200" s="451">
        <v>0</v>
      </c>
      <c r="EH200" s="451">
        <v>0</v>
      </c>
      <c r="EI200" s="451">
        <v>0</v>
      </c>
      <c r="EJ200" s="451">
        <v>0</v>
      </c>
      <c r="EK200" s="451">
        <v>0</v>
      </c>
      <c r="EL200" s="451">
        <v>0</v>
      </c>
      <c r="EM200" s="451">
        <v>0</v>
      </c>
    </row>
    <row r="201" spans="1:143" ht="12.75" x14ac:dyDescent="0.2">
      <c r="A201" s="446">
        <v>195</v>
      </c>
      <c r="B201" s="447" t="s">
        <v>273</v>
      </c>
      <c r="C201" s="448" t="s">
        <v>1100</v>
      </c>
      <c r="D201" s="449" t="s">
        <v>1095</v>
      </c>
      <c r="E201" s="450" t="s">
        <v>272</v>
      </c>
      <c r="F201" s="451">
        <v>98072</v>
      </c>
      <c r="G201" s="451">
        <v>0</v>
      </c>
      <c r="H201" s="451">
        <v>0</v>
      </c>
      <c r="I201" s="451">
        <v>98072</v>
      </c>
      <c r="J201" s="451">
        <v>-165481</v>
      </c>
      <c r="K201" s="451">
        <v>0</v>
      </c>
      <c r="L201" s="451">
        <v>0</v>
      </c>
      <c r="M201" s="451">
        <v>-165481</v>
      </c>
      <c r="N201" s="451">
        <v>29571</v>
      </c>
      <c r="O201" s="451">
        <v>0</v>
      </c>
      <c r="P201" s="451">
        <v>0</v>
      </c>
      <c r="Q201" s="451">
        <v>29571</v>
      </c>
      <c r="R201" s="451">
        <v>259957</v>
      </c>
      <c r="S201" s="451">
        <v>0</v>
      </c>
      <c r="T201" s="451">
        <v>0</v>
      </c>
      <c r="U201" s="451">
        <v>259957</v>
      </c>
      <c r="V201" s="451">
        <v>5335242</v>
      </c>
      <c r="W201" s="451">
        <v>0</v>
      </c>
      <c r="X201" s="451">
        <v>0</v>
      </c>
      <c r="Y201" s="451">
        <v>5335242</v>
      </c>
      <c r="Z201" s="451">
        <v>235595</v>
      </c>
      <c r="AA201" s="451">
        <v>0</v>
      </c>
      <c r="AB201" s="451">
        <v>0</v>
      </c>
      <c r="AC201" s="451">
        <v>235595</v>
      </c>
      <c r="AD201" s="451">
        <v>1157618</v>
      </c>
      <c r="AE201" s="451">
        <v>0</v>
      </c>
      <c r="AF201" s="451">
        <v>0</v>
      </c>
      <c r="AG201" s="451">
        <v>1157618</v>
      </c>
      <c r="AH201" s="451">
        <v>-39117</v>
      </c>
      <c r="AI201" s="451">
        <v>0</v>
      </c>
      <c r="AJ201" s="451">
        <v>0</v>
      </c>
      <c r="AK201" s="451">
        <v>-39117</v>
      </c>
      <c r="AL201" s="451">
        <v>5286818</v>
      </c>
      <c r="AM201" s="451">
        <v>0</v>
      </c>
      <c r="AN201" s="451">
        <v>0</v>
      </c>
      <c r="AO201" s="451">
        <v>5286818</v>
      </c>
      <c r="AP201" s="451">
        <v>344142</v>
      </c>
      <c r="AQ201" s="451">
        <v>0</v>
      </c>
      <c r="AR201" s="451">
        <v>0</v>
      </c>
      <c r="AS201" s="451">
        <v>344142</v>
      </c>
      <c r="AT201" s="451">
        <v>85183</v>
      </c>
      <c r="AU201" s="451">
        <v>0</v>
      </c>
      <c r="AV201" s="451">
        <v>0</v>
      </c>
      <c r="AW201" s="451">
        <v>85183</v>
      </c>
      <c r="AX201" s="451">
        <v>5070</v>
      </c>
      <c r="AY201" s="451">
        <v>0</v>
      </c>
      <c r="AZ201" s="451">
        <v>0</v>
      </c>
      <c r="BA201" s="451">
        <v>5070</v>
      </c>
      <c r="BB201" s="451">
        <v>11822</v>
      </c>
      <c r="BC201" s="451">
        <v>0</v>
      </c>
      <c r="BD201" s="451">
        <v>0</v>
      </c>
      <c r="BE201" s="451">
        <v>11822</v>
      </c>
      <c r="BF201" s="451">
        <v>0</v>
      </c>
      <c r="BG201" s="451">
        <v>0</v>
      </c>
      <c r="BH201" s="451">
        <v>0</v>
      </c>
      <c r="BI201" s="451">
        <v>0</v>
      </c>
      <c r="BJ201" s="451">
        <v>4511</v>
      </c>
      <c r="BK201" s="451">
        <v>0</v>
      </c>
      <c r="BL201" s="451">
        <v>0</v>
      </c>
      <c r="BM201" s="451">
        <v>4511</v>
      </c>
      <c r="BN201" s="451">
        <v>-2004</v>
      </c>
      <c r="BO201" s="451">
        <v>0</v>
      </c>
      <c r="BP201" s="451">
        <v>0</v>
      </c>
      <c r="BQ201" s="451">
        <v>-2004</v>
      </c>
      <c r="BR201" s="451">
        <v>3222610</v>
      </c>
      <c r="BS201" s="451">
        <v>0</v>
      </c>
      <c r="BT201" s="451">
        <v>0</v>
      </c>
      <c r="BU201" s="451">
        <v>3222610</v>
      </c>
      <c r="BV201" s="451">
        <v>-29947</v>
      </c>
      <c r="BW201" s="451">
        <v>0</v>
      </c>
      <c r="BX201" s="451">
        <v>0</v>
      </c>
      <c r="BY201" s="451">
        <v>-29947</v>
      </c>
      <c r="BZ201" s="451">
        <v>224228</v>
      </c>
      <c r="CA201" s="451">
        <v>0</v>
      </c>
      <c r="CB201" s="451">
        <v>0</v>
      </c>
      <c r="CC201" s="451">
        <v>224228</v>
      </c>
      <c r="CD201" s="451">
        <v>7249</v>
      </c>
      <c r="CE201" s="451">
        <v>0</v>
      </c>
      <c r="CF201" s="451">
        <v>0</v>
      </c>
      <c r="CG201" s="451">
        <v>7249</v>
      </c>
      <c r="CH201" s="451">
        <v>70862</v>
      </c>
      <c r="CI201" s="451">
        <v>0</v>
      </c>
      <c r="CJ201" s="451">
        <v>0</v>
      </c>
      <c r="CK201" s="451">
        <v>70862</v>
      </c>
      <c r="CL201" s="451">
        <v>0</v>
      </c>
      <c r="CM201" s="451">
        <v>0</v>
      </c>
      <c r="CN201" s="451">
        <v>0</v>
      </c>
      <c r="CO201" s="451">
        <v>0</v>
      </c>
      <c r="CP201" s="451">
        <v>337</v>
      </c>
      <c r="CQ201" s="451">
        <v>0</v>
      </c>
      <c r="CR201" s="451">
        <v>0</v>
      </c>
      <c r="CS201" s="451">
        <v>337</v>
      </c>
      <c r="CT201" s="451">
        <v>0</v>
      </c>
      <c r="CU201" s="451">
        <v>0</v>
      </c>
      <c r="CV201" s="451">
        <v>0</v>
      </c>
      <c r="CW201" s="451">
        <v>0</v>
      </c>
      <c r="CX201" s="451">
        <v>1625</v>
      </c>
      <c r="CY201" s="451">
        <v>0</v>
      </c>
      <c r="CZ201" s="451">
        <v>0</v>
      </c>
      <c r="DA201" s="451">
        <v>1625</v>
      </c>
      <c r="DB201" s="451">
        <v>0</v>
      </c>
      <c r="DC201" s="451">
        <v>0</v>
      </c>
      <c r="DD201" s="451">
        <v>0</v>
      </c>
      <c r="DE201" s="451">
        <v>0</v>
      </c>
      <c r="DF201" s="451">
        <v>0</v>
      </c>
      <c r="DG201" s="451">
        <v>0</v>
      </c>
      <c r="DH201" s="451">
        <v>0</v>
      </c>
      <c r="DI201" s="451">
        <v>0</v>
      </c>
      <c r="DJ201" s="451">
        <v>0</v>
      </c>
      <c r="DK201" s="451">
        <v>0</v>
      </c>
      <c r="DL201" s="451">
        <v>0</v>
      </c>
      <c r="DM201" s="451">
        <v>0</v>
      </c>
      <c r="DN201" s="451">
        <v>0</v>
      </c>
      <c r="DO201" s="451">
        <v>0</v>
      </c>
      <c r="DP201" s="451">
        <v>0</v>
      </c>
      <c r="DQ201" s="451">
        <v>0</v>
      </c>
      <c r="DR201" s="451">
        <v>0</v>
      </c>
      <c r="DS201" s="451">
        <v>0</v>
      </c>
      <c r="DT201" s="451">
        <v>0</v>
      </c>
      <c r="DU201" s="451">
        <v>0</v>
      </c>
      <c r="DV201" s="451">
        <v>0</v>
      </c>
      <c r="DW201" s="451">
        <v>0</v>
      </c>
      <c r="DX201" s="451">
        <v>0</v>
      </c>
      <c r="DY201" s="451">
        <v>0</v>
      </c>
      <c r="DZ201" s="451">
        <v>0</v>
      </c>
      <c r="EA201" s="451">
        <v>0</v>
      </c>
      <c r="EB201" s="451">
        <v>0</v>
      </c>
      <c r="EC201" s="451">
        <v>0</v>
      </c>
      <c r="ED201" s="451">
        <v>0</v>
      </c>
      <c r="EE201" s="451">
        <v>0</v>
      </c>
      <c r="EF201" s="451">
        <v>10833</v>
      </c>
      <c r="EG201" s="451">
        <v>0</v>
      </c>
      <c r="EH201" s="451">
        <v>0</v>
      </c>
      <c r="EI201" s="451">
        <v>10833</v>
      </c>
      <c r="EJ201" s="451">
        <v>-534</v>
      </c>
      <c r="EK201" s="451">
        <v>0</v>
      </c>
      <c r="EL201" s="451">
        <v>0</v>
      </c>
      <c r="EM201" s="451">
        <v>-534</v>
      </c>
    </row>
    <row r="202" spans="1:143" ht="12.75" x14ac:dyDescent="0.2">
      <c r="A202" s="446">
        <v>196</v>
      </c>
      <c r="B202" s="447" t="s">
        <v>275</v>
      </c>
      <c r="C202" s="448" t="s">
        <v>1093</v>
      </c>
      <c r="D202" s="449" t="s">
        <v>1094</v>
      </c>
      <c r="E202" s="450" t="s">
        <v>274</v>
      </c>
      <c r="F202" s="451">
        <v>110436</v>
      </c>
      <c r="G202" s="451">
        <v>0</v>
      </c>
      <c r="H202" s="451">
        <v>0</v>
      </c>
      <c r="I202" s="451">
        <v>110436</v>
      </c>
      <c r="J202" s="451">
        <v>-91183</v>
      </c>
      <c r="K202" s="451">
        <v>0</v>
      </c>
      <c r="L202" s="451">
        <v>0</v>
      </c>
      <c r="M202" s="451">
        <v>-91183</v>
      </c>
      <c r="N202" s="451">
        <v>148935</v>
      </c>
      <c r="O202" s="451">
        <v>0</v>
      </c>
      <c r="P202" s="451">
        <v>0</v>
      </c>
      <c r="Q202" s="451">
        <v>148935</v>
      </c>
      <c r="R202" s="451">
        <v>184027</v>
      </c>
      <c r="S202" s="451">
        <v>0</v>
      </c>
      <c r="T202" s="451">
        <v>0</v>
      </c>
      <c r="U202" s="451">
        <v>184027</v>
      </c>
      <c r="V202" s="451">
        <v>1091472</v>
      </c>
      <c r="W202" s="451">
        <v>0</v>
      </c>
      <c r="X202" s="451">
        <v>0</v>
      </c>
      <c r="Y202" s="451">
        <v>1091472</v>
      </c>
      <c r="Z202" s="451">
        <v>39519</v>
      </c>
      <c r="AA202" s="451">
        <v>0</v>
      </c>
      <c r="AB202" s="451">
        <v>0</v>
      </c>
      <c r="AC202" s="451">
        <v>39519</v>
      </c>
      <c r="AD202" s="451">
        <v>1960723</v>
      </c>
      <c r="AE202" s="451">
        <v>0</v>
      </c>
      <c r="AF202" s="451">
        <v>0</v>
      </c>
      <c r="AG202" s="451">
        <v>1960723</v>
      </c>
      <c r="AH202" s="451">
        <v>-27896</v>
      </c>
      <c r="AI202" s="451">
        <v>0</v>
      </c>
      <c r="AJ202" s="451">
        <v>0</v>
      </c>
      <c r="AK202" s="451">
        <v>-27896</v>
      </c>
      <c r="AL202" s="451">
        <v>19578952</v>
      </c>
      <c r="AM202" s="451">
        <v>0</v>
      </c>
      <c r="AN202" s="451">
        <v>0</v>
      </c>
      <c r="AO202" s="451">
        <v>19578952</v>
      </c>
      <c r="AP202" s="451">
        <v>-396841</v>
      </c>
      <c r="AQ202" s="451">
        <v>0</v>
      </c>
      <c r="AR202" s="451">
        <v>0</v>
      </c>
      <c r="AS202" s="451">
        <v>-396841</v>
      </c>
      <c r="AT202" s="451">
        <v>33177</v>
      </c>
      <c r="AU202" s="451">
        <v>0</v>
      </c>
      <c r="AV202" s="451">
        <v>0</v>
      </c>
      <c r="AW202" s="451">
        <v>33177</v>
      </c>
      <c r="AX202" s="451">
        <v>0</v>
      </c>
      <c r="AY202" s="451">
        <v>0</v>
      </c>
      <c r="AZ202" s="451">
        <v>0</v>
      </c>
      <c r="BA202" s="451">
        <v>0</v>
      </c>
      <c r="BB202" s="451">
        <v>0</v>
      </c>
      <c r="BC202" s="451">
        <v>0</v>
      </c>
      <c r="BD202" s="451">
        <v>0</v>
      </c>
      <c r="BE202" s="451">
        <v>0</v>
      </c>
      <c r="BF202" s="451">
        <v>0</v>
      </c>
      <c r="BG202" s="451">
        <v>0</v>
      </c>
      <c r="BH202" s="451">
        <v>0</v>
      </c>
      <c r="BI202" s="451">
        <v>0</v>
      </c>
      <c r="BJ202" s="451">
        <v>68416</v>
      </c>
      <c r="BK202" s="451">
        <v>0</v>
      </c>
      <c r="BL202" s="451">
        <v>0</v>
      </c>
      <c r="BM202" s="451">
        <v>68416</v>
      </c>
      <c r="BN202" s="451">
        <v>104670</v>
      </c>
      <c r="BO202" s="451">
        <v>0</v>
      </c>
      <c r="BP202" s="451">
        <v>0</v>
      </c>
      <c r="BQ202" s="451">
        <v>104670</v>
      </c>
      <c r="BR202" s="451">
        <v>1898532</v>
      </c>
      <c r="BS202" s="451">
        <v>0</v>
      </c>
      <c r="BT202" s="451">
        <v>0</v>
      </c>
      <c r="BU202" s="451">
        <v>1898532</v>
      </c>
      <c r="BV202" s="451">
        <v>10533</v>
      </c>
      <c r="BW202" s="451">
        <v>0</v>
      </c>
      <c r="BX202" s="451">
        <v>0</v>
      </c>
      <c r="BY202" s="451">
        <v>10533</v>
      </c>
      <c r="BZ202" s="451">
        <v>0</v>
      </c>
      <c r="CA202" s="451">
        <v>0</v>
      </c>
      <c r="CB202" s="451">
        <v>0</v>
      </c>
      <c r="CC202" s="451">
        <v>0</v>
      </c>
      <c r="CD202" s="451">
        <v>0</v>
      </c>
      <c r="CE202" s="451">
        <v>0</v>
      </c>
      <c r="CF202" s="451">
        <v>0</v>
      </c>
      <c r="CG202" s="451">
        <v>0</v>
      </c>
      <c r="CH202" s="451">
        <v>50862</v>
      </c>
      <c r="CI202" s="451">
        <v>0</v>
      </c>
      <c r="CJ202" s="451">
        <v>0</v>
      </c>
      <c r="CK202" s="451">
        <v>50862</v>
      </c>
      <c r="CL202" s="451">
        <v>-5633</v>
      </c>
      <c r="CM202" s="451">
        <v>0</v>
      </c>
      <c r="CN202" s="451">
        <v>0</v>
      </c>
      <c r="CO202" s="451">
        <v>-5633</v>
      </c>
      <c r="CP202" s="451">
        <v>0</v>
      </c>
      <c r="CQ202" s="451">
        <v>0</v>
      </c>
      <c r="CR202" s="451">
        <v>0</v>
      </c>
      <c r="CS202" s="451">
        <v>0</v>
      </c>
      <c r="CT202" s="451">
        <v>0</v>
      </c>
      <c r="CU202" s="451">
        <v>0</v>
      </c>
      <c r="CV202" s="451">
        <v>0</v>
      </c>
      <c r="CW202" s="451">
        <v>0</v>
      </c>
      <c r="CX202" s="451">
        <v>0</v>
      </c>
      <c r="CY202" s="451">
        <v>0</v>
      </c>
      <c r="CZ202" s="451">
        <v>0</v>
      </c>
      <c r="DA202" s="451">
        <v>0</v>
      </c>
      <c r="DB202" s="451">
        <v>0</v>
      </c>
      <c r="DC202" s="451">
        <v>0</v>
      </c>
      <c r="DD202" s="451">
        <v>0</v>
      </c>
      <c r="DE202" s="451">
        <v>0</v>
      </c>
      <c r="DF202" s="451">
        <v>0</v>
      </c>
      <c r="DG202" s="451">
        <v>0</v>
      </c>
      <c r="DH202" s="451">
        <v>0</v>
      </c>
      <c r="DI202" s="451">
        <v>0</v>
      </c>
      <c r="DJ202" s="451">
        <v>0</v>
      </c>
      <c r="DK202" s="451">
        <v>0</v>
      </c>
      <c r="DL202" s="451">
        <v>0</v>
      </c>
      <c r="DM202" s="451">
        <v>0</v>
      </c>
      <c r="DN202" s="451">
        <v>0</v>
      </c>
      <c r="DO202" s="451">
        <v>0</v>
      </c>
      <c r="DP202" s="451">
        <v>0</v>
      </c>
      <c r="DQ202" s="451">
        <v>0</v>
      </c>
      <c r="DR202" s="451">
        <v>0</v>
      </c>
      <c r="DS202" s="451">
        <v>0</v>
      </c>
      <c r="DT202" s="451">
        <v>0</v>
      </c>
      <c r="DU202" s="451">
        <v>0</v>
      </c>
      <c r="DV202" s="451">
        <v>0</v>
      </c>
      <c r="DW202" s="451">
        <v>0</v>
      </c>
      <c r="DX202" s="451">
        <v>0</v>
      </c>
      <c r="DY202" s="451">
        <v>0</v>
      </c>
      <c r="DZ202" s="451">
        <v>0</v>
      </c>
      <c r="EA202" s="451">
        <v>0</v>
      </c>
      <c r="EB202" s="451">
        <v>0</v>
      </c>
      <c r="EC202" s="451">
        <v>0</v>
      </c>
      <c r="ED202" s="451">
        <v>0</v>
      </c>
      <c r="EE202" s="451">
        <v>0</v>
      </c>
      <c r="EF202" s="451">
        <v>0</v>
      </c>
      <c r="EG202" s="451">
        <v>0</v>
      </c>
      <c r="EH202" s="451">
        <v>0</v>
      </c>
      <c r="EI202" s="451">
        <v>0</v>
      </c>
      <c r="EJ202" s="451">
        <v>0</v>
      </c>
      <c r="EK202" s="451">
        <v>0</v>
      </c>
      <c r="EL202" s="451">
        <v>0</v>
      </c>
      <c r="EM202" s="451">
        <v>0</v>
      </c>
    </row>
    <row r="203" spans="1:143" ht="12.75" x14ac:dyDescent="0.2">
      <c r="A203" s="446">
        <v>197</v>
      </c>
      <c r="B203" s="447" t="s">
        <v>277</v>
      </c>
      <c r="C203" s="448" t="s">
        <v>1093</v>
      </c>
      <c r="D203" s="449" t="s">
        <v>1095</v>
      </c>
      <c r="E203" s="450" t="s">
        <v>276</v>
      </c>
      <c r="F203" s="451">
        <v>90589</v>
      </c>
      <c r="G203" s="451">
        <v>0</v>
      </c>
      <c r="H203" s="451">
        <v>0</v>
      </c>
      <c r="I203" s="451">
        <v>90589</v>
      </c>
      <c r="J203" s="451">
        <v>34798</v>
      </c>
      <c r="K203" s="451">
        <v>0</v>
      </c>
      <c r="L203" s="451">
        <v>0</v>
      </c>
      <c r="M203" s="451">
        <v>34798</v>
      </c>
      <c r="N203" s="451">
        <v>54166</v>
      </c>
      <c r="O203" s="451">
        <v>0</v>
      </c>
      <c r="P203" s="451">
        <v>0</v>
      </c>
      <c r="Q203" s="451">
        <v>54166</v>
      </c>
      <c r="R203" s="451">
        <v>6117</v>
      </c>
      <c r="S203" s="451">
        <v>0</v>
      </c>
      <c r="T203" s="451">
        <v>0</v>
      </c>
      <c r="U203" s="451">
        <v>6117</v>
      </c>
      <c r="V203" s="451">
        <v>2487885</v>
      </c>
      <c r="W203" s="451">
        <v>0</v>
      </c>
      <c r="X203" s="451">
        <v>0</v>
      </c>
      <c r="Y203" s="451">
        <v>2487885</v>
      </c>
      <c r="Z203" s="451">
        <v>117881</v>
      </c>
      <c r="AA203" s="451">
        <v>0</v>
      </c>
      <c r="AB203" s="451">
        <v>0</v>
      </c>
      <c r="AC203" s="451">
        <v>117881</v>
      </c>
      <c r="AD203" s="451">
        <v>441276</v>
      </c>
      <c r="AE203" s="451">
        <v>0</v>
      </c>
      <c r="AF203" s="451">
        <v>0</v>
      </c>
      <c r="AG203" s="451">
        <v>441276</v>
      </c>
      <c r="AH203" s="451">
        <v>-1087</v>
      </c>
      <c r="AI203" s="451">
        <v>0</v>
      </c>
      <c r="AJ203" s="451">
        <v>0</v>
      </c>
      <c r="AK203" s="451">
        <v>-1087</v>
      </c>
      <c r="AL203" s="451">
        <v>995682</v>
      </c>
      <c r="AM203" s="451">
        <v>0</v>
      </c>
      <c r="AN203" s="451">
        <v>0</v>
      </c>
      <c r="AO203" s="451">
        <v>995682</v>
      </c>
      <c r="AP203" s="451">
        <v>19715</v>
      </c>
      <c r="AQ203" s="451">
        <v>0</v>
      </c>
      <c r="AR203" s="451">
        <v>0</v>
      </c>
      <c r="AS203" s="451">
        <v>19715</v>
      </c>
      <c r="AT203" s="451">
        <v>0</v>
      </c>
      <c r="AU203" s="451">
        <v>0</v>
      </c>
      <c r="AV203" s="451">
        <v>0</v>
      </c>
      <c r="AW203" s="451">
        <v>0</v>
      </c>
      <c r="AX203" s="451">
        <v>0</v>
      </c>
      <c r="AY203" s="451">
        <v>0</v>
      </c>
      <c r="AZ203" s="451">
        <v>0</v>
      </c>
      <c r="BA203" s="451">
        <v>0</v>
      </c>
      <c r="BB203" s="451">
        <v>671</v>
      </c>
      <c r="BC203" s="451">
        <v>0</v>
      </c>
      <c r="BD203" s="451">
        <v>0</v>
      </c>
      <c r="BE203" s="451">
        <v>671</v>
      </c>
      <c r="BF203" s="451">
        <v>0</v>
      </c>
      <c r="BG203" s="451">
        <v>0</v>
      </c>
      <c r="BH203" s="451">
        <v>0</v>
      </c>
      <c r="BI203" s="451">
        <v>0</v>
      </c>
      <c r="BJ203" s="451">
        <v>4741</v>
      </c>
      <c r="BK203" s="451">
        <v>0</v>
      </c>
      <c r="BL203" s="451">
        <v>0</v>
      </c>
      <c r="BM203" s="451">
        <v>4741</v>
      </c>
      <c r="BN203" s="451">
        <v>-3626</v>
      </c>
      <c r="BO203" s="451">
        <v>0</v>
      </c>
      <c r="BP203" s="451">
        <v>0</v>
      </c>
      <c r="BQ203" s="451">
        <v>-3626</v>
      </c>
      <c r="BR203" s="451">
        <v>1062548</v>
      </c>
      <c r="BS203" s="451">
        <v>0</v>
      </c>
      <c r="BT203" s="451">
        <v>0</v>
      </c>
      <c r="BU203" s="451">
        <v>1062548</v>
      </c>
      <c r="BV203" s="451">
        <v>50901</v>
      </c>
      <c r="BW203" s="451">
        <v>0</v>
      </c>
      <c r="BX203" s="451">
        <v>0</v>
      </c>
      <c r="BY203" s="451">
        <v>50901</v>
      </c>
      <c r="BZ203" s="451">
        <v>115631</v>
      </c>
      <c r="CA203" s="451">
        <v>0</v>
      </c>
      <c r="CB203" s="451">
        <v>0</v>
      </c>
      <c r="CC203" s="451">
        <v>115631</v>
      </c>
      <c r="CD203" s="451">
        <v>1055</v>
      </c>
      <c r="CE203" s="451">
        <v>0</v>
      </c>
      <c r="CF203" s="451">
        <v>0</v>
      </c>
      <c r="CG203" s="451">
        <v>1055</v>
      </c>
      <c r="CH203" s="451">
        <v>107330</v>
      </c>
      <c r="CI203" s="451">
        <v>0</v>
      </c>
      <c r="CJ203" s="451">
        <v>0</v>
      </c>
      <c r="CK203" s="451">
        <v>107330</v>
      </c>
      <c r="CL203" s="451">
        <v>0</v>
      </c>
      <c r="CM203" s="451">
        <v>0</v>
      </c>
      <c r="CN203" s="451">
        <v>0</v>
      </c>
      <c r="CO203" s="451">
        <v>0</v>
      </c>
      <c r="CP203" s="451">
        <v>0</v>
      </c>
      <c r="CQ203" s="451">
        <v>0</v>
      </c>
      <c r="CR203" s="451">
        <v>0</v>
      </c>
      <c r="CS203" s="451">
        <v>0</v>
      </c>
      <c r="CT203" s="451">
        <v>0</v>
      </c>
      <c r="CU203" s="451">
        <v>0</v>
      </c>
      <c r="CV203" s="451">
        <v>0</v>
      </c>
      <c r="CW203" s="451">
        <v>0</v>
      </c>
      <c r="CX203" s="451">
        <v>671</v>
      </c>
      <c r="CY203" s="451">
        <v>0</v>
      </c>
      <c r="CZ203" s="451">
        <v>0</v>
      </c>
      <c r="DA203" s="451">
        <v>671</v>
      </c>
      <c r="DB203" s="451">
        <v>0</v>
      </c>
      <c r="DC203" s="451">
        <v>0</v>
      </c>
      <c r="DD203" s="451">
        <v>0</v>
      </c>
      <c r="DE203" s="451">
        <v>0</v>
      </c>
      <c r="DF203" s="451">
        <v>0</v>
      </c>
      <c r="DG203" s="451">
        <v>0</v>
      </c>
      <c r="DH203" s="451">
        <v>0</v>
      </c>
      <c r="DI203" s="451">
        <v>0</v>
      </c>
      <c r="DJ203" s="451">
        <v>0</v>
      </c>
      <c r="DK203" s="451">
        <v>0</v>
      </c>
      <c r="DL203" s="451">
        <v>0</v>
      </c>
      <c r="DM203" s="451">
        <v>0</v>
      </c>
      <c r="DN203" s="451">
        <v>0</v>
      </c>
      <c r="DO203" s="451">
        <v>0</v>
      </c>
      <c r="DP203" s="451">
        <v>0</v>
      </c>
      <c r="DQ203" s="451">
        <v>0</v>
      </c>
      <c r="DR203" s="451">
        <v>0</v>
      </c>
      <c r="DS203" s="451">
        <v>0</v>
      </c>
      <c r="DT203" s="451">
        <v>0</v>
      </c>
      <c r="DU203" s="451">
        <v>0</v>
      </c>
      <c r="DV203" s="451">
        <v>0</v>
      </c>
      <c r="DW203" s="451">
        <v>0</v>
      </c>
      <c r="DX203" s="451">
        <v>0</v>
      </c>
      <c r="DY203" s="451">
        <v>0</v>
      </c>
      <c r="DZ203" s="451">
        <v>0</v>
      </c>
      <c r="EA203" s="451">
        <v>0</v>
      </c>
      <c r="EB203" s="451">
        <v>0</v>
      </c>
      <c r="EC203" s="451">
        <v>0</v>
      </c>
      <c r="ED203" s="451">
        <v>0</v>
      </c>
      <c r="EE203" s="451">
        <v>0</v>
      </c>
      <c r="EF203" s="451">
        <v>0</v>
      </c>
      <c r="EG203" s="451">
        <v>0</v>
      </c>
      <c r="EH203" s="451">
        <v>0</v>
      </c>
      <c r="EI203" s="451">
        <v>0</v>
      </c>
      <c r="EJ203" s="451">
        <v>0</v>
      </c>
      <c r="EK203" s="451">
        <v>0</v>
      </c>
      <c r="EL203" s="451">
        <v>0</v>
      </c>
      <c r="EM203" s="451">
        <v>0</v>
      </c>
    </row>
    <row r="204" spans="1:143" ht="12.75" x14ac:dyDescent="0.2">
      <c r="A204" s="446">
        <v>198</v>
      </c>
      <c r="B204" s="447" t="s">
        <v>279</v>
      </c>
      <c r="C204" s="448" t="s">
        <v>794</v>
      </c>
      <c r="D204" s="449" t="s">
        <v>1097</v>
      </c>
      <c r="E204" s="450" t="s">
        <v>735</v>
      </c>
      <c r="F204" s="451">
        <v>1601302</v>
      </c>
      <c r="G204" s="451">
        <v>0</v>
      </c>
      <c r="H204" s="451">
        <v>0</v>
      </c>
      <c r="I204" s="451">
        <v>1601302</v>
      </c>
      <c r="J204" s="451">
        <v>-45610</v>
      </c>
      <c r="K204" s="451">
        <v>0</v>
      </c>
      <c r="L204" s="451">
        <v>0</v>
      </c>
      <c r="M204" s="451">
        <v>-45610</v>
      </c>
      <c r="N204" s="451">
        <v>118123</v>
      </c>
      <c r="O204" s="451">
        <v>0</v>
      </c>
      <c r="P204" s="451">
        <v>0</v>
      </c>
      <c r="Q204" s="451">
        <v>118123</v>
      </c>
      <c r="R204" s="451">
        <v>274450</v>
      </c>
      <c r="S204" s="451">
        <v>0</v>
      </c>
      <c r="T204" s="451">
        <v>0</v>
      </c>
      <c r="U204" s="451">
        <v>274450</v>
      </c>
      <c r="V204" s="451">
        <v>2842941</v>
      </c>
      <c r="W204" s="451">
        <v>0</v>
      </c>
      <c r="X204" s="451">
        <v>0</v>
      </c>
      <c r="Y204" s="451">
        <v>2842941</v>
      </c>
      <c r="Z204" s="451">
        <v>119889</v>
      </c>
      <c r="AA204" s="451">
        <v>0</v>
      </c>
      <c r="AB204" s="451">
        <v>0</v>
      </c>
      <c r="AC204" s="451">
        <v>119889</v>
      </c>
      <c r="AD204" s="451">
        <v>1874638</v>
      </c>
      <c r="AE204" s="451">
        <v>0</v>
      </c>
      <c r="AF204" s="451">
        <v>0</v>
      </c>
      <c r="AG204" s="451">
        <v>1874638</v>
      </c>
      <c r="AH204" s="451">
        <v>-36021</v>
      </c>
      <c r="AI204" s="451">
        <v>0</v>
      </c>
      <c r="AJ204" s="451">
        <v>0</v>
      </c>
      <c r="AK204" s="451">
        <v>-36021</v>
      </c>
      <c r="AL204" s="451">
        <v>4967883</v>
      </c>
      <c r="AM204" s="451">
        <v>0</v>
      </c>
      <c r="AN204" s="451">
        <v>0</v>
      </c>
      <c r="AO204" s="451">
        <v>4967883</v>
      </c>
      <c r="AP204" s="451">
        <v>-31513</v>
      </c>
      <c r="AQ204" s="451">
        <v>0</v>
      </c>
      <c r="AR204" s="451">
        <v>0</v>
      </c>
      <c r="AS204" s="451">
        <v>-31513</v>
      </c>
      <c r="AT204" s="451">
        <v>53882</v>
      </c>
      <c r="AU204" s="451">
        <v>0</v>
      </c>
      <c r="AV204" s="451">
        <v>0</v>
      </c>
      <c r="AW204" s="451">
        <v>53882</v>
      </c>
      <c r="AX204" s="451">
        <v>0</v>
      </c>
      <c r="AY204" s="451">
        <v>0</v>
      </c>
      <c r="AZ204" s="451">
        <v>0</v>
      </c>
      <c r="BA204" s="451">
        <v>0</v>
      </c>
      <c r="BB204" s="451">
        <v>15841</v>
      </c>
      <c r="BC204" s="451">
        <v>0</v>
      </c>
      <c r="BD204" s="451">
        <v>0</v>
      </c>
      <c r="BE204" s="451">
        <v>15841</v>
      </c>
      <c r="BF204" s="451">
        <v>0</v>
      </c>
      <c r="BG204" s="451">
        <v>0</v>
      </c>
      <c r="BH204" s="451">
        <v>0</v>
      </c>
      <c r="BI204" s="451">
        <v>0</v>
      </c>
      <c r="BJ204" s="451">
        <v>22591</v>
      </c>
      <c r="BK204" s="451">
        <v>0</v>
      </c>
      <c r="BL204" s="451">
        <v>0</v>
      </c>
      <c r="BM204" s="451">
        <v>22591</v>
      </c>
      <c r="BN204" s="451">
        <v>201349</v>
      </c>
      <c r="BO204" s="451">
        <v>0</v>
      </c>
      <c r="BP204" s="451">
        <v>0</v>
      </c>
      <c r="BQ204" s="451">
        <v>201349</v>
      </c>
      <c r="BR204" s="451">
        <v>3763475</v>
      </c>
      <c r="BS204" s="451">
        <v>0</v>
      </c>
      <c r="BT204" s="451">
        <v>0</v>
      </c>
      <c r="BU204" s="451">
        <v>3763475</v>
      </c>
      <c r="BV204" s="451">
        <v>242959</v>
      </c>
      <c r="BW204" s="451">
        <v>0</v>
      </c>
      <c r="BX204" s="451">
        <v>0</v>
      </c>
      <c r="BY204" s="451">
        <v>242959</v>
      </c>
      <c r="BZ204" s="451">
        <v>283009</v>
      </c>
      <c r="CA204" s="451">
        <v>0</v>
      </c>
      <c r="CB204" s="451">
        <v>0</v>
      </c>
      <c r="CC204" s="451">
        <v>283009</v>
      </c>
      <c r="CD204" s="451">
        <v>21796</v>
      </c>
      <c r="CE204" s="451">
        <v>0</v>
      </c>
      <c r="CF204" s="451">
        <v>0</v>
      </c>
      <c r="CG204" s="451">
        <v>21796</v>
      </c>
      <c r="CH204" s="451">
        <v>69982</v>
      </c>
      <c r="CI204" s="451">
        <v>0</v>
      </c>
      <c r="CJ204" s="451">
        <v>0</v>
      </c>
      <c r="CK204" s="451">
        <v>69982</v>
      </c>
      <c r="CL204" s="451">
        <v>19902</v>
      </c>
      <c r="CM204" s="451">
        <v>0</v>
      </c>
      <c r="CN204" s="451">
        <v>0</v>
      </c>
      <c r="CO204" s="451">
        <v>19902</v>
      </c>
      <c r="CP204" s="451">
        <v>2532</v>
      </c>
      <c r="CQ204" s="451">
        <v>0</v>
      </c>
      <c r="CR204" s="451">
        <v>0</v>
      </c>
      <c r="CS204" s="451">
        <v>2532</v>
      </c>
      <c r="CT204" s="451">
        <v>0</v>
      </c>
      <c r="CU204" s="451">
        <v>0</v>
      </c>
      <c r="CV204" s="451">
        <v>0</v>
      </c>
      <c r="CW204" s="451">
        <v>0</v>
      </c>
      <c r="CX204" s="451">
        <v>7112</v>
      </c>
      <c r="CY204" s="451">
        <v>0</v>
      </c>
      <c r="CZ204" s="451">
        <v>0</v>
      </c>
      <c r="DA204" s="451">
        <v>7112</v>
      </c>
      <c r="DB204" s="451">
        <v>1472</v>
      </c>
      <c r="DC204" s="451">
        <v>0</v>
      </c>
      <c r="DD204" s="451">
        <v>0</v>
      </c>
      <c r="DE204" s="451">
        <v>1472</v>
      </c>
      <c r="DF204" s="451">
        <v>922</v>
      </c>
      <c r="DG204" s="451">
        <v>0</v>
      </c>
      <c r="DH204" s="451">
        <v>0</v>
      </c>
      <c r="DI204" s="451">
        <v>922</v>
      </c>
      <c r="DJ204" s="451">
        <v>0</v>
      </c>
      <c r="DK204" s="451">
        <v>0</v>
      </c>
      <c r="DL204" s="451">
        <v>0</v>
      </c>
      <c r="DM204" s="451">
        <v>0</v>
      </c>
      <c r="DN204" s="451">
        <v>0</v>
      </c>
      <c r="DO204" s="451">
        <v>0</v>
      </c>
      <c r="DP204" s="451">
        <v>0</v>
      </c>
      <c r="DQ204" s="451">
        <v>0</v>
      </c>
      <c r="DR204" s="451">
        <v>0</v>
      </c>
      <c r="DS204" s="451">
        <v>0</v>
      </c>
      <c r="DT204" s="451">
        <v>0</v>
      </c>
      <c r="DU204" s="451">
        <v>0</v>
      </c>
      <c r="DV204" s="451">
        <v>0</v>
      </c>
      <c r="DW204" s="451">
        <v>0</v>
      </c>
      <c r="DX204" s="451">
        <v>0</v>
      </c>
      <c r="DY204" s="451">
        <v>0</v>
      </c>
      <c r="DZ204" s="451">
        <v>0</v>
      </c>
      <c r="EA204" s="451">
        <v>0</v>
      </c>
      <c r="EB204" s="451">
        <v>0</v>
      </c>
      <c r="EC204" s="451">
        <v>0</v>
      </c>
      <c r="ED204" s="451">
        <v>0</v>
      </c>
      <c r="EE204" s="451">
        <v>0</v>
      </c>
      <c r="EF204" s="451">
        <v>0</v>
      </c>
      <c r="EG204" s="451">
        <v>0</v>
      </c>
      <c r="EH204" s="451">
        <v>0</v>
      </c>
      <c r="EI204" s="451">
        <v>0</v>
      </c>
      <c r="EJ204" s="451">
        <v>0</v>
      </c>
      <c r="EK204" s="451">
        <v>0</v>
      </c>
      <c r="EL204" s="451">
        <v>0</v>
      </c>
      <c r="EM204" s="451">
        <v>0</v>
      </c>
    </row>
    <row r="205" spans="1:143" ht="12.75" x14ac:dyDescent="0.2">
      <c r="A205" s="446">
        <v>199</v>
      </c>
      <c r="B205" s="447" t="s">
        <v>281</v>
      </c>
      <c r="C205" s="448" t="s">
        <v>794</v>
      </c>
      <c r="D205" s="449" t="s">
        <v>1102</v>
      </c>
      <c r="E205" s="450" t="s">
        <v>736</v>
      </c>
      <c r="F205" s="451">
        <v>189355</v>
      </c>
      <c r="G205" s="451">
        <v>0</v>
      </c>
      <c r="H205" s="451">
        <v>0</v>
      </c>
      <c r="I205" s="451">
        <v>189355</v>
      </c>
      <c r="J205" s="451">
        <v>-300886</v>
      </c>
      <c r="K205" s="451">
        <v>0</v>
      </c>
      <c r="L205" s="451">
        <v>0</v>
      </c>
      <c r="M205" s="451">
        <v>-300886</v>
      </c>
      <c r="N205" s="451">
        <v>369695</v>
      </c>
      <c r="O205" s="451">
        <v>0</v>
      </c>
      <c r="P205" s="451">
        <v>0</v>
      </c>
      <c r="Q205" s="451">
        <v>369695</v>
      </c>
      <c r="R205" s="451">
        <v>141666</v>
      </c>
      <c r="S205" s="451">
        <v>0</v>
      </c>
      <c r="T205" s="451">
        <v>0</v>
      </c>
      <c r="U205" s="451">
        <v>141666</v>
      </c>
      <c r="V205" s="451">
        <v>4099245</v>
      </c>
      <c r="W205" s="451">
        <v>0</v>
      </c>
      <c r="X205" s="451">
        <v>0</v>
      </c>
      <c r="Y205" s="451">
        <v>4099245</v>
      </c>
      <c r="Z205" s="451">
        <v>228651</v>
      </c>
      <c r="AA205" s="451">
        <v>0</v>
      </c>
      <c r="AB205" s="451">
        <v>0</v>
      </c>
      <c r="AC205" s="451">
        <v>228651</v>
      </c>
      <c r="AD205" s="451">
        <v>1770760</v>
      </c>
      <c r="AE205" s="451">
        <v>0</v>
      </c>
      <c r="AF205" s="451">
        <v>0</v>
      </c>
      <c r="AG205" s="451">
        <v>1770760</v>
      </c>
      <c r="AH205" s="451">
        <v>-21847</v>
      </c>
      <c r="AI205" s="451">
        <v>0</v>
      </c>
      <c r="AJ205" s="451">
        <v>0</v>
      </c>
      <c r="AK205" s="451">
        <v>-21847</v>
      </c>
      <c r="AL205" s="451">
        <v>8792721</v>
      </c>
      <c r="AM205" s="451">
        <v>0</v>
      </c>
      <c r="AN205" s="451">
        <v>0</v>
      </c>
      <c r="AO205" s="451">
        <v>8792721</v>
      </c>
      <c r="AP205" s="451">
        <v>16366</v>
      </c>
      <c r="AQ205" s="451">
        <v>0</v>
      </c>
      <c r="AR205" s="451">
        <v>0</v>
      </c>
      <c r="AS205" s="451">
        <v>16366</v>
      </c>
      <c r="AT205" s="451">
        <v>13126</v>
      </c>
      <c r="AU205" s="451">
        <v>0</v>
      </c>
      <c r="AV205" s="451">
        <v>0</v>
      </c>
      <c r="AW205" s="451">
        <v>13126</v>
      </c>
      <c r="AX205" s="451">
        <v>0</v>
      </c>
      <c r="AY205" s="451">
        <v>0</v>
      </c>
      <c r="AZ205" s="451">
        <v>0</v>
      </c>
      <c r="BA205" s="451">
        <v>0</v>
      </c>
      <c r="BB205" s="451">
        <v>0</v>
      </c>
      <c r="BC205" s="451">
        <v>0</v>
      </c>
      <c r="BD205" s="451">
        <v>0</v>
      </c>
      <c r="BE205" s="451">
        <v>0</v>
      </c>
      <c r="BF205" s="451">
        <v>0</v>
      </c>
      <c r="BG205" s="451">
        <v>0</v>
      </c>
      <c r="BH205" s="451">
        <v>0</v>
      </c>
      <c r="BI205" s="451">
        <v>0</v>
      </c>
      <c r="BJ205" s="451">
        <v>51454</v>
      </c>
      <c r="BK205" s="451">
        <v>0</v>
      </c>
      <c r="BL205" s="451">
        <v>0</v>
      </c>
      <c r="BM205" s="451">
        <v>51454</v>
      </c>
      <c r="BN205" s="451">
        <v>12750</v>
      </c>
      <c r="BO205" s="451">
        <v>0</v>
      </c>
      <c r="BP205" s="451">
        <v>0</v>
      </c>
      <c r="BQ205" s="451">
        <v>12750</v>
      </c>
      <c r="BR205" s="451">
        <v>2862111</v>
      </c>
      <c r="BS205" s="451">
        <v>0</v>
      </c>
      <c r="BT205" s="451">
        <v>0</v>
      </c>
      <c r="BU205" s="451">
        <v>2862111</v>
      </c>
      <c r="BV205" s="451">
        <v>155057</v>
      </c>
      <c r="BW205" s="451">
        <v>0</v>
      </c>
      <c r="BX205" s="451">
        <v>0</v>
      </c>
      <c r="BY205" s="451">
        <v>155057</v>
      </c>
      <c r="BZ205" s="451">
        <v>83645</v>
      </c>
      <c r="CA205" s="451">
        <v>0</v>
      </c>
      <c r="CB205" s="451">
        <v>0</v>
      </c>
      <c r="CC205" s="451">
        <v>83645</v>
      </c>
      <c r="CD205" s="451">
        <v>-3795</v>
      </c>
      <c r="CE205" s="451">
        <v>0</v>
      </c>
      <c r="CF205" s="451">
        <v>0</v>
      </c>
      <c r="CG205" s="451">
        <v>-3795</v>
      </c>
      <c r="CH205" s="451">
        <v>161503</v>
      </c>
      <c r="CI205" s="451">
        <v>0</v>
      </c>
      <c r="CJ205" s="451">
        <v>0</v>
      </c>
      <c r="CK205" s="451">
        <v>161503</v>
      </c>
      <c r="CL205" s="451">
        <v>-31149</v>
      </c>
      <c r="CM205" s="451">
        <v>0</v>
      </c>
      <c r="CN205" s="451">
        <v>0</v>
      </c>
      <c r="CO205" s="451">
        <v>-31149</v>
      </c>
      <c r="CP205" s="451">
        <v>0</v>
      </c>
      <c r="CQ205" s="451">
        <v>0</v>
      </c>
      <c r="CR205" s="451">
        <v>0</v>
      </c>
      <c r="CS205" s="451">
        <v>0</v>
      </c>
      <c r="CT205" s="451">
        <v>0</v>
      </c>
      <c r="CU205" s="451">
        <v>0</v>
      </c>
      <c r="CV205" s="451">
        <v>0</v>
      </c>
      <c r="CW205" s="451">
        <v>0</v>
      </c>
      <c r="CX205" s="451">
        <v>0</v>
      </c>
      <c r="CY205" s="451">
        <v>0</v>
      </c>
      <c r="CZ205" s="451">
        <v>0</v>
      </c>
      <c r="DA205" s="451">
        <v>0</v>
      </c>
      <c r="DB205" s="451">
        <v>0</v>
      </c>
      <c r="DC205" s="451">
        <v>0</v>
      </c>
      <c r="DD205" s="451">
        <v>0</v>
      </c>
      <c r="DE205" s="451">
        <v>0</v>
      </c>
      <c r="DF205" s="451">
        <v>0</v>
      </c>
      <c r="DG205" s="451">
        <v>0</v>
      </c>
      <c r="DH205" s="451">
        <v>0</v>
      </c>
      <c r="DI205" s="451">
        <v>0</v>
      </c>
      <c r="DJ205" s="451">
        <v>0</v>
      </c>
      <c r="DK205" s="451">
        <v>0</v>
      </c>
      <c r="DL205" s="451">
        <v>0</v>
      </c>
      <c r="DM205" s="451">
        <v>0</v>
      </c>
      <c r="DN205" s="451">
        <v>51518</v>
      </c>
      <c r="DO205" s="451">
        <v>0</v>
      </c>
      <c r="DP205" s="451">
        <v>0</v>
      </c>
      <c r="DQ205" s="451">
        <v>51518</v>
      </c>
      <c r="DR205" s="451">
        <v>15648</v>
      </c>
      <c r="DS205" s="451">
        <v>0</v>
      </c>
      <c r="DT205" s="451">
        <v>0</v>
      </c>
      <c r="DU205" s="451">
        <v>15648</v>
      </c>
      <c r="DV205" s="451">
        <v>0</v>
      </c>
      <c r="DW205" s="451">
        <v>0</v>
      </c>
      <c r="DX205" s="451">
        <v>0</v>
      </c>
      <c r="DY205" s="451">
        <v>0</v>
      </c>
      <c r="DZ205" s="451">
        <v>0</v>
      </c>
      <c r="EA205" s="451">
        <v>0</v>
      </c>
      <c r="EB205" s="451">
        <v>6582</v>
      </c>
      <c r="EC205" s="451">
        <v>0</v>
      </c>
      <c r="ED205" s="451">
        <v>0</v>
      </c>
      <c r="EE205" s="451">
        <v>6582</v>
      </c>
      <c r="EF205" s="451">
        <v>213971</v>
      </c>
      <c r="EG205" s="451">
        <v>0</v>
      </c>
      <c r="EH205" s="451">
        <v>0</v>
      </c>
      <c r="EI205" s="451">
        <v>213971</v>
      </c>
      <c r="EJ205" s="451">
        <v>-235</v>
      </c>
      <c r="EK205" s="451">
        <v>0</v>
      </c>
      <c r="EL205" s="451">
        <v>0</v>
      </c>
      <c r="EM205" s="451">
        <v>-235</v>
      </c>
    </row>
    <row r="206" spans="1:143" ht="12.75" x14ac:dyDescent="0.2">
      <c r="A206" s="446">
        <v>200</v>
      </c>
      <c r="B206" s="447" t="s">
        <v>283</v>
      </c>
      <c r="C206" s="448" t="s">
        <v>794</v>
      </c>
      <c r="D206" s="449" t="s">
        <v>1102</v>
      </c>
      <c r="E206" s="450" t="s">
        <v>737</v>
      </c>
      <c r="F206" s="451">
        <v>45736.63</v>
      </c>
      <c r="G206" s="451">
        <v>0</v>
      </c>
      <c r="H206" s="451">
        <v>0</v>
      </c>
      <c r="I206" s="451">
        <v>45736.63</v>
      </c>
      <c r="J206" s="451">
        <v>-180883.69</v>
      </c>
      <c r="K206" s="451">
        <v>0</v>
      </c>
      <c r="L206" s="451">
        <v>0</v>
      </c>
      <c r="M206" s="451">
        <v>-180883.69</v>
      </c>
      <c r="N206" s="451">
        <v>36239.919999999998</v>
      </c>
      <c r="O206" s="451">
        <v>0</v>
      </c>
      <c r="P206" s="451">
        <v>0</v>
      </c>
      <c r="Q206" s="451">
        <v>36239.919999999998</v>
      </c>
      <c r="R206" s="451">
        <v>440650.16</v>
      </c>
      <c r="S206" s="451">
        <v>0</v>
      </c>
      <c r="T206" s="451">
        <v>0</v>
      </c>
      <c r="U206" s="451">
        <v>440650.16</v>
      </c>
      <c r="V206" s="451">
        <v>2855817.82</v>
      </c>
      <c r="W206" s="451">
        <v>0</v>
      </c>
      <c r="X206" s="451">
        <v>0</v>
      </c>
      <c r="Y206" s="451">
        <v>2855817.82</v>
      </c>
      <c r="Z206" s="451">
        <v>108651.52</v>
      </c>
      <c r="AA206" s="451">
        <v>0</v>
      </c>
      <c r="AB206" s="451">
        <v>0</v>
      </c>
      <c r="AC206" s="451">
        <v>108651.52</v>
      </c>
      <c r="AD206" s="451">
        <v>1207098.24</v>
      </c>
      <c r="AE206" s="451">
        <v>0</v>
      </c>
      <c r="AF206" s="451">
        <v>0</v>
      </c>
      <c r="AG206" s="451">
        <v>1207098.24</v>
      </c>
      <c r="AH206" s="451">
        <v>-39461.629999999997</v>
      </c>
      <c r="AI206" s="451">
        <v>0</v>
      </c>
      <c r="AJ206" s="451">
        <v>0</v>
      </c>
      <c r="AK206" s="451">
        <v>-39461.629999999997</v>
      </c>
      <c r="AL206" s="451">
        <v>4368960.1900000004</v>
      </c>
      <c r="AM206" s="451">
        <v>0</v>
      </c>
      <c r="AN206" s="451">
        <v>0</v>
      </c>
      <c r="AO206" s="451">
        <v>4368960.1900000004</v>
      </c>
      <c r="AP206" s="451">
        <v>96674.87</v>
      </c>
      <c r="AQ206" s="451">
        <v>0</v>
      </c>
      <c r="AR206" s="451">
        <v>0</v>
      </c>
      <c r="AS206" s="451">
        <v>96674.87</v>
      </c>
      <c r="AT206" s="451">
        <v>35381.519999999997</v>
      </c>
      <c r="AU206" s="451">
        <v>0</v>
      </c>
      <c r="AV206" s="451">
        <v>0</v>
      </c>
      <c r="AW206" s="451">
        <v>35381.519999999997</v>
      </c>
      <c r="AX206" s="451">
        <v>0</v>
      </c>
      <c r="AY206" s="451">
        <v>0</v>
      </c>
      <c r="AZ206" s="451">
        <v>0</v>
      </c>
      <c r="BA206" s="451">
        <v>0</v>
      </c>
      <c r="BB206" s="451">
        <v>0</v>
      </c>
      <c r="BC206" s="451">
        <v>0</v>
      </c>
      <c r="BD206" s="451">
        <v>0</v>
      </c>
      <c r="BE206" s="451">
        <v>0</v>
      </c>
      <c r="BF206" s="451">
        <v>0</v>
      </c>
      <c r="BG206" s="451">
        <v>0</v>
      </c>
      <c r="BH206" s="451">
        <v>0</v>
      </c>
      <c r="BI206" s="451">
        <v>0</v>
      </c>
      <c r="BJ206" s="451">
        <v>15793.15</v>
      </c>
      <c r="BK206" s="451">
        <v>0</v>
      </c>
      <c r="BL206" s="451">
        <v>0</v>
      </c>
      <c r="BM206" s="451">
        <v>15793.15</v>
      </c>
      <c r="BN206" s="451">
        <v>97434.29</v>
      </c>
      <c r="BO206" s="451">
        <v>0</v>
      </c>
      <c r="BP206" s="451">
        <v>0</v>
      </c>
      <c r="BQ206" s="451">
        <v>97434.29</v>
      </c>
      <c r="BR206" s="451">
        <v>1862562.18</v>
      </c>
      <c r="BS206" s="451">
        <v>0</v>
      </c>
      <c r="BT206" s="451">
        <v>0</v>
      </c>
      <c r="BU206" s="451">
        <v>1862562.18</v>
      </c>
      <c r="BV206" s="451">
        <v>-20018.41</v>
      </c>
      <c r="BW206" s="451">
        <v>0</v>
      </c>
      <c r="BX206" s="451">
        <v>0</v>
      </c>
      <c r="BY206" s="451">
        <v>-20018.41</v>
      </c>
      <c r="BZ206" s="451">
        <v>269790.77</v>
      </c>
      <c r="CA206" s="451">
        <v>0</v>
      </c>
      <c r="CB206" s="451">
        <v>0</v>
      </c>
      <c r="CC206" s="451">
        <v>269790.77</v>
      </c>
      <c r="CD206" s="451">
        <v>3268.17</v>
      </c>
      <c r="CE206" s="451">
        <v>0</v>
      </c>
      <c r="CF206" s="451">
        <v>0</v>
      </c>
      <c r="CG206" s="451">
        <v>3268.17</v>
      </c>
      <c r="CH206" s="451">
        <v>35550</v>
      </c>
      <c r="CI206" s="451">
        <v>0</v>
      </c>
      <c r="CJ206" s="451">
        <v>0</v>
      </c>
      <c r="CK206" s="451">
        <v>35550</v>
      </c>
      <c r="CL206" s="451">
        <v>-2376.64</v>
      </c>
      <c r="CM206" s="451">
        <v>0</v>
      </c>
      <c r="CN206" s="451">
        <v>0</v>
      </c>
      <c r="CO206" s="451">
        <v>-2376.64</v>
      </c>
      <c r="CP206" s="451">
        <v>2684.69</v>
      </c>
      <c r="CQ206" s="451">
        <v>0</v>
      </c>
      <c r="CR206" s="451">
        <v>0</v>
      </c>
      <c r="CS206" s="451">
        <v>2684.69</v>
      </c>
      <c r="CT206" s="451">
        <v>0</v>
      </c>
      <c r="CU206" s="451">
        <v>0</v>
      </c>
      <c r="CV206" s="451">
        <v>0</v>
      </c>
      <c r="CW206" s="451">
        <v>0</v>
      </c>
      <c r="CX206" s="451">
        <v>0</v>
      </c>
      <c r="CY206" s="451">
        <v>0</v>
      </c>
      <c r="CZ206" s="451">
        <v>0</v>
      </c>
      <c r="DA206" s="451">
        <v>0</v>
      </c>
      <c r="DB206" s="451">
        <v>0</v>
      </c>
      <c r="DC206" s="451">
        <v>0</v>
      </c>
      <c r="DD206" s="451">
        <v>0</v>
      </c>
      <c r="DE206" s="451">
        <v>0</v>
      </c>
      <c r="DF206" s="451">
        <v>0</v>
      </c>
      <c r="DG206" s="451">
        <v>0</v>
      </c>
      <c r="DH206" s="451">
        <v>0</v>
      </c>
      <c r="DI206" s="451">
        <v>0</v>
      </c>
      <c r="DJ206" s="451">
        <v>0</v>
      </c>
      <c r="DK206" s="451">
        <v>0</v>
      </c>
      <c r="DL206" s="451">
        <v>0</v>
      </c>
      <c r="DM206" s="451">
        <v>0</v>
      </c>
      <c r="DN206" s="451">
        <v>0</v>
      </c>
      <c r="DO206" s="451">
        <v>0</v>
      </c>
      <c r="DP206" s="451">
        <v>0</v>
      </c>
      <c r="DQ206" s="451">
        <v>0</v>
      </c>
      <c r="DR206" s="451">
        <v>0</v>
      </c>
      <c r="DS206" s="451">
        <v>0</v>
      </c>
      <c r="DT206" s="451">
        <v>0</v>
      </c>
      <c r="DU206" s="451">
        <v>0</v>
      </c>
      <c r="DV206" s="451">
        <v>0</v>
      </c>
      <c r="DW206" s="451">
        <v>0</v>
      </c>
      <c r="DX206" s="451">
        <v>0</v>
      </c>
      <c r="DY206" s="451">
        <v>0</v>
      </c>
      <c r="DZ206" s="451">
        <v>0</v>
      </c>
      <c r="EA206" s="451">
        <v>0</v>
      </c>
      <c r="EB206" s="451">
        <v>0</v>
      </c>
      <c r="EC206" s="451">
        <v>0</v>
      </c>
      <c r="ED206" s="451">
        <v>0</v>
      </c>
      <c r="EE206" s="451">
        <v>0</v>
      </c>
      <c r="EF206" s="451">
        <v>0</v>
      </c>
      <c r="EG206" s="451">
        <v>0</v>
      </c>
      <c r="EH206" s="451">
        <v>0</v>
      </c>
      <c r="EI206" s="451">
        <v>0</v>
      </c>
      <c r="EJ206" s="451">
        <v>0</v>
      </c>
      <c r="EK206" s="451">
        <v>0</v>
      </c>
      <c r="EL206" s="451">
        <v>0</v>
      </c>
      <c r="EM206" s="451">
        <v>0</v>
      </c>
    </row>
    <row r="207" spans="1:143" ht="12.75" x14ac:dyDescent="0.2">
      <c r="A207" s="446">
        <v>201</v>
      </c>
      <c r="B207" s="447" t="s">
        <v>285</v>
      </c>
      <c r="C207" s="448" t="s">
        <v>794</v>
      </c>
      <c r="D207" s="449" t="s">
        <v>1094</v>
      </c>
      <c r="E207" s="450" t="s">
        <v>738</v>
      </c>
      <c r="F207" s="451">
        <v>580881</v>
      </c>
      <c r="G207" s="451">
        <v>0</v>
      </c>
      <c r="H207" s="451">
        <v>0</v>
      </c>
      <c r="I207" s="451">
        <v>580881</v>
      </c>
      <c r="J207" s="451">
        <v>0</v>
      </c>
      <c r="K207" s="451">
        <v>0</v>
      </c>
      <c r="L207" s="451">
        <v>0</v>
      </c>
      <c r="M207" s="451">
        <v>0</v>
      </c>
      <c r="N207" s="451">
        <v>974438</v>
      </c>
      <c r="O207" s="451">
        <v>0</v>
      </c>
      <c r="P207" s="451">
        <v>0</v>
      </c>
      <c r="Q207" s="451">
        <v>974438</v>
      </c>
      <c r="R207" s="451">
        <v>2120888</v>
      </c>
      <c r="S207" s="451">
        <v>0</v>
      </c>
      <c r="T207" s="451">
        <v>0</v>
      </c>
      <c r="U207" s="451">
        <v>2120888</v>
      </c>
      <c r="V207" s="451">
        <v>3294878</v>
      </c>
      <c r="W207" s="451">
        <v>0</v>
      </c>
      <c r="X207" s="451">
        <v>0</v>
      </c>
      <c r="Y207" s="451">
        <v>3294878</v>
      </c>
      <c r="Z207" s="451">
        <v>220594</v>
      </c>
      <c r="AA207" s="451">
        <v>0</v>
      </c>
      <c r="AB207" s="451">
        <v>0</v>
      </c>
      <c r="AC207" s="451">
        <v>220594</v>
      </c>
      <c r="AD207" s="451">
        <v>1598816</v>
      </c>
      <c r="AE207" s="451">
        <v>0</v>
      </c>
      <c r="AF207" s="451">
        <v>0</v>
      </c>
      <c r="AG207" s="451">
        <v>1598816</v>
      </c>
      <c r="AH207" s="451">
        <v>0</v>
      </c>
      <c r="AI207" s="451">
        <v>0</v>
      </c>
      <c r="AJ207" s="451">
        <v>0</v>
      </c>
      <c r="AK207" s="451">
        <v>0</v>
      </c>
      <c r="AL207" s="451">
        <v>5745576</v>
      </c>
      <c r="AM207" s="451">
        <v>0</v>
      </c>
      <c r="AN207" s="451">
        <v>0</v>
      </c>
      <c r="AO207" s="451">
        <v>5745576</v>
      </c>
      <c r="AP207" s="451">
        <v>-166447</v>
      </c>
      <c r="AQ207" s="451">
        <v>0</v>
      </c>
      <c r="AR207" s="451">
        <v>0</v>
      </c>
      <c r="AS207" s="451">
        <v>-166447</v>
      </c>
      <c r="AT207" s="451">
        <v>31962</v>
      </c>
      <c r="AU207" s="451">
        <v>0</v>
      </c>
      <c r="AV207" s="451">
        <v>0</v>
      </c>
      <c r="AW207" s="451">
        <v>31962</v>
      </c>
      <c r="AX207" s="451">
        <v>0</v>
      </c>
      <c r="AY207" s="451">
        <v>0</v>
      </c>
      <c r="AZ207" s="451">
        <v>0</v>
      </c>
      <c r="BA207" s="451">
        <v>0</v>
      </c>
      <c r="BB207" s="451">
        <v>0</v>
      </c>
      <c r="BC207" s="451">
        <v>0</v>
      </c>
      <c r="BD207" s="451">
        <v>0</v>
      </c>
      <c r="BE207" s="451">
        <v>0</v>
      </c>
      <c r="BF207" s="451">
        <v>0</v>
      </c>
      <c r="BG207" s="451">
        <v>0</v>
      </c>
      <c r="BH207" s="451">
        <v>0</v>
      </c>
      <c r="BI207" s="451">
        <v>0</v>
      </c>
      <c r="BJ207" s="451">
        <v>43340</v>
      </c>
      <c r="BK207" s="451">
        <v>0</v>
      </c>
      <c r="BL207" s="451">
        <v>0</v>
      </c>
      <c r="BM207" s="451">
        <v>43340</v>
      </c>
      <c r="BN207" s="451">
        <v>12383</v>
      </c>
      <c r="BO207" s="451">
        <v>0</v>
      </c>
      <c r="BP207" s="451">
        <v>0</v>
      </c>
      <c r="BQ207" s="451">
        <v>12383</v>
      </c>
      <c r="BR207" s="451">
        <v>1725359</v>
      </c>
      <c r="BS207" s="451">
        <v>0</v>
      </c>
      <c r="BT207" s="451">
        <v>0</v>
      </c>
      <c r="BU207" s="451">
        <v>1725359</v>
      </c>
      <c r="BV207" s="451">
        <v>481</v>
      </c>
      <c r="BW207" s="451">
        <v>0</v>
      </c>
      <c r="BX207" s="451">
        <v>0</v>
      </c>
      <c r="BY207" s="451">
        <v>481</v>
      </c>
      <c r="BZ207" s="451">
        <v>216142</v>
      </c>
      <c r="CA207" s="451">
        <v>0</v>
      </c>
      <c r="CB207" s="451">
        <v>0</v>
      </c>
      <c r="CC207" s="451">
        <v>216142</v>
      </c>
      <c r="CD207" s="451">
        <v>1000</v>
      </c>
      <c r="CE207" s="451">
        <v>0</v>
      </c>
      <c r="CF207" s="451">
        <v>0</v>
      </c>
      <c r="CG207" s="451">
        <v>1000</v>
      </c>
      <c r="CH207" s="451">
        <v>6080</v>
      </c>
      <c r="CI207" s="451">
        <v>0</v>
      </c>
      <c r="CJ207" s="451">
        <v>0</v>
      </c>
      <c r="CK207" s="451">
        <v>6080</v>
      </c>
      <c r="CL207" s="451">
        <v>0</v>
      </c>
      <c r="CM207" s="451">
        <v>0</v>
      </c>
      <c r="CN207" s="451">
        <v>0</v>
      </c>
      <c r="CO207" s="451">
        <v>0</v>
      </c>
      <c r="CP207" s="451">
        <v>0</v>
      </c>
      <c r="CQ207" s="451">
        <v>0</v>
      </c>
      <c r="CR207" s="451">
        <v>0</v>
      </c>
      <c r="CS207" s="451">
        <v>0</v>
      </c>
      <c r="CT207" s="451">
        <v>0</v>
      </c>
      <c r="CU207" s="451">
        <v>0</v>
      </c>
      <c r="CV207" s="451">
        <v>0</v>
      </c>
      <c r="CW207" s="451">
        <v>0</v>
      </c>
      <c r="CX207" s="451">
        <v>0</v>
      </c>
      <c r="CY207" s="451">
        <v>0</v>
      </c>
      <c r="CZ207" s="451">
        <v>0</v>
      </c>
      <c r="DA207" s="451">
        <v>0</v>
      </c>
      <c r="DB207" s="451">
        <v>0</v>
      </c>
      <c r="DC207" s="451">
        <v>0</v>
      </c>
      <c r="DD207" s="451">
        <v>0</v>
      </c>
      <c r="DE207" s="451">
        <v>0</v>
      </c>
      <c r="DF207" s="451">
        <v>0</v>
      </c>
      <c r="DG207" s="451">
        <v>0</v>
      </c>
      <c r="DH207" s="451">
        <v>0</v>
      </c>
      <c r="DI207" s="451">
        <v>0</v>
      </c>
      <c r="DJ207" s="451">
        <v>0</v>
      </c>
      <c r="DK207" s="451">
        <v>0</v>
      </c>
      <c r="DL207" s="451">
        <v>0</v>
      </c>
      <c r="DM207" s="451">
        <v>0</v>
      </c>
      <c r="DN207" s="451">
        <v>0</v>
      </c>
      <c r="DO207" s="451">
        <v>0</v>
      </c>
      <c r="DP207" s="451">
        <v>0</v>
      </c>
      <c r="DQ207" s="451">
        <v>0</v>
      </c>
      <c r="DR207" s="451">
        <v>0</v>
      </c>
      <c r="DS207" s="451">
        <v>0</v>
      </c>
      <c r="DT207" s="451">
        <v>0</v>
      </c>
      <c r="DU207" s="451">
        <v>0</v>
      </c>
      <c r="DV207" s="451">
        <v>0</v>
      </c>
      <c r="DW207" s="451">
        <v>0</v>
      </c>
      <c r="DX207" s="451">
        <v>0</v>
      </c>
      <c r="DY207" s="451">
        <v>0</v>
      </c>
      <c r="DZ207" s="451">
        <v>0</v>
      </c>
      <c r="EA207" s="451">
        <v>0</v>
      </c>
      <c r="EB207" s="451">
        <v>0</v>
      </c>
      <c r="EC207" s="451">
        <v>0</v>
      </c>
      <c r="ED207" s="451">
        <v>0</v>
      </c>
      <c r="EE207" s="451">
        <v>0</v>
      </c>
      <c r="EF207" s="451">
        <v>0</v>
      </c>
      <c r="EG207" s="451">
        <v>0</v>
      </c>
      <c r="EH207" s="451">
        <v>0</v>
      </c>
      <c r="EI207" s="451">
        <v>0</v>
      </c>
      <c r="EJ207" s="451">
        <v>0</v>
      </c>
      <c r="EK207" s="451">
        <v>0</v>
      </c>
      <c r="EL207" s="451">
        <v>0</v>
      </c>
      <c r="EM207" s="451">
        <v>0</v>
      </c>
    </row>
    <row r="208" spans="1:143" ht="12.75" x14ac:dyDescent="0.2">
      <c r="A208" s="446">
        <v>202</v>
      </c>
      <c r="B208" s="447" t="s">
        <v>287</v>
      </c>
      <c r="C208" s="448" t="s">
        <v>1093</v>
      </c>
      <c r="D208" s="449" t="s">
        <v>1095</v>
      </c>
      <c r="E208" s="450" t="s">
        <v>286</v>
      </c>
      <c r="F208" s="451">
        <v>328321</v>
      </c>
      <c r="G208" s="451">
        <v>0</v>
      </c>
      <c r="H208" s="451">
        <v>0</v>
      </c>
      <c r="I208" s="451">
        <v>328321</v>
      </c>
      <c r="J208" s="451">
        <v>-416821.61</v>
      </c>
      <c r="K208" s="451">
        <v>0</v>
      </c>
      <c r="L208" s="451">
        <v>0</v>
      </c>
      <c r="M208" s="451">
        <v>-416821.61</v>
      </c>
      <c r="N208" s="451">
        <v>74164.61</v>
      </c>
      <c r="O208" s="451">
        <v>0</v>
      </c>
      <c r="P208" s="451">
        <v>0</v>
      </c>
      <c r="Q208" s="451">
        <v>74164.61</v>
      </c>
      <c r="R208" s="451">
        <v>290469.46000000002</v>
      </c>
      <c r="S208" s="451">
        <v>0</v>
      </c>
      <c r="T208" s="451">
        <v>0</v>
      </c>
      <c r="U208" s="451">
        <v>290469.46000000002</v>
      </c>
      <c r="V208" s="451">
        <v>3120892.23</v>
      </c>
      <c r="W208" s="451">
        <v>0</v>
      </c>
      <c r="X208" s="451">
        <v>0</v>
      </c>
      <c r="Y208" s="451">
        <v>3120892.23</v>
      </c>
      <c r="Z208" s="451">
        <v>152892.96</v>
      </c>
      <c r="AA208" s="451">
        <v>0</v>
      </c>
      <c r="AB208" s="451">
        <v>0</v>
      </c>
      <c r="AC208" s="451">
        <v>152892.96</v>
      </c>
      <c r="AD208" s="451">
        <v>1342716.42</v>
      </c>
      <c r="AE208" s="451">
        <v>0</v>
      </c>
      <c r="AF208" s="451">
        <v>0</v>
      </c>
      <c r="AG208" s="451">
        <v>1342716.42</v>
      </c>
      <c r="AH208" s="451">
        <v>-34753.730000000003</v>
      </c>
      <c r="AI208" s="451">
        <v>0</v>
      </c>
      <c r="AJ208" s="451">
        <v>0</v>
      </c>
      <c r="AK208" s="451">
        <v>-34753.730000000003</v>
      </c>
      <c r="AL208" s="451">
        <v>4477092.22</v>
      </c>
      <c r="AM208" s="451">
        <v>0</v>
      </c>
      <c r="AN208" s="451">
        <v>0</v>
      </c>
      <c r="AO208" s="451">
        <v>4477092.22</v>
      </c>
      <c r="AP208" s="451">
        <v>225154.2</v>
      </c>
      <c r="AQ208" s="451">
        <v>0</v>
      </c>
      <c r="AR208" s="451">
        <v>0</v>
      </c>
      <c r="AS208" s="451">
        <v>225154.2</v>
      </c>
      <c r="AT208" s="451">
        <v>71264.179999999993</v>
      </c>
      <c r="AU208" s="451">
        <v>0</v>
      </c>
      <c r="AV208" s="451">
        <v>0</v>
      </c>
      <c r="AW208" s="451">
        <v>71264.179999999993</v>
      </c>
      <c r="AX208" s="451">
        <v>0</v>
      </c>
      <c r="AY208" s="451">
        <v>0</v>
      </c>
      <c r="AZ208" s="451">
        <v>0</v>
      </c>
      <c r="BA208" s="451">
        <v>0</v>
      </c>
      <c r="BB208" s="451">
        <v>2954.7</v>
      </c>
      <c r="BC208" s="451">
        <v>0</v>
      </c>
      <c r="BD208" s="451">
        <v>0</v>
      </c>
      <c r="BE208" s="451">
        <v>2954.7</v>
      </c>
      <c r="BF208" s="451">
        <v>0</v>
      </c>
      <c r="BG208" s="451">
        <v>0</v>
      </c>
      <c r="BH208" s="451">
        <v>0</v>
      </c>
      <c r="BI208" s="451">
        <v>0</v>
      </c>
      <c r="BJ208" s="451">
        <v>443.47</v>
      </c>
      <c r="BK208" s="451">
        <v>0</v>
      </c>
      <c r="BL208" s="451">
        <v>0</v>
      </c>
      <c r="BM208" s="451">
        <v>443.47</v>
      </c>
      <c r="BN208" s="451">
        <v>366.17</v>
      </c>
      <c r="BO208" s="451">
        <v>0</v>
      </c>
      <c r="BP208" s="451">
        <v>0</v>
      </c>
      <c r="BQ208" s="451">
        <v>366.17</v>
      </c>
      <c r="BR208" s="451">
        <v>3196793.71</v>
      </c>
      <c r="BS208" s="451">
        <v>0</v>
      </c>
      <c r="BT208" s="451">
        <v>0</v>
      </c>
      <c r="BU208" s="451">
        <v>3196793.71</v>
      </c>
      <c r="BV208" s="451">
        <v>180178.36</v>
      </c>
      <c r="BW208" s="451">
        <v>0</v>
      </c>
      <c r="BX208" s="451">
        <v>0</v>
      </c>
      <c r="BY208" s="451">
        <v>180178.36</v>
      </c>
      <c r="BZ208" s="451">
        <v>57691.49</v>
      </c>
      <c r="CA208" s="451">
        <v>0</v>
      </c>
      <c r="CB208" s="451">
        <v>0</v>
      </c>
      <c r="CC208" s="451">
        <v>57691.49</v>
      </c>
      <c r="CD208" s="451">
        <v>453.57</v>
      </c>
      <c r="CE208" s="451">
        <v>0</v>
      </c>
      <c r="CF208" s="451">
        <v>0</v>
      </c>
      <c r="CG208" s="451">
        <v>453.57</v>
      </c>
      <c r="CH208" s="451">
        <v>6853.94</v>
      </c>
      <c r="CI208" s="451">
        <v>0</v>
      </c>
      <c r="CJ208" s="451">
        <v>0</v>
      </c>
      <c r="CK208" s="451">
        <v>6853.94</v>
      </c>
      <c r="CL208" s="451">
        <v>0</v>
      </c>
      <c r="CM208" s="451">
        <v>0</v>
      </c>
      <c r="CN208" s="451">
        <v>0</v>
      </c>
      <c r="CO208" s="451">
        <v>0</v>
      </c>
      <c r="CP208" s="451">
        <v>292.02</v>
      </c>
      <c r="CQ208" s="451">
        <v>0</v>
      </c>
      <c r="CR208" s="451">
        <v>0</v>
      </c>
      <c r="CS208" s="451">
        <v>292.02</v>
      </c>
      <c r="CT208" s="451">
        <v>0</v>
      </c>
      <c r="CU208" s="451">
        <v>0</v>
      </c>
      <c r="CV208" s="451">
        <v>0</v>
      </c>
      <c r="CW208" s="451">
        <v>0</v>
      </c>
      <c r="CX208" s="451">
        <v>2954.7</v>
      </c>
      <c r="CY208" s="451">
        <v>0</v>
      </c>
      <c r="CZ208" s="451">
        <v>0</v>
      </c>
      <c r="DA208" s="451">
        <v>2954.7</v>
      </c>
      <c r="DB208" s="451">
        <v>0</v>
      </c>
      <c r="DC208" s="451">
        <v>0</v>
      </c>
      <c r="DD208" s="451">
        <v>0</v>
      </c>
      <c r="DE208" s="451">
        <v>0</v>
      </c>
      <c r="DF208" s="451">
        <v>0</v>
      </c>
      <c r="DG208" s="451">
        <v>0</v>
      </c>
      <c r="DH208" s="451">
        <v>0</v>
      </c>
      <c r="DI208" s="451">
        <v>0</v>
      </c>
      <c r="DJ208" s="451">
        <v>0</v>
      </c>
      <c r="DK208" s="451">
        <v>0</v>
      </c>
      <c r="DL208" s="451">
        <v>0</v>
      </c>
      <c r="DM208" s="451">
        <v>0</v>
      </c>
      <c r="DN208" s="451">
        <v>0</v>
      </c>
      <c r="DO208" s="451">
        <v>0</v>
      </c>
      <c r="DP208" s="451">
        <v>0</v>
      </c>
      <c r="DQ208" s="451">
        <v>0</v>
      </c>
      <c r="DR208" s="451">
        <v>0</v>
      </c>
      <c r="DS208" s="451">
        <v>0</v>
      </c>
      <c r="DT208" s="451">
        <v>0</v>
      </c>
      <c r="DU208" s="451">
        <v>0</v>
      </c>
      <c r="DV208" s="451">
        <v>0</v>
      </c>
      <c r="DW208" s="451">
        <v>0</v>
      </c>
      <c r="DX208" s="451">
        <v>0</v>
      </c>
      <c r="DY208" s="451">
        <v>0</v>
      </c>
      <c r="DZ208" s="451">
        <v>0</v>
      </c>
      <c r="EA208" s="451">
        <v>0</v>
      </c>
      <c r="EB208" s="451">
        <v>0</v>
      </c>
      <c r="EC208" s="451">
        <v>0</v>
      </c>
      <c r="ED208" s="451">
        <v>0</v>
      </c>
      <c r="EE208" s="451">
        <v>0</v>
      </c>
      <c r="EF208" s="451">
        <v>0</v>
      </c>
      <c r="EG208" s="451">
        <v>0</v>
      </c>
      <c r="EH208" s="451">
        <v>0</v>
      </c>
      <c r="EI208" s="451">
        <v>0</v>
      </c>
      <c r="EJ208" s="451">
        <v>0</v>
      </c>
      <c r="EK208" s="451">
        <v>0</v>
      </c>
      <c r="EL208" s="451">
        <v>0</v>
      </c>
      <c r="EM208" s="451">
        <v>0</v>
      </c>
    </row>
    <row r="209" spans="1:143" ht="12.75" x14ac:dyDescent="0.2">
      <c r="A209" s="446">
        <v>203</v>
      </c>
      <c r="B209" s="447" t="s">
        <v>289</v>
      </c>
      <c r="C209" s="448" t="s">
        <v>1093</v>
      </c>
      <c r="D209" s="449" t="s">
        <v>1102</v>
      </c>
      <c r="E209" s="450" t="s">
        <v>288</v>
      </c>
      <c r="F209" s="451">
        <v>109070.55</v>
      </c>
      <c r="G209" s="451">
        <v>0</v>
      </c>
      <c r="H209" s="451">
        <v>0</v>
      </c>
      <c r="I209" s="451">
        <v>109070.55</v>
      </c>
      <c r="J209" s="451">
        <v>101233.51</v>
      </c>
      <c r="K209" s="451">
        <v>0</v>
      </c>
      <c r="L209" s="451">
        <v>0</v>
      </c>
      <c r="M209" s="451">
        <v>101233.51</v>
      </c>
      <c r="N209" s="451">
        <v>45435.19</v>
      </c>
      <c r="O209" s="451">
        <v>0</v>
      </c>
      <c r="P209" s="451">
        <v>0</v>
      </c>
      <c r="Q209" s="451">
        <v>45435.19</v>
      </c>
      <c r="R209" s="451">
        <v>19338.03</v>
      </c>
      <c r="S209" s="451">
        <v>0</v>
      </c>
      <c r="T209" s="451">
        <v>0</v>
      </c>
      <c r="U209" s="451">
        <v>19338.03</v>
      </c>
      <c r="V209" s="451">
        <v>1590534.01</v>
      </c>
      <c r="W209" s="451">
        <v>0</v>
      </c>
      <c r="X209" s="451">
        <v>0</v>
      </c>
      <c r="Y209" s="451">
        <v>1590534.01</v>
      </c>
      <c r="Z209" s="451">
        <v>105862.49</v>
      </c>
      <c r="AA209" s="451">
        <v>0</v>
      </c>
      <c r="AB209" s="451">
        <v>0</v>
      </c>
      <c r="AC209" s="451">
        <v>105862.49</v>
      </c>
      <c r="AD209" s="451">
        <v>302321.96000000002</v>
      </c>
      <c r="AE209" s="451">
        <v>0</v>
      </c>
      <c r="AF209" s="451">
        <v>0</v>
      </c>
      <c r="AG209" s="451">
        <v>302321.96000000002</v>
      </c>
      <c r="AH209" s="451">
        <v>16776.55</v>
      </c>
      <c r="AI209" s="451">
        <v>0</v>
      </c>
      <c r="AJ209" s="451">
        <v>0</v>
      </c>
      <c r="AK209" s="451">
        <v>16776.55</v>
      </c>
      <c r="AL209" s="451">
        <v>688086.93</v>
      </c>
      <c r="AM209" s="451">
        <v>0</v>
      </c>
      <c r="AN209" s="451">
        <v>0</v>
      </c>
      <c r="AO209" s="451">
        <v>688086.93</v>
      </c>
      <c r="AP209" s="451">
        <v>10428.049999999999</v>
      </c>
      <c r="AQ209" s="451">
        <v>0</v>
      </c>
      <c r="AR209" s="451">
        <v>0</v>
      </c>
      <c r="AS209" s="451">
        <v>10428.049999999999</v>
      </c>
      <c r="AT209" s="451">
        <v>43635.35</v>
      </c>
      <c r="AU209" s="451">
        <v>0</v>
      </c>
      <c r="AV209" s="451">
        <v>0</v>
      </c>
      <c r="AW209" s="451">
        <v>43635.35</v>
      </c>
      <c r="AX209" s="451">
        <v>0</v>
      </c>
      <c r="AY209" s="451">
        <v>0</v>
      </c>
      <c r="AZ209" s="451">
        <v>0</v>
      </c>
      <c r="BA209" s="451">
        <v>0</v>
      </c>
      <c r="BB209" s="451">
        <v>8619.27</v>
      </c>
      <c r="BC209" s="451">
        <v>0</v>
      </c>
      <c r="BD209" s="451">
        <v>0</v>
      </c>
      <c r="BE209" s="451">
        <v>8619.27</v>
      </c>
      <c r="BF209" s="451">
        <v>0</v>
      </c>
      <c r="BG209" s="451">
        <v>0</v>
      </c>
      <c r="BH209" s="451">
        <v>0</v>
      </c>
      <c r="BI209" s="451">
        <v>0</v>
      </c>
      <c r="BJ209" s="451">
        <v>0</v>
      </c>
      <c r="BK209" s="451">
        <v>0</v>
      </c>
      <c r="BL209" s="451">
        <v>0</v>
      </c>
      <c r="BM209" s="451">
        <v>0</v>
      </c>
      <c r="BN209" s="451">
        <v>0</v>
      </c>
      <c r="BO209" s="451">
        <v>0</v>
      </c>
      <c r="BP209" s="451">
        <v>0</v>
      </c>
      <c r="BQ209" s="451">
        <v>0</v>
      </c>
      <c r="BR209" s="451">
        <v>288008.12</v>
      </c>
      <c r="BS209" s="451">
        <v>0</v>
      </c>
      <c r="BT209" s="451">
        <v>0</v>
      </c>
      <c r="BU209" s="451">
        <v>288008.12</v>
      </c>
      <c r="BV209" s="451">
        <v>29015.38</v>
      </c>
      <c r="BW209" s="451">
        <v>0</v>
      </c>
      <c r="BX209" s="451">
        <v>0</v>
      </c>
      <c r="BY209" s="451">
        <v>29015.38</v>
      </c>
      <c r="BZ209" s="451">
        <v>15483.73</v>
      </c>
      <c r="CA209" s="451">
        <v>0</v>
      </c>
      <c r="CB209" s="451">
        <v>0</v>
      </c>
      <c r="CC209" s="451">
        <v>15483.73</v>
      </c>
      <c r="CD209" s="451">
        <v>0</v>
      </c>
      <c r="CE209" s="451">
        <v>0</v>
      </c>
      <c r="CF209" s="451">
        <v>0</v>
      </c>
      <c r="CG209" s="451">
        <v>0</v>
      </c>
      <c r="CH209" s="451">
        <v>6091.47</v>
      </c>
      <c r="CI209" s="451">
        <v>0</v>
      </c>
      <c r="CJ209" s="451">
        <v>0</v>
      </c>
      <c r="CK209" s="451">
        <v>6091.47</v>
      </c>
      <c r="CL209" s="451">
        <v>0</v>
      </c>
      <c r="CM209" s="451">
        <v>0</v>
      </c>
      <c r="CN209" s="451">
        <v>0</v>
      </c>
      <c r="CO209" s="451">
        <v>0</v>
      </c>
      <c r="CP209" s="451">
        <v>1600.34</v>
      </c>
      <c r="CQ209" s="451">
        <v>0</v>
      </c>
      <c r="CR209" s="451">
        <v>0</v>
      </c>
      <c r="CS209" s="451">
        <v>1600.34</v>
      </c>
      <c r="CT209" s="451">
        <v>0</v>
      </c>
      <c r="CU209" s="451">
        <v>0</v>
      </c>
      <c r="CV209" s="451">
        <v>0</v>
      </c>
      <c r="CW209" s="451">
        <v>0</v>
      </c>
      <c r="CX209" s="451">
        <v>3944.6</v>
      </c>
      <c r="CY209" s="451">
        <v>0</v>
      </c>
      <c r="CZ209" s="451">
        <v>0</v>
      </c>
      <c r="DA209" s="451">
        <v>3944.6</v>
      </c>
      <c r="DB209" s="451">
        <v>0</v>
      </c>
      <c r="DC209" s="451">
        <v>0</v>
      </c>
      <c r="DD209" s="451">
        <v>0</v>
      </c>
      <c r="DE209" s="451">
        <v>0</v>
      </c>
      <c r="DF209" s="451">
        <v>0</v>
      </c>
      <c r="DG209" s="451">
        <v>0</v>
      </c>
      <c r="DH209" s="451">
        <v>0</v>
      </c>
      <c r="DI209" s="451">
        <v>0</v>
      </c>
      <c r="DJ209" s="451">
        <v>0</v>
      </c>
      <c r="DK209" s="451">
        <v>0</v>
      </c>
      <c r="DL209" s="451">
        <v>0</v>
      </c>
      <c r="DM209" s="451">
        <v>0</v>
      </c>
      <c r="DN209" s="451">
        <v>0</v>
      </c>
      <c r="DO209" s="451">
        <v>0</v>
      </c>
      <c r="DP209" s="451">
        <v>0</v>
      </c>
      <c r="DQ209" s="451">
        <v>0</v>
      </c>
      <c r="DR209" s="451">
        <v>0</v>
      </c>
      <c r="DS209" s="451">
        <v>0</v>
      </c>
      <c r="DT209" s="451">
        <v>0</v>
      </c>
      <c r="DU209" s="451">
        <v>0</v>
      </c>
      <c r="DV209" s="451">
        <v>0</v>
      </c>
      <c r="DW209" s="451">
        <v>0</v>
      </c>
      <c r="DX209" s="451">
        <v>0</v>
      </c>
      <c r="DY209" s="451">
        <v>0</v>
      </c>
      <c r="DZ209" s="451">
        <v>0</v>
      </c>
      <c r="EA209" s="451">
        <v>0</v>
      </c>
      <c r="EB209" s="451">
        <v>0</v>
      </c>
      <c r="EC209" s="451">
        <v>0</v>
      </c>
      <c r="ED209" s="451">
        <v>0</v>
      </c>
      <c r="EE209" s="451">
        <v>0</v>
      </c>
      <c r="EF209" s="451">
        <v>0</v>
      </c>
      <c r="EG209" s="451">
        <v>0</v>
      </c>
      <c r="EH209" s="451">
        <v>0</v>
      </c>
      <c r="EI209" s="451">
        <v>0</v>
      </c>
      <c r="EJ209" s="451">
        <v>0</v>
      </c>
      <c r="EK209" s="451">
        <v>0</v>
      </c>
      <c r="EL209" s="451">
        <v>0</v>
      </c>
      <c r="EM209" s="451">
        <v>0</v>
      </c>
    </row>
    <row r="210" spans="1:143" ht="12.75" x14ac:dyDescent="0.2">
      <c r="A210" s="446">
        <v>204</v>
      </c>
      <c r="B210" s="447" t="s">
        <v>291</v>
      </c>
      <c r="C210" s="448" t="s">
        <v>794</v>
      </c>
      <c r="D210" s="449" t="s">
        <v>1094</v>
      </c>
      <c r="E210" s="450" t="s">
        <v>739</v>
      </c>
      <c r="F210" s="451">
        <v>552985</v>
      </c>
      <c r="G210" s="451">
        <v>0</v>
      </c>
      <c r="H210" s="451">
        <v>0</v>
      </c>
      <c r="I210" s="451">
        <v>552985</v>
      </c>
      <c r="J210" s="451">
        <v>2590.5</v>
      </c>
      <c r="K210" s="451">
        <v>0</v>
      </c>
      <c r="L210" s="451">
        <v>0</v>
      </c>
      <c r="M210" s="451">
        <v>2590.5</v>
      </c>
      <c r="N210" s="451">
        <v>130176</v>
      </c>
      <c r="O210" s="451">
        <v>0</v>
      </c>
      <c r="P210" s="451">
        <v>0</v>
      </c>
      <c r="Q210" s="451">
        <v>130176</v>
      </c>
      <c r="R210" s="451">
        <v>79202.69</v>
      </c>
      <c r="S210" s="451">
        <v>0</v>
      </c>
      <c r="T210" s="451">
        <v>0</v>
      </c>
      <c r="U210" s="451">
        <v>79202.69</v>
      </c>
      <c r="V210" s="451">
        <v>1625545</v>
      </c>
      <c r="W210" s="451">
        <v>0</v>
      </c>
      <c r="X210" s="451">
        <v>0</v>
      </c>
      <c r="Y210" s="451">
        <v>1625545</v>
      </c>
      <c r="Z210" s="451">
        <v>143272.72</v>
      </c>
      <c r="AA210" s="451">
        <v>0</v>
      </c>
      <c r="AB210" s="451">
        <v>0</v>
      </c>
      <c r="AC210" s="451">
        <v>143272.72</v>
      </c>
      <c r="AD210" s="451">
        <v>2074773</v>
      </c>
      <c r="AE210" s="451">
        <v>0</v>
      </c>
      <c r="AF210" s="451">
        <v>0</v>
      </c>
      <c r="AG210" s="451">
        <v>2074773</v>
      </c>
      <c r="AH210" s="451">
        <v>-45254.44</v>
      </c>
      <c r="AI210" s="451">
        <v>0</v>
      </c>
      <c r="AJ210" s="451">
        <v>0</v>
      </c>
      <c r="AK210" s="451">
        <v>-45254.44</v>
      </c>
      <c r="AL210" s="451">
        <v>3937001</v>
      </c>
      <c r="AM210" s="451">
        <v>0</v>
      </c>
      <c r="AN210" s="451">
        <v>0</v>
      </c>
      <c r="AO210" s="451">
        <v>3937001</v>
      </c>
      <c r="AP210" s="451">
        <v>30404.16</v>
      </c>
      <c r="AQ210" s="451">
        <v>0</v>
      </c>
      <c r="AR210" s="451">
        <v>0</v>
      </c>
      <c r="AS210" s="451">
        <v>30404.16</v>
      </c>
      <c r="AT210" s="451">
        <v>6481</v>
      </c>
      <c r="AU210" s="451">
        <v>0</v>
      </c>
      <c r="AV210" s="451">
        <v>0</v>
      </c>
      <c r="AW210" s="451">
        <v>6481</v>
      </c>
      <c r="AX210" s="451">
        <v>1269</v>
      </c>
      <c r="AY210" s="451">
        <v>0</v>
      </c>
      <c r="AZ210" s="451">
        <v>0</v>
      </c>
      <c r="BA210" s="451">
        <v>1269</v>
      </c>
      <c r="BB210" s="451">
        <v>0</v>
      </c>
      <c r="BC210" s="451">
        <v>0</v>
      </c>
      <c r="BD210" s="451">
        <v>0</v>
      </c>
      <c r="BE210" s="451">
        <v>0</v>
      </c>
      <c r="BF210" s="451">
        <v>0</v>
      </c>
      <c r="BG210" s="451">
        <v>0</v>
      </c>
      <c r="BH210" s="451">
        <v>0</v>
      </c>
      <c r="BI210" s="451">
        <v>0</v>
      </c>
      <c r="BJ210" s="451">
        <v>707576</v>
      </c>
      <c r="BK210" s="451">
        <v>0</v>
      </c>
      <c r="BL210" s="451">
        <v>0</v>
      </c>
      <c r="BM210" s="451">
        <v>707576</v>
      </c>
      <c r="BN210" s="451">
        <v>-3460.14</v>
      </c>
      <c r="BO210" s="451">
        <v>0</v>
      </c>
      <c r="BP210" s="451">
        <v>0</v>
      </c>
      <c r="BQ210" s="451">
        <v>-3460.14</v>
      </c>
      <c r="BR210" s="451">
        <v>3722273</v>
      </c>
      <c r="BS210" s="451">
        <v>0</v>
      </c>
      <c r="BT210" s="451">
        <v>0</v>
      </c>
      <c r="BU210" s="451">
        <v>3722273</v>
      </c>
      <c r="BV210" s="451">
        <v>-656581.81999999995</v>
      </c>
      <c r="BW210" s="451">
        <v>0</v>
      </c>
      <c r="BX210" s="451">
        <v>0</v>
      </c>
      <c r="BY210" s="451">
        <v>-656581.81999999995</v>
      </c>
      <c r="BZ210" s="451">
        <v>50495</v>
      </c>
      <c r="CA210" s="451">
        <v>0</v>
      </c>
      <c r="CB210" s="451">
        <v>0</v>
      </c>
      <c r="CC210" s="451">
        <v>50495</v>
      </c>
      <c r="CD210" s="451">
        <v>-490</v>
      </c>
      <c r="CE210" s="451">
        <v>0</v>
      </c>
      <c r="CF210" s="451">
        <v>0</v>
      </c>
      <c r="CG210" s="451">
        <v>-490</v>
      </c>
      <c r="CH210" s="451">
        <v>0</v>
      </c>
      <c r="CI210" s="451">
        <v>0</v>
      </c>
      <c r="CJ210" s="451">
        <v>0</v>
      </c>
      <c r="CK210" s="451">
        <v>0</v>
      </c>
      <c r="CL210" s="451">
        <v>0</v>
      </c>
      <c r="CM210" s="451">
        <v>0</v>
      </c>
      <c r="CN210" s="451">
        <v>0</v>
      </c>
      <c r="CO210" s="451">
        <v>0</v>
      </c>
      <c r="CP210" s="451">
        <v>0</v>
      </c>
      <c r="CQ210" s="451">
        <v>0</v>
      </c>
      <c r="CR210" s="451">
        <v>0</v>
      </c>
      <c r="CS210" s="451">
        <v>0</v>
      </c>
      <c r="CT210" s="451">
        <v>0</v>
      </c>
      <c r="CU210" s="451">
        <v>0</v>
      </c>
      <c r="CV210" s="451">
        <v>0</v>
      </c>
      <c r="CW210" s="451">
        <v>0</v>
      </c>
      <c r="CX210" s="451">
        <v>0</v>
      </c>
      <c r="CY210" s="451">
        <v>0</v>
      </c>
      <c r="CZ210" s="451">
        <v>0</v>
      </c>
      <c r="DA210" s="451">
        <v>0</v>
      </c>
      <c r="DB210" s="451">
        <v>0</v>
      </c>
      <c r="DC210" s="451">
        <v>0</v>
      </c>
      <c r="DD210" s="451">
        <v>0</v>
      </c>
      <c r="DE210" s="451">
        <v>0</v>
      </c>
      <c r="DF210" s="451">
        <v>0</v>
      </c>
      <c r="DG210" s="451">
        <v>0</v>
      </c>
      <c r="DH210" s="451">
        <v>0</v>
      </c>
      <c r="DI210" s="451">
        <v>0</v>
      </c>
      <c r="DJ210" s="451">
        <v>0</v>
      </c>
      <c r="DK210" s="451">
        <v>0</v>
      </c>
      <c r="DL210" s="451">
        <v>0</v>
      </c>
      <c r="DM210" s="451">
        <v>0</v>
      </c>
      <c r="DN210" s="451">
        <v>0</v>
      </c>
      <c r="DO210" s="451">
        <v>0</v>
      </c>
      <c r="DP210" s="451">
        <v>0</v>
      </c>
      <c r="DQ210" s="451">
        <v>0</v>
      </c>
      <c r="DR210" s="451">
        <v>0</v>
      </c>
      <c r="DS210" s="451">
        <v>0</v>
      </c>
      <c r="DT210" s="451">
        <v>0</v>
      </c>
      <c r="DU210" s="451">
        <v>0</v>
      </c>
      <c r="DV210" s="451">
        <v>0</v>
      </c>
      <c r="DW210" s="451">
        <v>0</v>
      </c>
      <c r="DX210" s="451">
        <v>0</v>
      </c>
      <c r="DY210" s="451">
        <v>0</v>
      </c>
      <c r="DZ210" s="451">
        <v>0</v>
      </c>
      <c r="EA210" s="451">
        <v>0</v>
      </c>
      <c r="EB210" s="451">
        <v>194955</v>
      </c>
      <c r="EC210" s="451">
        <v>0</v>
      </c>
      <c r="ED210" s="451">
        <v>0</v>
      </c>
      <c r="EE210" s="451">
        <v>194955</v>
      </c>
      <c r="EF210" s="451">
        <v>0</v>
      </c>
      <c r="EG210" s="451">
        <v>0</v>
      </c>
      <c r="EH210" s="451">
        <v>0</v>
      </c>
      <c r="EI210" s="451">
        <v>0</v>
      </c>
      <c r="EJ210" s="451">
        <v>0</v>
      </c>
      <c r="EK210" s="451">
        <v>0</v>
      </c>
      <c r="EL210" s="451">
        <v>0</v>
      </c>
      <c r="EM210" s="451">
        <v>0</v>
      </c>
    </row>
    <row r="211" spans="1:143" ht="12.75" x14ac:dyDescent="0.2">
      <c r="A211" s="446">
        <v>205</v>
      </c>
      <c r="B211" s="447" t="s">
        <v>293</v>
      </c>
      <c r="C211" s="448" t="s">
        <v>1098</v>
      </c>
      <c r="D211" s="449" t="s">
        <v>1099</v>
      </c>
      <c r="E211" s="450" t="s">
        <v>292</v>
      </c>
      <c r="F211" s="451">
        <v>420868</v>
      </c>
      <c r="G211" s="451">
        <v>0</v>
      </c>
      <c r="H211" s="451">
        <v>0</v>
      </c>
      <c r="I211" s="451">
        <v>420868</v>
      </c>
      <c r="J211" s="451">
        <v>-157517</v>
      </c>
      <c r="K211" s="451">
        <v>0</v>
      </c>
      <c r="L211" s="451">
        <v>0</v>
      </c>
      <c r="M211" s="451">
        <v>-157517</v>
      </c>
      <c r="N211" s="451">
        <v>66150</v>
      </c>
      <c r="O211" s="451">
        <v>0</v>
      </c>
      <c r="P211" s="451">
        <v>0</v>
      </c>
      <c r="Q211" s="451">
        <v>66150</v>
      </c>
      <c r="R211" s="451">
        <v>35432</v>
      </c>
      <c r="S211" s="451">
        <v>0</v>
      </c>
      <c r="T211" s="451">
        <v>0</v>
      </c>
      <c r="U211" s="451">
        <v>35432</v>
      </c>
      <c r="V211" s="451">
        <v>3441607</v>
      </c>
      <c r="W211" s="451">
        <v>0</v>
      </c>
      <c r="X211" s="451">
        <v>0</v>
      </c>
      <c r="Y211" s="451">
        <v>3441607</v>
      </c>
      <c r="Z211" s="451">
        <v>264420</v>
      </c>
      <c r="AA211" s="451">
        <v>0</v>
      </c>
      <c r="AB211" s="451">
        <v>0</v>
      </c>
      <c r="AC211" s="451">
        <v>264420</v>
      </c>
      <c r="AD211" s="451">
        <v>883914</v>
      </c>
      <c r="AE211" s="451">
        <v>0</v>
      </c>
      <c r="AF211" s="451">
        <v>0</v>
      </c>
      <c r="AG211" s="451">
        <v>883914</v>
      </c>
      <c r="AH211" s="451">
        <v>17994</v>
      </c>
      <c r="AI211" s="451">
        <v>0</v>
      </c>
      <c r="AJ211" s="451">
        <v>0</v>
      </c>
      <c r="AK211" s="451">
        <v>17994</v>
      </c>
      <c r="AL211" s="451">
        <v>3546139</v>
      </c>
      <c r="AM211" s="451">
        <v>0</v>
      </c>
      <c r="AN211" s="451">
        <v>0</v>
      </c>
      <c r="AO211" s="451">
        <v>3546139</v>
      </c>
      <c r="AP211" s="451">
        <v>-23719</v>
      </c>
      <c r="AQ211" s="451">
        <v>0</v>
      </c>
      <c r="AR211" s="451">
        <v>0</v>
      </c>
      <c r="AS211" s="451">
        <v>-23719</v>
      </c>
      <c r="AT211" s="451">
        <v>110717</v>
      </c>
      <c r="AU211" s="451">
        <v>0</v>
      </c>
      <c r="AV211" s="451">
        <v>0</v>
      </c>
      <c r="AW211" s="451">
        <v>110717</v>
      </c>
      <c r="AX211" s="451">
        <v>70788</v>
      </c>
      <c r="AY211" s="451">
        <v>0</v>
      </c>
      <c r="AZ211" s="451">
        <v>0</v>
      </c>
      <c r="BA211" s="451">
        <v>70788</v>
      </c>
      <c r="BB211" s="451">
        <v>0</v>
      </c>
      <c r="BC211" s="451">
        <v>0</v>
      </c>
      <c r="BD211" s="451">
        <v>0</v>
      </c>
      <c r="BE211" s="451">
        <v>0</v>
      </c>
      <c r="BF211" s="451">
        <v>0</v>
      </c>
      <c r="BG211" s="451">
        <v>0</v>
      </c>
      <c r="BH211" s="451">
        <v>0</v>
      </c>
      <c r="BI211" s="451">
        <v>0</v>
      </c>
      <c r="BJ211" s="451">
        <v>17721</v>
      </c>
      <c r="BK211" s="451">
        <v>0</v>
      </c>
      <c r="BL211" s="451">
        <v>0</v>
      </c>
      <c r="BM211" s="451">
        <v>17721</v>
      </c>
      <c r="BN211" s="451">
        <v>3127</v>
      </c>
      <c r="BO211" s="451">
        <v>0</v>
      </c>
      <c r="BP211" s="451">
        <v>0</v>
      </c>
      <c r="BQ211" s="451">
        <v>3127</v>
      </c>
      <c r="BR211" s="451">
        <v>1798145</v>
      </c>
      <c r="BS211" s="451">
        <v>0</v>
      </c>
      <c r="BT211" s="451">
        <v>0</v>
      </c>
      <c r="BU211" s="451">
        <v>1798145</v>
      </c>
      <c r="BV211" s="451">
        <v>-489318</v>
      </c>
      <c r="BW211" s="451">
        <v>0</v>
      </c>
      <c r="BX211" s="451">
        <v>0</v>
      </c>
      <c r="BY211" s="451">
        <v>-489318</v>
      </c>
      <c r="BZ211" s="451">
        <v>0</v>
      </c>
      <c r="CA211" s="451">
        <v>0</v>
      </c>
      <c r="CB211" s="451">
        <v>0</v>
      </c>
      <c r="CC211" s="451">
        <v>0</v>
      </c>
      <c r="CD211" s="451">
        <v>0</v>
      </c>
      <c r="CE211" s="451">
        <v>0</v>
      </c>
      <c r="CF211" s="451">
        <v>0</v>
      </c>
      <c r="CG211" s="451">
        <v>0</v>
      </c>
      <c r="CH211" s="451">
        <v>14204</v>
      </c>
      <c r="CI211" s="451">
        <v>0</v>
      </c>
      <c r="CJ211" s="451">
        <v>0</v>
      </c>
      <c r="CK211" s="451">
        <v>14204</v>
      </c>
      <c r="CL211" s="451">
        <v>-3340</v>
      </c>
      <c r="CM211" s="451">
        <v>0</v>
      </c>
      <c r="CN211" s="451">
        <v>0</v>
      </c>
      <c r="CO211" s="451">
        <v>-3340</v>
      </c>
      <c r="CP211" s="451">
        <v>0</v>
      </c>
      <c r="CQ211" s="451">
        <v>0</v>
      </c>
      <c r="CR211" s="451">
        <v>0</v>
      </c>
      <c r="CS211" s="451">
        <v>0</v>
      </c>
      <c r="CT211" s="451">
        <v>0</v>
      </c>
      <c r="CU211" s="451">
        <v>0</v>
      </c>
      <c r="CV211" s="451">
        <v>0</v>
      </c>
      <c r="CW211" s="451">
        <v>0</v>
      </c>
      <c r="CX211" s="451">
        <v>0</v>
      </c>
      <c r="CY211" s="451">
        <v>0</v>
      </c>
      <c r="CZ211" s="451">
        <v>0</v>
      </c>
      <c r="DA211" s="451">
        <v>0</v>
      </c>
      <c r="DB211" s="451">
        <v>0</v>
      </c>
      <c r="DC211" s="451">
        <v>0</v>
      </c>
      <c r="DD211" s="451">
        <v>0</v>
      </c>
      <c r="DE211" s="451">
        <v>0</v>
      </c>
      <c r="DF211" s="451">
        <v>0</v>
      </c>
      <c r="DG211" s="451">
        <v>0</v>
      </c>
      <c r="DH211" s="451">
        <v>0</v>
      </c>
      <c r="DI211" s="451">
        <v>0</v>
      </c>
      <c r="DJ211" s="451">
        <v>0</v>
      </c>
      <c r="DK211" s="451">
        <v>0</v>
      </c>
      <c r="DL211" s="451">
        <v>0</v>
      </c>
      <c r="DM211" s="451">
        <v>0</v>
      </c>
      <c r="DN211" s="451">
        <v>0</v>
      </c>
      <c r="DO211" s="451">
        <v>0</v>
      </c>
      <c r="DP211" s="451">
        <v>0</v>
      </c>
      <c r="DQ211" s="451">
        <v>0</v>
      </c>
      <c r="DR211" s="451">
        <v>0</v>
      </c>
      <c r="DS211" s="451">
        <v>0</v>
      </c>
      <c r="DT211" s="451">
        <v>0</v>
      </c>
      <c r="DU211" s="451">
        <v>0</v>
      </c>
      <c r="DV211" s="451">
        <v>0</v>
      </c>
      <c r="DW211" s="451">
        <v>0</v>
      </c>
      <c r="DX211" s="451">
        <v>0</v>
      </c>
      <c r="DY211" s="451">
        <v>0</v>
      </c>
      <c r="DZ211" s="451">
        <v>0</v>
      </c>
      <c r="EA211" s="451">
        <v>0</v>
      </c>
      <c r="EB211" s="451">
        <v>0</v>
      </c>
      <c r="EC211" s="451">
        <v>0</v>
      </c>
      <c r="ED211" s="451">
        <v>0</v>
      </c>
      <c r="EE211" s="451">
        <v>0</v>
      </c>
      <c r="EF211" s="451">
        <v>0</v>
      </c>
      <c r="EG211" s="451">
        <v>0</v>
      </c>
      <c r="EH211" s="451">
        <v>0</v>
      </c>
      <c r="EI211" s="451">
        <v>0</v>
      </c>
      <c r="EJ211" s="451">
        <v>0</v>
      </c>
      <c r="EK211" s="451">
        <v>0</v>
      </c>
      <c r="EL211" s="451">
        <v>0</v>
      </c>
      <c r="EM211" s="451">
        <v>0</v>
      </c>
    </row>
    <row r="212" spans="1:143" ht="12.75" x14ac:dyDescent="0.2">
      <c r="A212" s="446">
        <v>206</v>
      </c>
      <c r="B212" s="447" t="s">
        <v>295</v>
      </c>
      <c r="C212" s="448" t="s">
        <v>794</v>
      </c>
      <c r="D212" s="449" t="s">
        <v>1105</v>
      </c>
      <c r="E212" s="450" t="s">
        <v>740</v>
      </c>
      <c r="F212" s="451">
        <v>769821.56</v>
      </c>
      <c r="G212" s="451">
        <v>0</v>
      </c>
      <c r="H212" s="451">
        <v>0</v>
      </c>
      <c r="I212" s="451">
        <v>769821.56</v>
      </c>
      <c r="J212" s="451">
        <v>-173994.48</v>
      </c>
      <c r="K212" s="451">
        <v>0</v>
      </c>
      <c r="L212" s="451">
        <v>0</v>
      </c>
      <c r="M212" s="451">
        <v>-173994.48</v>
      </c>
      <c r="N212" s="451">
        <v>13259.45</v>
      </c>
      <c r="O212" s="451">
        <v>0</v>
      </c>
      <c r="P212" s="451">
        <v>0</v>
      </c>
      <c r="Q212" s="451">
        <v>13259.45</v>
      </c>
      <c r="R212" s="451">
        <v>54101.01</v>
      </c>
      <c r="S212" s="451">
        <v>0</v>
      </c>
      <c r="T212" s="451">
        <v>0</v>
      </c>
      <c r="U212" s="451">
        <v>54101.01</v>
      </c>
      <c r="V212" s="451">
        <v>2290803.79</v>
      </c>
      <c r="W212" s="451">
        <v>0</v>
      </c>
      <c r="X212" s="451">
        <v>0</v>
      </c>
      <c r="Y212" s="451">
        <v>2290803.79</v>
      </c>
      <c r="Z212" s="451">
        <v>63660.84</v>
      </c>
      <c r="AA212" s="451">
        <v>0</v>
      </c>
      <c r="AB212" s="451">
        <v>0</v>
      </c>
      <c r="AC212" s="451">
        <v>63660.84</v>
      </c>
      <c r="AD212" s="451">
        <v>1033655.2</v>
      </c>
      <c r="AE212" s="451">
        <v>0</v>
      </c>
      <c r="AF212" s="451">
        <v>0</v>
      </c>
      <c r="AG212" s="451">
        <v>1033655.2</v>
      </c>
      <c r="AH212" s="451">
        <v>197527.67</v>
      </c>
      <c r="AI212" s="451">
        <v>0</v>
      </c>
      <c r="AJ212" s="451">
        <v>0</v>
      </c>
      <c r="AK212" s="451">
        <v>197527.67</v>
      </c>
      <c r="AL212" s="451">
        <v>2186573.27</v>
      </c>
      <c r="AM212" s="451">
        <v>0</v>
      </c>
      <c r="AN212" s="451">
        <v>11719.52</v>
      </c>
      <c r="AO212" s="451">
        <v>2198292.79</v>
      </c>
      <c r="AP212" s="451">
        <v>-121698.28</v>
      </c>
      <c r="AQ212" s="451">
        <v>0</v>
      </c>
      <c r="AR212" s="451">
        <v>0</v>
      </c>
      <c r="AS212" s="451">
        <v>-121698.28</v>
      </c>
      <c r="AT212" s="451">
        <v>61947.8</v>
      </c>
      <c r="AU212" s="451">
        <v>0</v>
      </c>
      <c r="AV212" s="451">
        <v>0</v>
      </c>
      <c r="AW212" s="451">
        <v>61947.8</v>
      </c>
      <c r="AX212" s="451">
        <v>0</v>
      </c>
      <c r="AY212" s="451">
        <v>0</v>
      </c>
      <c r="AZ212" s="451">
        <v>0</v>
      </c>
      <c r="BA212" s="451">
        <v>0</v>
      </c>
      <c r="BB212" s="451">
        <v>9759</v>
      </c>
      <c r="BC212" s="451">
        <v>0</v>
      </c>
      <c r="BD212" s="451">
        <v>0</v>
      </c>
      <c r="BE212" s="451">
        <v>9759</v>
      </c>
      <c r="BF212" s="451">
        <v>0</v>
      </c>
      <c r="BG212" s="451">
        <v>0</v>
      </c>
      <c r="BH212" s="451">
        <v>0</v>
      </c>
      <c r="BI212" s="451">
        <v>0</v>
      </c>
      <c r="BJ212" s="451">
        <v>435089.35</v>
      </c>
      <c r="BK212" s="451">
        <v>0</v>
      </c>
      <c r="BL212" s="451">
        <v>0</v>
      </c>
      <c r="BM212" s="451">
        <v>435089.35</v>
      </c>
      <c r="BN212" s="451">
        <v>-67424.39</v>
      </c>
      <c r="BO212" s="451">
        <v>0</v>
      </c>
      <c r="BP212" s="451">
        <v>0</v>
      </c>
      <c r="BQ212" s="451">
        <v>-67424.39</v>
      </c>
      <c r="BR212" s="451">
        <v>897423.53</v>
      </c>
      <c r="BS212" s="451">
        <v>0</v>
      </c>
      <c r="BT212" s="451">
        <v>0</v>
      </c>
      <c r="BU212" s="451">
        <v>897423.53</v>
      </c>
      <c r="BV212" s="451">
        <v>56973.62</v>
      </c>
      <c r="BW212" s="451">
        <v>0</v>
      </c>
      <c r="BX212" s="451">
        <v>0</v>
      </c>
      <c r="BY212" s="451">
        <v>56973.62</v>
      </c>
      <c r="BZ212" s="451">
        <v>41810.74</v>
      </c>
      <c r="CA212" s="451">
        <v>0</v>
      </c>
      <c r="CB212" s="451">
        <v>0</v>
      </c>
      <c r="CC212" s="451">
        <v>41810.74</v>
      </c>
      <c r="CD212" s="451">
        <v>-7925.16</v>
      </c>
      <c r="CE212" s="451">
        <v>0</v>
      </c>
      <c r="CF212" s="451">
        <v>0</v>
      </c>
      <c r="CG212" s="451">
        <v>-7925.16</v>
      </c>
      <c r="CH212" s="451">
        <v>293624.2</v>
      </c>
      <c r="CI212" s="451">
        <v>0</v>
      </c>
      <c r="CJ212" s="451">
        <v>0</v>
      </c>
      <c r="CK212" s="451">
        <v>293624.2</v>
      </c>
      <c r="CL212" s="451">
        <v>3647.93</v>
      </c>
      <c r="CM212" s="451">
        <v>0</v>
      </c>
      <c r="CN212" s="451">
        <v>0</v>
      </c>
      <c r="CO212" s="451">
        <v>3647.93</v>
      </c>
      <c r="CP212" s="451">
        <v>0</v>
      </c>
      <c r="CQ212" s="451">
        <v>0</v>
      </c>
      <c r="CR212" s="451">
        <v>0</v>
      </c>
      <c r="CS212" s="451">
        <v>0</v>
      </c>
      <c r="CT212" s="451">
        <v>0</v>
      </c>
      <c r="CU212" s="451">
        <v>0</v>
      </c>
      <c r="CV212" s="451">
        <v>0</v>
      </c>
      <c r="CW212" s="451">
        <v>0</v>
      </c>
      <c r="CX212" s="451">
        <v>0</v>
      </c>
      <c r="CY212" s="451">
        <v>0</v>
      </c>
      <c r="CZ212" s="451">
        <v>0</v>
      </c>
      <c r="DA212" s="451">
        <v>0</v>
      </c>
      <c r="DB212" s="451">
        <v>0</v>
      </c>
      <c r="DC212" s="451">
        <v>0</v>
      </c>
      <c r="DD212" s="451">
        <v>0</v>
      </c>
      <c r="DE212" s="451">
        <v>0</v>
      </c>
      <c r="DF212" s="451">
        <v>0</v>
      </c>
      <c r="DG212" s="451">
        <v>0</v>
      </c>
      <c r="DH212" s="451">
        <v>0</v>
      </c>
      <c r="DI212" s="451">
        <v>0</v>
      </c>
      <c r="DJ212" s="451">
        <v>0</v>
      </c>
      <c r="DK212" s="451">
        <v>0</v>
      </c>
      <c r="DL212" s="451">
        <v>0</v>
      </c>
      <c r="DM212" s="451">
        <v>0</v>
      </c>
      <c r="DN212" s="451">
        <v>0</v>
      </c>
      <c r="DO212" s="451">
        <v>0</v>
      </c>
      <c r="DP212" s="451">
        <v>0</v>
      </c>
      <c r="DQ212" s="451">
        <v>0</v>
      </c>
      <c r="DR212" s="451">
        <v>0</v>
      </c>
      <c r="DS212" s="451">
        <v>0</v>
      </c>
      <c r="DT212" s="451">
        <v>0</v>
      </c>
      <c r="DU212" s="451">
        <v>0</v>
      </c>
      <c r="DV212" s="451">
        <v>0</v>
      </c>
      <c r="DW212" s="451">
        <v>0</v>
      </c>
      <c r="DX212" s="451">
        <v>0</v>
      </c>
      <c r="DY212" s="451">
        <v>0</v>
      </c>
      <c r="DZ212" s="451">
        <v>0</v>
      </c>
      <c r="EA212" s="451">
        <v>0</v>
      </c>
      <c r="EB212" s="451">
        <v>0</v>
      </c>
      <c r="EC212" s="451">
        <v>0</v>
      </c>
      <c r="ED212" s="451">
        <v>0</v>
      </c>
      <c r="EE212" s="451">
        <v>0</v>
      </c>
      <c r="EF212" s="451">
        <v>0</v>
      </c>
      <c r="EG212" s="451">
        <v>0</v>
      </c>
      <c r="EH212" s="451">
        <v>0</v>
      </c>
      <c r="EI212" s="451">
        <v>0</v>
      </c>
      <c r="EJ212" s="451">
        <v>0</v>
      </c>
      <c r="EK212" s="451">
        <v>0</v>
      </c>
      <c r="EL212" s="451">
        <v>0</v>
      </c>
      <c r="EM212" s="451">
        <v>0</v>
      </c>
    </row>
    <row r="213" spans="1:143" ht="12.75" x14ac:dyDescent="0.2">
      <c r="A213" s="446">
        <v>207</v>
      </c>
      <c r="B213" s="447" t="s">
        <v>297</v>
      </c>
      <c r="C213" s="448" t="s">
        <v>1093</v>
      </c>
      <c r="D213" s="449" t="s">
        <v>1103</v>
      </c>
      <c r="E213" s="450" t="s">
        <v>296</v>
      </c>
      <c r="F213" s="451">
        <v>40601.279999999999</v>
      </c>
      <c r="G213" s="451">
        <v>0</v>
      </c>
      <c r="H213" s="451">
        <v>0</v>
      </c>
      <c r="I213" s="451">
        <v>40601.279999999999</v>
      </c>
      <c r="J213" s="451">
        <v>-54395.43</v>
      </c>
      <c r="K213" s="451">
        <v>0</v>
      </c>
      <c r="L213" s="451">
        <v>0</v>
      </c>
      <c r="M213" s="451">
        <v>-54395.43</v>
      </c>
      <c r="N213" s="451">
        <v>28727.25</v>
      </c>
      <c r="O213" s="451">
        <v>0</v>
      </c>
      <c r="P213" s="451">
        <v>0</v>
      </c>
      <c r="Q213" s="451">
        <v>28727.25</v>
      </c>
      <c r="R213" s="451">
        <v>275716.69</v>
      </c>
      <c r="S213" s="451">
        <v>0</v>
      </c>
      <c r="T213" s="451">
        <v>0</v>
      </c>
      <c r="U213" s="451">
        <v>275716.69</v>
      </c>
      <c r="V213" s="451">
        <v>1240492.8700000001</v>
      </c>
      <c r="W213" s="451">
        <v>0</v>
      </c>
      <c r="X213" s="451">
        <v>0</v>
      </c>
      <c r="Y213" s="451">
        <v>1240492.8700000001</v>
      </c>
      <c r="Z213" s="451">
        <v>28465.21</v>
      </c>
      <c r="AA213" s="451">
        <v>0</v>
      </c>
      <c r="AB213" s="451">
        <v>0</v>
      </c>
      <c r="AC213" s="451">
        <v>28465.21</v>
      </c>
      <c r="AD213" s="451">
        <v>682290.92</v>
      </c>
      <c r="AE213" s="451">
        <v>0</v>
      </c>
      <c r="AF213" s="451">
        <v>0</v>
      </c>
      <c r="AG213" s="451">
        <v>682290.92</v>
      </c>
      <c r="AH213" s="451">
        <v>-26838.34</v>
      </c>
      <c r="AI213" s="451">
        <v>0</v>
      </c>
      <c r="AJ213" s="451">
        <v>0</v>
      </c>
      <c r="AK213" s="451">
        <v>-26838.34</v>
      </c>
      <c r="AL213" s="451">
        <v>1172725.3999999999</v>
      </c>
      <c r="AM213" s="451">
        <v>0</v>
      </c>
      <c r="AN213" s="451">
        <v>0</v>
      </c>
      <c r="AO213" s="451">
        <v>1172725.3999999999</v>
      </c>
      <c r="AP213" s="451">
        <v>-6449</v>
      </c>
      <c r="AQ213" s="451">
        <v>0</v>
      </c>
      <c r="AR213" s="451">
        <v>0</v>
      </c>
      <c r="AS213" s="451">
        <v>-6449</v>
      </c>
      <c r="AT213" s="451">
        <v>12784.86</v>
      </c>
      <c r="AU213" s="451">
        <v>0</v>
      </c>
      <c r="AV213" s="451">
        <v>0</v>
      </c>
      <c r="AW213" s="451">
        <v>12784.86</v>
      </c>
      <c r="AX213" s="451">
        <v>0</v>
      </c>
      <c r="AY213" s="451">
        <v>0</v>
      </c>
      <c r="AZ213" s="451">
        <v>0</v>
      </c>
      <c r="BA213" s="451">
        <v>0</v>
      </c>
      <c r="BB213" s="451">
        <v>1342.35</v>
      </c>
      <c r="BC213" s="451">
        <v>0</v>
      </c>
      <c r="BD213" s="451">
        <v>0</v>
      </c>
      <c r="BE213" s="451">
        <v>1342.35</v>
      </c>
      <c r="BF213" s="451">
        <v>0</v>
      </c>
      <c r="BG213" s="451">
        <v>0</v>
      </c>
      <c r="BH213" s="451">
        <v>0</v>
      </c>
      <c r="BI213" s="451">
        <v>0</v>
      </c>
      <c r="BJ213" s="451">
        <v>4946.3100000000004</v>
      </c>
      <c r="BK213" s="451">
        <v>0</v>
      </c>
      <c r="BL213" s="451">
        <v>0</v>
      </c>
      <c r="BM213" s="451">
        <v>4946.3100000000004</v>
      </c>
      <c r="BN213" s="451">
        <v>269.54000000000002</v>
      </c>
      <c r="BO213" s="451">
        <v>0</v>
      </c>
      <c r="BP213" s="451">
        <v>0</v>
      </c>
      <c r="BQ213" s="451">
        <v>269.54000000000002</v>
      </c>
      <c r="BR213" s="451">
        <v>1426726.2</v>
      </c>
      <c r="BS213" s="451">
        <v>0</v>
      </c>
      <c r="BT213" s="451">
        <v>0</v>
      </c>
      <c r="BU213" s="451">
        <v>1426726.2</v>
      </c>
      <c r="BV213" s="451">
        <v>47003.15</v>
      </c>
      <c r="BW213" s="451">
        <v>0</v>
      </c>
      <c r="BX213" s="451">
        <v>0</v>
      </c>
      <c r="BY213" s="451">
        <v>47003.15</v>
      </c>
      <c r="BZ213" s="451">
        <v>47104.94</v>
      </c>
      <c r="CA213" s="451">
        <v>0</v>
      </c>
      <c r="CB213" s="451">
        <v>0</v>
      </c>
      <c r="CC213" s="451">
        <v>47104.94</v>
      </c>
      <c r="CD213" s="451">
        <v>-1300.76</v>
      </c>
      <c r="CE213" s="451">
        <v>0</v>
      </c>
      <c r="CF213" s="451">
        <v>0</v>
      </c>
      <c r="CG213" s="451">
        <v>-1300.76</v>
      </c>
      <c r="CH213" s="451">
        <v>39395.57</v>
      </c>
      <c r="CI213" s="451">
        <v>0</v>
      </c>
      <c r="CJ213" s="451">
        <v>0</v>
      </c>
      <c r="CK213" s="451">
        <v>39395.57</v>
      </c>
      <c r="CL213" s="451">
        <v>-192.36</v>
      </c>
      <c r="CM213" s="451">
        <v>0</v>
      </c>
      <c r="CN213" s="451">
        <v>0</v>
      </c>
      <c r="CO213" s="451">
        <v>-192.36</v>
      </c>
      <c r="CP213" s="451">
        <v>3196.22</v>
      </c>
      <c r="CQ213" s="451">
        <v>0</v>
      </c>
      <c r="CR213" s="451">
        <v>0</v>
      </c>
      <c r="CS213" s="451">
        <v>3196.22</v>
      </c>
      <c r="CT213" s="451">
        <v>0</v>
      </c>
      <c r="CU213" s="451">
        <v>0</v>
      </c>
      <c r="CV213" s="451">
        <v>0</v>
      </c>
      <c r="CW213" s="451">
        <v>0</v>
      </c>
      <c r="CX213" s="451">
        <v>1342.35</v>
      </c>
      <c r="CY213" s="451">
        <v>0</v>
      </c>
      <c r="CZ213" s="451">
        <v>0</v>
      </c>
      <c r="DA213" s="451">
        <v>1342.35</v>
      </c>
      <c r="DB213" s="451">
        <v>0</v>
      </c>
      <c r="DC213" s="451">
        <v>0</v>
      </c>
      <c r="DD213" s="451">
        <v>0</v>
      </c>
      <c r="DE213" s="451">
        <v>0</v>
      </c>
      <c r="DF213" s="451">
        <v>0</v>
      </c>
      <c r="DG213" s="451">
        <v>0</v>
      </c>
      <c r="DH213" s="451">
        <v>0</v>
      </c>
      <c r="DI213" s="451">
        <v>0</v>
      </c>
      <c r="DJ213" s="451">
        <v>0</v>
      </c>
      <c r="DK213" s="451">
        <v>0</v>
      </c>
      <c r="DL213" s="451">
        <v>0</v>
      </c>
      <c r="DM213" s="451">
        <v>0</v>
      </c>
      <c r="DN213" s="451">
        <v>0</v>
      </c>
      <c r="DO213" s="451">
        <v>0</v>
      </c>
      <c r="DP213" s="451">
        <v>0</v>
      </c>
      <c r="DQ213" s="451">
        <v>0</v>
      </c>
      <c r="DR213" s="451">
        <v>0</v>
      </c>
      <c r="DS213" s="451">
        <v>0</v>
      </c>
      <c r="DT213" s="451">
        <v>0</v>
      </c>
      <c r="DU213" s="451">
        <v>0</v>
      </c>
      <c r="DV213" s="451">
        <v>0</v>
      </c>
      <c r="DW213" s="451">
        <v>0</v>
      </c>
      <c r="DX213" s="451">
        <v>0</v>
      </c>
      <c r="DY213" s="451">
        <v>0</v>
      </c>
      <c r="DZ213" s="451">
        <v>0</v>
      </c>
      <c r="EA213" s="451">
        <v>0</v>
      </c>
      <c r="EB213" s="451">
        <v>0</v>
      </c>
      <c r="EC213" s="451">
        <v>0</v>
      </c>
      <c r="ED213" s="451">
        <v>0</v>
      </c>
      <c r="EE213" s="451">
        <v>0</v>
      </c>
      <c r="EF213" s="451">
        <v>0</v>
      </c>
      <c r="EG213" s="451">
        <v>0</v>
      </c>
      <c r="EH213" s="451">
        <v>0</v>
      </c>
      <c r="EI213" s="451">
        <v>0</v>
      </c>
      <c r="EJ213" s="451">
        <v>0</v>
      </c>
      <c r="EK213" s="451">
        <v>0</v>
      </c>
      <c r="EL213" s="451">
        <v>0</v>
      </c>
      <c r="EM213" s="451">
        <v>0</v>
      </c>
    </row>
    <row r="214" spans="1:143" ht="12.75" x14ac:dyDescent="0.2">
      <c r="A214" s="446">
        <v>208</v>
      </c>
      <c r="B214" s="447" t="s">
        <v>299</v>
      </c>
      <c r="C214" s="448" t="s">
        <v>1093</v>
      </c>
      <c r="D214" s="449" t="s">
        <v>1094</v>
      </c>
      <c r="E214" s="450" t="s">
        <v>741</v>
      </c>
      <c r="F214" s="451">
        <v>60236.89</v>
      </c>
      <c r="G214" s="451">
        <v>0</v>
      </c>
      <c r="H214" s="451">
        <v>0</v>
      </c>
      <c r="I214" s="451">
        <v>60236.89</v>
      </c>
      <c r="J214" s="451">
        <v>-13513.11</v>
      </c>
      <c r="K214" s="451">
        <v>0</v>
      </c>
      <c r="L214" s="451">
        <v>0</v>
      </c>
      <c r="M214" s="451">
        <v>-13513.11</v>
      </c>
      <c r="N214" s="451">
        <v>30513.43</v>
      </c>
      <c r="O214" s="451">
        <v>0</v>
      </c>
      <c r="P214" s="451">
        <v>0</v>
      </c>
      <c r="Q214" s="451">
        <v>30513.43</v>
      </c>
      <c r="R214" s="451">
        <v>80351.5</v>
      </c>
      <c r="S214" s="451">
        <v>0</v>
      </c>
      <c r="T214" s="451">
        <v>0</v>
      </c>
      <c r="U214" s="451">
        <v>80351.5</v>
      </c>
      <c r="V214" s="451">
        <v>1877068.84</v>
      </c>
      <c r="W214" s="451">
        <v>0</v>
      </c>
      <c r="X214" s="451">
        <v>0</v>
      </c>
      <c r="Y214" s="451">
        <v>1877068.84</v>
      </c>
      <c r="Z214" s="451">
        <v>54133.99</v>
      </c>
      <c r="AA214" s="451">
        <v>0</v>
      </c>
      <c r="AB214" s="451">
        <v>0</v>
      </c>
      <c r="AC214" s="451">
        <v>54133.99</v>
      </c>
      <c r="AD214" s="451">
        <v>967726.05</v>
      </c>
      <c r="AE214" s="451">
        <v>0</v>
      </c>
      <c r="AF214" s="451">
        <v>0</v>
      </c>
      <c r="AG214" s="451">
        <v>967726.05</v>
      </c>
      <c r="AH214" s="451">
        <v>-14269.32</v>
      </c>
      <c r="AI214" s="451">
        <v>0</v>
      </c>
      <c r="AJ214" s="451">
        <v>0</v>
      </c>
      <c r="AK214" s="451">
        <v>-14269.32</v>
      </c>
      <c r="AL214" s="451">
        <v>3183548.99</v>
      </c>
      <c r="AM214" s="451">
        <v>0</v>
      </c>
      <c r="AN214" s="451">
        <v>0</v>
      </c>
      <c r="AO214" s="451">
        <v>3183548.99</v>
      </c>
      <c r="AP214" s="451">
        <v>11407.8</v>
      </c>
      <c r="AQ214" s="451">
        <v>0</v>
      </c>
      <c r="AR214" s="451">
        <v>0</v>
      </c>
      <c r="AS214" s="451">
        <v>11407.8</v>
      </c>
      <c r="AT214" s="451">
        <v>59930.81</v>
      </c>
      <c r="AU214" s="451">
        <v>0</v>
      </c>
      <c r="AV214" s="451">
        <v>0</v>
      </c>
      <c r="AW214" s="451">
        <v>59930.81</v>
      </c>
      <c r="AX214" s="451">
        <v>5613.8</v>
      </c>
      <c r="AY214" s="451">
        <v>0</v>
      </c>
      <c r="AZ214" s="451">
        <v>0</v>
      </c>
      <c r="BA214" s="451">
        <v>5613.8</v>
      </c>
      <c r="BB214" s="451">
        <v>0</v>
      </c>
      <c r="BC214" s="451">
        <v>0</v>
      </c>
      <c r="BD214" s="451">
        <v>0</v>
      </c>
      <c r="BE214" s="451">
        <v>0</v>
      </c>
      <c r="BF214" s="451">
        <v>0</v>
      </c>
      <c r="BG214" s="451">
        <v>0</v>
      </c>
      <c r="BH214" s="451">
        <v>0</v>
      </c>
      <c r="BI214" s="451">
        <v>0</v>
      </c>
      <c r="BJ214" s="451">
        <v>67603.28</v>
      </c>
      <c r="BK214" s="451">
        <v>0</v>
      </c>
      <c r="BL214" s="451">
        <v>0</v>
      </c>
      <c r="BM214" s="451">
        <v>67603.28</v>
      </c>
      <c r="BN214" s="451">
        <v>94912.97</v>
      </c>
      <c r="BO214" s="451">
        <v>0</v>
      </c>
      <c r="BP214" s="451">
        <v>0</v>
      </c>
      <c r="BQ214" s="451">
        <v>94912.97</v>
      </c>
      <c r="BR214" s="451">
        <v>2170560</v>
      </c>
      <c r="BS214" s="451">
        <v>0</v>
      </c>
      <c r="BT214" s="451">
        <v>0</v>
      </c>
      <c r="BU214" s="451">
        <v>2170560</v>
      </c>
      <c r="BV214" s="451">
        <v>37931</v>
      </c>
      <c r="BW214" s="451">
        <v>0</v>
      </c>
      <c r="BX214" s="451">
        <v>0</v>
      </c>
      <c r="BY214" s="451">
        <v>37931</v>
      </c>
      <c r="BZ214" s="451">
        <v>68331.39</v>
      </c>
      <c r="CA214" s="451">
        <v>0</v>
      </c>
      <c r="CB214" s="451">
        <v>0</v>
      </c>
      <c r="CC214" s="451">
        <v>68331.39</v>
      </c>
      <c r="CD214" s="451">
        <v>4682.6099999999997</v>
      </c>
      <c r="CE214" s="451">
        <v>0</v>
      </c>
      <c r="CF214" s="451">
        <v>0</v>
      </c>
      <c r="CG214" s="451">
        <v>4682.6099999999997</v>
      </c>
      <c r="CH214" s="451">
        <v>35474.44</v>
      </c>
      <c r="CI214" s="451">
        <v>0</v>
      </c>
      <c r="CJ214" s="451">
        <v>0</v>
      </c>
      <c r="CK214" s="451">
        <v>35474.44</v>
      </c>
      <c r="CL214" s="451">
        <v>10791.33</v>
      </c>
      <c r="CM214" s="451">
        <v>0</v>
      </c>
      <c r="CN214" s="451">
        <v>0</v>
      </c>
      <c r="CO214" s="451">
        <v>10791.33</v>
      </c>
      <c r="CP214" s="451">
        <v>2562</v>
      </c>
      <c r="CQ214" s="451">
        <v>0</v>
      </c>
      <c r="CR214" s="451">
        <v>0</v>
      </c>
      <c r="CS214" s="451">
        <v>2562</v>
      </c>
      <c r="CT214" s="451">
        <v>0</v>
      </c>
      <c r="CU214" s="451">
        <v>0</v>
      </c>
      <c r="CV214" s="451">
        <v>0</v>
      </c>
      <c r="CW214" s="451">
        <v>0</v>
      </c>
      <c r="CX214" s="451">
        <v>2515.31</v>
      </c>
      <c r="CY214" s="451">
        <v>0</v>
      </c>
      <c r="CZ214" s="451">
        <v>0</v>
      </c>
      <c r="DA214" s="451">
        <v>2515.31</v>
      </c>
      <c r="DB214" s="451">
        <v>0</v>
      </c>
      <c r="DC214" s="451">
        <v>0</v>
      </c>
      <c r="DD214" s="451">
        <v>0</v>
      </c>
      <c r="DE214" s="451">
        <v>0</v>
      </c>
      <c r="DF214" s="451">
        <v>0</v>
      </c>
      <c r="DG214" s="451">
        <v>0</v>
      </c>
      <c r="DH214" s="451">
        <v>0</v>
      </c>
      <c r="DI214" s="451">
        <v>0</v>
      </c>
      <c r="DJ214" s="451">
        <v>0</v>
      </c>
      <c r="DK214" s="451">
        <v>0</v>
      </c>
      <c r="DL214" s="451">
        <v>0</v>
      </c>
      <c r="DM214" s="451">
        <v>0</v>
      </c>
      <c r="DN214" s="451">
        <v>0</v>
      </c>
      <c r="DO214" s="451">
        <v>0</v>
      </c>
      <c r="DP214" s="451">
        <v>0</v>
      </c>
      <c r="DQ214" s="451">
        <v>0</v>
      </c>
      <c r="DR214" s="451">
        <v>0</v>
      </c>
      <c r="DS214" s="451">
        <v>0</v>
      </c>
      <c r="DT214" s="451">
        <v>0</v>
      </c>
      <c r="DU214" s="451">
        <v>0</v>
      </c>
      <c r="DV214" s="451">
        <v>0</v>
      </c>
      <c r="DW214" s="451">
        <v>0</v>
      </c>
      <c r="DX214" s="451">
        <v>0</v>
      </c>
      <c r="DY214" s="451">
        <v>0</v>
      </c>
      <c r="DZ214" s="451">
        <v>0</v>
      </c>
      <c r="EA214" s="451">
        <v>0</v>
      </c>
      <c r="EB214" s="451">
        <v>7665.04</v>
      </c>
      <c r="EC214" s="451">
        <v>0</v>
      </c>
      <c r="ED214" s="451">
        <v>0</v>
      </c>
      <c r="EE214" s="451">
        <v>7665.04</v>
      </c>
      <c r="EF214" s="451">
        <v>0</v>
      </c>
      <c r="EG214" s="451">
        <v>0</v>
      </c>
      <c r="EH214" s="451">
        <v>0</v>
      </c>
      <c r="EI214" s="451">
        <v>0</v>
      </c>
      <c r="EJ214" s="451">
        <v>0</v>
      </c>
      <c r="EK214" s="451">
        <v>0</v>
      </c>
      <c r="EL214" s="451">
        <v>0</v>
      </c>
      <c r="EM214" s="451">
        <v>0</v>
      </c>
    </row>
    <row r="215" spans="1:143" ht="12.75" x14ac:dyDescent="0.2">
      <c r="A215" s="446">
        <v>209</v>
      </c>
      <c r="B215" s="447" t="s">
        <v>301</v>
      </c>
      <c r="C215" s="448" t="s">
        <v>1093</v>
      </c>
      <c r="D215" s="449" t="s">
        <v>1095</v>
      </c>
      <c r="E215" s="450" t="s">
        <v>300</v>
      </c>
      <c r="F215" s="451">
        <v>133380</v>
      </c>
      <c r="G215" s="451">
        <v>0</v>
      </c>
      <c r="H215" s="451">
        <v>0</v>
      </c>
      <c r="I215" s="451">
        <v>133380</v>
      </c>
      <c r="J215" s="451">
        <v>-124281</v>
      </c>
      <c r="K215" s="451">
        <v>0</v>
      </c>
      <c r="L215" s="451">
        <v>0</v>
      </c>
      <c r="M215" s="451">
        <v>-124281</v>
      </c>
      <c r="N215" s="451">
        <v>13036</v>
      </c>
      <c r="O215" s="451">
        <v>0</v>
      </c>
      <c r="P215" s="451">
        <v>0</v>
      </c>
      <c r="Q215" s="451">
        <v>13036</v>
      </c>
      <c r="R215" s="451">
        <v>8270</v>
      </c>
      <c r="S215" s="451">
        <v>0</v>
      </c>
      <c r="T215" s="451">
        <v>0</v>
      </c>
      <c r="U215" s="451">
        <v>8270</v>
      </c>
      <c r="V215" s="451">
        <v>1777110</v>
      </c>
      <c r="W215" s="451">
        <v>0</v>
      </c>
      <c r="X215" s="451">
        <v>0</v>
      </c>
      <c r="Y215" s="451">
        <v>1777110</v>
      </c>
      <c r="Z215" s="451">
        <v>44831</v>
      </c>
      <c r="AA215" s="451">
        <v>0</v>
      </c>
      <c r="AB215" s="451">
        <v>0</v>
      </c>
      <c r="AC215" s="451">
        <v>44831</v>
      </c>
      <c r="AD215" s="451">
        <v>217005</v>
      </c>
      <c r="AE215" s="451">
        <v>0</v>
      </c>
      <c r="AF215" s="451">
        <v>34290</v>
      </c>
      <c r="AG215" s="451">
        <v>251295</v>
      </c>
      <c r="AH215" s="451">
        <v>1089</v>
      </c>
      <c r="AI215" s="451">
        <v>0</v>
      </c>
      <c r="AJ215" s="451">
        <v>0</v>
      </c>
      <c r="AK215" s="451">
        <v>1089</v>
      </c>
      <c r="AL215" s="451">
        <v>851609</v>
      </c>
      <c r="AM215" s="451">
        <v>0</v>
      </c>
      <c r="AN215" s="451">
        <v>0</v>
      </c>
      <c r="AO215" s="451">
        <v>851609</v>
      </c>
      <c r="AP215" s="451">
        <v>2641</v>
      </c>
      <c r="AQ215" s="451">
        <v>0</v>
      </c>
      <c r="AR215" s="451">
        <v>0</v>
      </c>
      <c r="AS215" s="451">
        <v>2641</v>
      </c>
      <c r="AT215" s="451">
        <v>25331</v>
      </c>
      <c r="AU215" s="451">
        <v>0</v>
      </c>
      <c r="AV215" s="451">
        <v>0</v>
      </c>
      <c r="AW215" s="451">
        <v>25331</v>
      </c>
      <c r="AX215" s="451">
        <v>0</v>
      </c>
      <c r="AY215" s="451">
        <v>0</v>
      </c>
      <c r="AZ215" s="451">
        <v>0</v>
      </c>
      <c r="BA215" s="451">
        <v>0</v>
      </c>
      <c r="BB215" s="451">
        <v>25487</v>
      </c>
      <c r="BC215" s="451">
        <v>0</v>
      </c>
      <c r="BD215" s="451">
        <v>0</v>
      </c>
      <c r="BE215" s="451">
        <v>25487</v>
      </c>
      <c r="BF215" s="451">
        <v>10155</v>
      </c>
      <c r="BG215" s="451">
        <v>0</v>
      </c>
      <c r="BH215" s="451">
        <v>0</v>
      </c>
      <c r="BI215" s="451">
        <v>10155</v>
      </c>
      <c r="BJ215" s="451">
        <v>0</v>
      </c>
      <c r="BK215" s="451">
        <v>0</v>
      </c>
      <c r="BL215" s="451">
        <v>0</v>
      </c>
      <c r="BM215" s="451">
        <v>0</v>
      </c>
      <c r="BN215" s="451">
        <v>-27872</v>
      </c>
      <c r="BO215" s="451">
        <v>0</v>
      </c>
      <c r="BP215" s="451">
        <v>0</v>
      </c>
      <c r="BQ215" s="451">
        <v>-27872</v>
      </c>
      <c r="BR215" s="451">
        <v>495547</v>
      </c>
      <c r="BS215" s="451">
        <v>0</v>
      </c>
      <c r="BT215" s="451">
        <v>0</v>
      </c>
      <c r="BU215" s="451">
        <v>495547</v>
      </c>
      <c r="BV215" s="451">
        <v>61613</v>
      </c>
      <c r="BW215" s="451">
        <v>0</v>
      </c>
      <c r="BX215" s="451">
        <v>0</v>
      </c>
      <c r="BY215" s="451">
        <v>61613</v>
      </c>
      <c r="BZ215" s="451">
        <v>28038</v>
      </c>
      <c r="CA215" s="451">
        <v>0</v>
      </c>
      <c r="CB215" s="451">
        <v>0</v>
      </c>
      <c r="CC215" s="451">
        <v>28038</v>
      </c>
      <c r="CD215" s="451">
        <v>273</v>
      </c>
      <c r="CE215" s="451">
        <v>0</v>
      </c>
      <c r="CF215" s="451">
        <v>0</v>
      </c>
      <c r="CG215" s="451">
        <v>273</v>
      </c>
      <c r="CH215" s="451">
        <v>9948</v>
      </c>
      <c r="CI215" s="451">
        <v>0</v>
      </c>
      <c r="CJ215" s="451">
        <v>0</v>
      </c>
      <c r="CK215" s="451">
        <v>9948</v>
      </c>
      <c r="CL215" s="451">
        <v>0</v>
      </c>
      <c r="CM215" s="451">
        <v>0</v>
      </c>
      <c r="CN215" s="451">
        <v>0</v>
      </c>
      <c r="CO215" s="451">
        <v>0</v>
      </c>
      <c r="CP215" s="451">
        <v>0</v>
      </c>
      <c r="CQ215" s="451">
        <v>0</v>
      </c>
      <c r="CR215" s="451">
        <v>0</v>
      </c>
      <c r="CS215" s="451">
        <v>0</v>
      </c>
      <c r="CT215" s="451">
        <v>0</v>
      </c>
      <c r="CU215" s="451">
        <v>0</v>
      </c>
      <c r="CV215" s="451">
        <v>0</v>
      </c>
      <c r="CW215" s="451">
        <v>0</v>
      </c>
      <c r="CX215" s="451">
        <v>5930</v>
      </c>
      <c r="CY215" s="451">
        <v>0</v>
      </c>
      <c r="CZ215" s="451">
        <v>0</v>
      </c>
      <c r="DA215" s="451">
        <v>5930</v>
      </c>
      <c r="DB215" s="451">
        <v>0</v>
      </c>
      <c r="DC215" s="451">
        <v>0</v>
      </c>
      <c r="DD215" s="451">
        <v>0</v>
      </c>
      <c r="DE215" s="451">
        <v>0</v>
      </c>
      <c r="DF215" s="451">
        <v>1559</v>
      </c>
      <c r="DG215" s="451">
        <v>0</v>
      </c>
      <c r="DH215" s="451">
        <v>0</v>
      </c>
      <c r="DI215" s="451">
        <v>1559</v>
      </c>
      <c r="DJ215" s="451">
        <v>0</v>
      </c>
      <c r="DK215" s="451">
        <v>0</v>
      </c>
      <c r="DL215" s="451">
        <v>0</v>
      </c>
      <c r="DM215" s="451">
        <v>0</v>
      </c>
      <c r="DN215" s="451">
        <v>0</v>
      </c>
      <c r="DO215" s="451">
        <v>0</v>
      </c>
      <c r="DP215" s="451">
        <v>0</v>
      </c>
      <c r="DQ215" s="451">
        <v>0</v>
      </c>
      <c r="DR215" s="451">
        <v>0</v>
      </c>
      <c r="DS215" s="451">
        <v>0</v>
      </c>
      <c r="DT215" s="451">
        <v>0</v>
      </c>
      <c r="DU215" s="451">
        <v>0</v>
      </c>
      <c r="DV215" s="451">
        <v>0</v>
      </c>
      <c r="DW215" s="451">
        <v>0</v>
      </c>
      <c r="DX215" s="451">
        <v>0</v>
      </c>
      <c r="DY215" s="451">
        <v>0</v>
      </c>
      <c r="DZ215" s="451">
        <v>0</v>
      </c>
      <c r="EA215" s="451">
        <v>0</v>
      </c>
      <c r="EB215" s="451">
        <v>0</v>
      </c>
      <c r="EC215" s="451">
        <v>0</v>
      </c>
      <c r="ED215" s="451">
        <v>0</v>
      </c>
      <c r="EE215" s="451">
        <v>0</v>
      </c>
      <c r="EF215" s="451">
        <v>0</v>
      </c>
      <c r="EG215" s="451">
        <v>0</v>
      </c>
      <c r="EH215" s="451">
        <v>0</v>
      </c>
      <c r="EI215" s="451">
        <v>0</v>
      </c>
      <c r="EJ215" s="451">
        <v>0</v>
      </c>
      <c r="EK215" s="451">
        <v>0</v>
      </c>
      <c r="EL215" s="451">
        <v>0</v>
      </c>
      <c r="EM215" s="451">
        <v>0</v>
      </c>
    </row>
    <row r="216" spans="1:143" ht="12.75" x14ac:dyDescent="0.2">
      <c r="A216" s="446">
        <v>210</v>
      </c>
      <c r="B216" s="447" t="s">
        <v>303</v>
      </c>
      <c r="C216" s="448" t="s">
        <v>1098</v>
      </c>
      <c r="D216" s="449" t="s">
        <v>1099</v>
      </c>
      <c r="E216" s="450" t="s">
        <v>302</v>
      </c>
      <c r="F216" s="451">
        <v>323214</v>
      </c>
      <c r="G216" s="451">
        <v>0</v>
      </c>
      <c r="H216" s="451">
        <v>0</v>
      </c>
      <c r="I216" s="451">
        <v>323214</v>
      </c>
      <c r="J216" s="451">
        <v>122840</v>
      </c>
      <c r="K216" s="451">
        <v>0</v>
      </c>
      <c r="L216" s="451">
        <v>0</v>
      </c>
      <c r="M216" s="451">
        <v>122840</v>
      </c>
      <c r="N216" s="451">
        <v>63047</v>
      </c>
      <c r="O216" s="451">
        <v>0</v>
      </c>
      <c r="P216" s="451">
        <v>0</v>
      </c>
      <c r="Q216" s="451">
        <v>63047</v>
      </c>
      <c r="R216" s="451">
        <v>369352</v>
      </c>
      <c r="S216" s="451">
        <v>0</v>
      </c>
      <c r="T216" s="451">
        <v>0</v>
      </c>
      <c r="U216" s="451">
        <v>369352</v>
      </c>
      <c r="V216" s="451">
        <v>2136553</v>
      </c>
      <c r="W216" s="451">
        <v>0</v>
      </c>
      <c r="X216" s="451">
        <v>0</v>
      </c>
      <c r="Y216" s="451">
        <v>2136553</v>
      </c>
      <c r="Z216" s="451">
        <v>117340</v>
      </c>
      <c r="AA216" s="451">
        <v>0</v>
      </c>
      <c r="AB216" s="451">
        <v>0</v>
      </c>
      <c r="AC216" s="451">
        <v>117340</v>
      </c>
      <c r="AD216" s="451">
        <v>1506062</v>
      </c>
      <c r="AE216" s="451">
        <v>0</v>
      </c>
      <c r="AF216" s="451">
        <v>0</v>
      </c>
      <c r="AG216" s="451">
        <v>1506062</v>
      </c>
      <c r="AH216" s="451">
        <v>-30374</v>
      </c>
      <c r="AI216" s="451">
        <v>0</v>
      </c>
      <c r="AJ216" s="451">
        <v>0</v>
      </c>
      <c r="AK216" s="451">
        <v>-30374</v>
      </c>
      <c r="AL216" s="451">
        <v>7485343</v>
      </c>
      <c r="AM216" s="451">
        <v>0</v>
      </c>
      <c r="AN216" s="451">
        <v>0</v>
      </c>
      <c r="AO216" s="451">
        <v>7485343</v>
      </c>
      <c r="AP216" s="451">
        <v>7409</v>
      </c>
      <c r="AQ216" s="451">
        <v>0</v>
      </c>
      <c r="AR216" s="451">
        <v>0</v>
      </c>
      <c r="AS216" s="451">
        <v>7409</v>
      </c>
      <c r="AT216" s="451">
        <v>50495</v>
      </c>
      <c r="AU216" s="451">
        <v>0</v>
      </c>
      <c r="AV216" s="451">
        <v>0</v>
      </c>
      <c r="AW216" s="451">
        <v>50495</v>
      </c>
      <c r="AX216" s="451">
        <v>0</v>
      </c>
      <c r="AY216" s="451">
        <v>0</v>
      </c>
      <c r="AZ216" s="451">
        <v>0</v>
      </c>
      <c r="BA216" s="451">
        <v>0</v>
      </c>
      <c r="BB216" s="451">
        <v>0</v>
      </c>
      <c r="BC216" s="451">
        <v>0</v>
      </c>
      <c r="BD216" s="451">
        <v>0</v>
      </c>
      <c r="BE216" s="451">
        <v>0</v>
      </c>
      <c r="BF216" s="451">
        <v>0</v>
      </c>
      <c r="BG216" s="451">
        <v>0</v>
      </c>
      <c r="BH216" s="451">
        <v>0</v>
      </c>
      <c r="BI216" s="451">
        <v>0</v>
      </c>
      <c r="BJ216" s="451">
        <v>0</v>
      </c>
      <c r="BK216" s="451">
        <v>0</v>
      </c>
      <c r="BL216" s="451">
        <v>0</v>
      </c>
      <c r="BM216" s="451">
        <v>0</v>
      </c>
      <c r="BN216" s="451">
        <v>0</v>
      </c>
      <c r="BO216" s="451">
        <v>0</v>
      </c>
      <c r="BP216" s="451">
        <v>0</v>
      </c>
      <c r="BQ216" s="451">
        <v>0</v>
      </c>
      <c r="BR216" s="451">
        <v>2831271</v>
      </c>
      <c r="BS216" s="451">
        <v>0</v>
      </c>
      <c r="BT216" s="451">
        <v>0</v>
      </c>
      <c r="BU216" s="451">
        <v>2831271</v>
      </c>
      <c r="BV216" s="451">
        <v>275850</v>
      </c>
      <c r="BW216" s="451">
        <v>0</v>
      </c>
      <c r="BX216" s="451">
        <v>0</v>
      </c>
      <c r="BY216" s="451">
        <v>275850</v>
      </c>
      <c r="BZ216" s="451">
        <v>247992</v>
      </c>
      <c r="CA216" s="451">
        <v>0</v>
      </c>
      <c r="CB216" s="451">
        <v>0</v>
      </c>
      <c r="CC216" s="451">
        <v>247992</v>
      </c>
      <c r="CD216" s="451">
        <v>7046</v>
      </c>
      <c r="CE216" s="451">
        <v>0</v>
      </c>
      <c r="CF216" s="451">
        <v>0</v>
      </c>
      <c r="CG216" s="451">
        <v>7046</v>
      </c>
      <c r="CH216" s="451">
        <v>155553.51</v>
      </c>
      <c r="CI216" s="451">
        <v>0</v>
      </c>
      <c r="CJ216" s="451">
        <v>0</v>
      </c>
      <c r="CK216" s="451">
        <v>155553.51</v>
      </c>
      <c r="CL216" s="451">
        <v>-15328</v>
      </c>
      <c r="CM216" s="451">
        <v>0</v>
      </c>
      <c r="CN216" s="451">
        <v>0</v>
      </c>
      <c r="CO216" s="451">
        <v>-15328</v>
      </c>
      <c r="CP216" s="451">
        <v>3839</v>
      </c>
      <c r="CQ216" s="451">
        <v>0</v>
      </c>
      <c r="CR216" s="451">
        <v>0</v>
      </c>
      <c r="CS216" s="451">
        <v>3839</v>
      </c>
      <c r="CT216" s="451">
        <v>0</v>
      </c>
      <c r="CU216" s="451">
        <v>0</v>
      </c>
      <c r="CV216" s="451">
        <v>0</v>
      </c>
      <c r="CW216" s="451">
        <v>0</v>
      </c>
      <c r="CX216" s="451">
        <v>0</v>
      </c>
      <c r="CY216" s="451">
        <v>0</v>
      </c>
      <c r="CZ216" s="451">
        <v>0</v>
      </c>
      <c r="DA216" s="451">
        <v>0</v>
      </c>
      <c r="DB216" s="451">
        <v>0</v>
      </c>
      <c r="DC216" s="451">
        <v>0</v>
      </c>
      <c r="DD216" s="451">
        <v>0</v>
      </c>
      <c r="DE216" s="451">
        <v>0</v>
      </c>
      <c r="DF216" s="451">
        <v>0</v>
      </c>
      <c r="DG216" s="451">
        <v>0</v>
      </c>
      <c r="DH216" s="451">
        <v>0</v>
      </c>
      <c r="DI216" s="451">
        <v>0</v>
      </c>
      <c r="DJ216" s="451">
        <v>0</v>
      </c>
      <c r="DK216" s="451">
        <v>0</v>
      </c>
      <c r="DL216" s="451">
        <v>0</v>
      </c>
      <c r="DM216" s="451">
        <v>0</v>
      </c>
      <c r="DN216" s="451">
        <v>0</v>
      </c>
      <c r="DO216" s="451">
        <v>0</v>
      </c>
      <c r="DP216" s="451">
        <v>0</v>
      </c>
      <c r="DQ216" s="451">
        <v>0</v>
      </c>
      <c r="DR216" s="451">
        <v>0</v>
      </c>
      <c r="DS216" s="451">
        <v>0</v>
      </c>
      <c r="DT216" s="451">
        <v>0</v>
      </c>
      <c r="DU216" s="451">
        <v>0</v>
      </c>
      <c r="DV216" s="451">
        <v>0</v>
      </c>
      <c r="DW216" s="451">
        <v>0</v>
      </c>
      <c r="DX216" s="451">
        <v>0</v>
      </c>
      <c r="DY216" s="451">
        <v>0</v>
      </c>
      <c r="DZ216" s="451">
        <v>0</v>
      </c>
      <c r="EA216" s="451">
        <v>0</v>
      </c>
      <c r="EB216" s="451">
        <v>0</v>
      </c>
      <c r="EC216" s="451">
        <v>0</v>
      </c>
      <c r="ED216" s="451">
        <v>0</v>
      </c>
      <c r="EE216" s="451">
        <v>0</v>
      </c>
      <c r="EF216" s="451">
        <v>0</v>
      </c>
      <c r="EG216" s="451">
        <v>0</v>
      </c>
      <c r="EH216" s="451">
        <v>0</v>
      </c>
      <c r="EI216" s="451">
        <v>0</v>
      </c>
      <c r="EJ216" s="451">
        <v>0</v>
      </c>
      <c r="EK216" s="451">
        <v>0</v>
      </c>
      <c r="EL216" s="451">
        <v>0</v>
      </c>
      <c r="EM216" s="451">
        <v>0</v>
      </c>
    </row>
    <row r="217" spans="1:143" ht="12.75" x14ac:dyDescent="0.2">
      <c r="A217" s="446">
        <v>211</v>
      </c>
      <c r="B217" s="447" t="s">
        <v>305</v>
      </c>
      <c r="C217" s="448" t="s">
        <v>1093</v>
      </c>
      <c r="D217" s="449" t="s">
        <v>1101</v>
      </c>
      <c r="E217" s="450" t="s">
        <v>304</v>
      </c>
      <c r="F217" s="451">
        <v>26467</v>
      </c>
      <c r="G217" s="451">
        <v>0</v>
      </c>
      <c r="H217" s="451">
        <v>0</v>
      </c>
      <c r="I217" s="451">
        <v>26467</v>
      </c>
      <c r="J217" s="451">
        <v>9705</v>
      </c>
      <c r="K217" s="451">
        <v>0</v>
      </c>
      <c r="L217" s="451">
        <v>0</v>
      </c>
      <c r="M217" s="451">
        <v>9705</v>
      </c>
      <c r="N217" s="451">
        <v>18798</v>
      </c>
      <c r="O217" s="451">
        <v>0</v>
      </c>
      <c r="P217" s="451">
        <v>0</v>
      </c>
      <c r="Q217" s="451">
        <v>18798</v>
      </c>
      <c r="R217" s="451">
        <v>80324</v>
      </c>
      <c r="S217" s="451">
        <v>0</v>
      </c>
      <c r="T217" s="451">
        <v>0</v>
      </c>
      <c r="U217" s="451">
        <v>80324</v>
      </c>
      <c r="V217" s="451">
        <v>1631431</v>
      </c>
      <c r="W217" s="451">
        <v>0</v>
      </c>
      <c r="X217" s="451">
        <v>0</v>
      </c>
      <c r="Y217" s="451">
        <v>1631431</v>
      </c>
      <c r="Z217" s="451">
        <v>94274</v>
      </c>
      <c r="AA217" s="451">
        <v>0</v>
      </c>
      <c r="AB217" s="451">
        <v>0</v>
      </c>
      <c r="AC217" s="451">
        <v>94274</v>
      </c>
      <c r="AD217" s="451">
        <v>217530</v>
      </c>
      <c r="AE217" s="451">
        <v>0</v>
      </c>
      <c r="AF217" s="451">
        <v>0</v>
      </c>
      <c r="AG217" s="451">
        <v>217530</v>
      </c>
      <c r="AH217" s="451">
        <v>-791</v>
      </c>
      <c r="AI217" s="451">
        <v>0</v>
      </c>
      <c r="AJ217" s="451">
        <v>0</v>
      </c>
      <c r="AK217" s="451">
        <v>-791</v>
      </c>
      <c r="AL217" s="451">
        <v>513787</v>
      </c>
      <c r="AM217" s="451">
        <v>0</v>
      </c>
      <c r="AN217" s="451">
        <v>0</v>
      </c>
      <c r="AO217" s="451">
        <v>513787</v>
      </c>
      <c r="AP217" s="451">
        <v>-13052</v>
      </c>
      <c r="AQ217" s="451">
        <v>0</v>
      </c>
      <c r="AR217" s="451">
        <v>0</v>
      </c>
      <c r="AS217" s="451">
        <v>-13052</v>
      </c>
      <c r="AT217" s="451">
        <v>38125</v>
      </c>
      <c r="AU217" s="451">
        <v>0</v>
      </c>
      <c r="AV217" s="451">
        <v>0</v>
      </c>
      <c r="AW217" s="451">
        <v>38125</v>
      </c>
      <c r="AX217" s="451">
        <v>0</v>
      </c>
      <c r="AY217" s="451">
        <v>0</v>
      </c>
      <c r="AZ217" s="451">
        <v>0</v>
      </c>
      <c r="BA217" s="451">
        <v>0</v>
      </c>
      <c r="BB217" s="451">
        <v>44720</v>
      </c>
      <c r="BC217" s="451">
        <v>0</v>
      </c>
      <c r="BD217" s="451">
        <v>0</v>
      </c>
      <c r="BE217" s="451">
        <v>44720</v>
      </c>
      <c r="BF217" s="451">
        <v>0</v>
      </c>
      <c r="BG217" s="451">
        <v>0</v>
      </c>
      <c r="BH217" s="451">
        <v>0</v>
      </c>
      <c r="BI217" s="451">
        <v>0</v>
      </c>
      <c r="BJ217" s="451">
        <v>2613</v>
      </c>
      <c r="BK217" s="451">
        <v>0</v>
      </c>
      <c r="BL217" s="451">
        <v>0</v>
      </c>
      <c r="BM217" s="451">
        <v>2613</v>
      </c>
      <c r="BN217" s="451">
        <v>0</v>
      </c>
      <c r="BO217" s="451">
        <v>0</v>
      </c>
      <c r="BP217" s="451">
        <v>0</v>
      </c>
      <c r="BQ217" s="451">
        <v>0</v>
      </c>
      <c r="BR217" s="451">
        <v>213752</v>
      </c>
      <c r="BS217" s="451">
        <v>0</v>
      </c>
      <c r="BT217" s="451">
        <v>0</v>
      </c>
      <c r="BU217" s="451">
        <v>213752</v>
      </c>
      <c r="BV217" s="451">
        <v>17297</v>
      </c>
      <c r="BW217" s="451">
        <v>0</v>
      </c>
      <c r="BX217" s="451">
        <v>0</v>
      </c>
      <c r="BY217" s="451">
        <v>17297</v>
      </c>
      <c r="BZ217" s="451">
        <v>47465</v>
      </c>
      <c r="CA217" s="451">
        <v>0</v>
      </c>
      <c r="CB217" s="451">
        <v>0</v>
      </c>
      <c r="CC217" s="451">
        <v>47465</v>
      </c>
      <c r="CD217" s="451">
        <v>2955</v>
      </c>
      <c r="CE217" s="451">
        <v>0</v>
      </c>
      <c r="CF217" s="451">
        <v>0</v>
      </c>
      <c r="CG217" s="451">
        <v>2955</v>
      </c>
      <c r="CH217" s="451">
        <v>6870</v>
      </c>
      <c r="CI217" s="451">
        <v>0</v>
      </c>
      <c r="CJ217" s="451">
        <v>0</v>
      </c>
      <c r="CK217" s="451">
        <v>6870</v>
      </c>
      <c r="CL217" s="451">
        <v>-419</v>
      </c>
      <c r="CM217" s="451">
        <v>0</v>
      </c>
      <c r="CN217" s="451">
        <v>0</v>
      </c>
      <c r="CO217" s="451">
        <v>-419</v>
      </c>
      <c r="CP217" s="451">
        <v>1326</v>
      </c>
      <c r="CQ217" s="451">
        <v>0</v>
      </c>
      <c r="CR217" s="451">
        <v>0</v>
      </c>
      <c r="CS217" s="451">
        <v>1326</v>
      </c>
      <c r="CT217" s="451">
        <v>0</v>
      </c>
      <c r="CU217" s="451">
        <v>0</v>
      </c>
      <c r="CV217" s="451">
        <v>0</v>
      </c>
      <c r="CW217" s="451">
        <v>0</v>
      </c>
      <c r="CX217" s="451">
        <v>18403</v>
      </c>
      <c r="CY217" s="451">
        <v>0</v>
      </c>
      <c r="CZ217" s="451">
        <v>0</v>
      </c>
      <c r="DA217" s="451">
        <v>18403</v>
      </c>
      <c r="DB217" s="451">
        <v>1488</v>
      </c>
      <c r="DC217" s="451">
        <v>0</v>
      </c>
      <c r="DD217" s="451">
        <v>0</v>
      </c>
      <c r="DE217" s="451">
        <v>1488</v>
      </c>
      <c r="DF217" s="451">
        <v>5807</v>
      </c>
      <c r="DG217" s="451">
        <v>0</v>
      </c>
      <c r="DH217" s="451">
        <v>0</v>
      </c>
      <c r="DI217" s="451">
        <v>5807</v>
      </c>
      <c r="DJ217" s="451">
        <v>-1488</v>
      </c>
      <c r="DK217" s="451">
        <v>0</v>
      </c>
      <c r="DL217" s="451">
        <v>0</v>
      </c>
      <c r="DM217" s="451">
        <v>-1488</v>
      </c>
      <c r="DN217" s="451">
        <v>0</v>
      </c>
      <c r="DO217" s="451">
        <v>0</v>
      </c>
      <c r="DP217" s="451">
        <v>0</v>
      </c>
      <c r="DQ217" s="451">
        <v>0</v>
      </c>
      <c r="DR217" s="451">
        <v>0</v>
      </c>
      <c r="DS217" s="451">
        <v>0</v>
      </c>
      <c r="DT217" s="451">
        <v>0</v>
      </c>
      <c r="DU217" s="451">
        <v>0</v>
      </c>
      <c r="DV217" s="451">
        <v>0</v>
      </c>
      <c r="DW217" s="451">
        <v>0</v>
      </c>
      <c r="DX217" s="451">
        <v>0</v>
      </c>
      <c r="DY217" s="451">
        <v>0</v>
      </c>
      <c r="DZ217" s="451">
        <v>0</v>
      </c>
      <c r="EA217" s="451">
        <v>0</v>
      </c>
      <c r="EB217" s="451">
        <v>0</v>
      </c>
      <c r="EC217" s="451">
        <v>0</v>
      </c>
      <c r="ED217" s="451">
        <v>0</v>
      </c>
      <c r="EE217" s="451">
        <v>0</v>
      </c>
      <c r="EF217" s="451">
        <v>0</v>
      </c>
      <c r="EG217" s="451">
        <v>0</v>
      </c>
      <c r="EH217" s="451">
        <v>0</v>
      </c>
      <c r="EI217" s="451">
        <v>0</v>
      </c>
      <c r="EJ217" s="451">
        <v>0</v>
      </c>
      <c r="EK217" s="451">
        <v>0</v>
      </c>
      <c r="EL217" s="451">
        <v>0</v>
      </c>
      <c r="EM217" s="451">
        <v>0</v>
      </c>
    </row>
    <row r="218" spans="1:143" ht="12.75" x14ac:dyDescent="0.2">
      <c r="A218" s="446">
        <v>212</v>
      </c>
      <c r="B218" s="447" t="s">
        <v>307</v>
      </c>
      <c r="C218" s="448" t="s">
        <v>1100</v>
      </c>
      <c r="D218" s="449" t="s">
        <v>1095</v>
      </c>
      <c r="E218" s="450" t="s">
        <v>306</v>
      </c>
      <c r="F218" s="451">
        <v>241975</v>
      </c>
      <c r="G218" s="451">
        <v>0</v>
      </c>
      <c r="H218" s="451">
        <v>0</v>
      </c>
      <c r="I218" s="451">
        <v>241975</v>
      </c>
      <c r="J218" s="451">
        <v>-243453</v>
      </c>
      <c r="K218" s="451">
        <v>0</v>
      </c>
      <c r="L218" s="451">
        <v>0</v>
      </c>
      <c r="M218" s="451">
        <v>-243453</v>
      </c>
      <c r="N218" s="451">
        <v>157713</v>
      </c>
      <c r="O218" s="451">
        <v>0</v>
      </c>
      <c r="P218" s="451">
        <v>0</v>
      </c>
      <c r="Q218" s="451">
        <v>157713</v>
      </c>
      <c r="R218" s="451">
        <v>738660</v>
      </c>
      <c r="S218" s="451">
        <v>0</v>
      </c>
      <c r="T218" s="451">
        <v>0</v>
      </c>
      <c r="U218" s="451">
        <v>738660</v>
      </c>
      <c r="V218" s="451">
        <v>4768941</v>
      </c>
      <c r="W218" s="451">
        <v>0</v>
      </c>
      <c r="X218" s="451">
        <v>0</v>
      </c>
      <c r="Y218" s="451">
        <v>4768941</v>
      </c>
      <c r="Z218" s="451">
        <v>167066</v>
      </c>
      <c r="AA218" s="451">
        <v>0</v>
      </c>
      <c r="AB218" s="451">
        <v>0</v>
      </c>
      <c r="AC218" s="451">
        <v>167066</v>
      </c>
      <c r="AD218" s="451">
        <v>1266779</v>
      </c>
      <c r="AE218" s="451">
        <v>0</v>
      </c>
      <c r="AF218" s="451">
        <v>0</v>
      </c>
      <c r="AG218" s="451">
        <v>1266779</v>
      </c>
      <c r="AH218" s="451">
        <v>-26728</v>
      </c>
      <c r="AI218" s="451">
        <v>0</v>
      </c>
      <c r="AJ218" s="451">
        <v>0</v>
      </c>
      <c r="AK218" s="451">
        <v>-26728</v>
      </c>
      <c r="AL218" s="451">
        <v>2943067</v>
      </c>
      <c r="AM218" s="451">
        <v>0</v>
      </c>
      <c r="AN218" s="451">
        <v>0</v>
      </c>
      <c r="AO218" s="451">
        <v>2943067</v>
      </c>
      <c r="AP218" s="451">
        <v>-111421</v>
      </c>
      <c r="AQ218" s="451">
        <v>0</v>
      </c>
      <c r="AR218" s="451">
        <v>0</v>
      </c>
      <c r="AS218" s="451">
        <v>-111421</v>
      </c>
      <c r="AT218" s="451">
        <v>90611</v>
      </c>
      <c r="AU218" s="451">
        <v>0</v>
      </c>
      <c r="AV218" s="451">
        <v>0</v>
      </c>
      <c r="AW218" s="451">
        <v>90611</v>
      </c>
      <c r="AX218" s="451">
        <v>0</v>
      </c>
      <c r="AY218" s="451">
        <v>0</v>
      </c>
      <c r="AZ218" s="451">
        <v>0</v>
      </c>
      <c r="BA218" s="451">
        <v>0</v>
      </c>
      <c r="BB218" s="451">
        <v>0</v>
      </c>
      <c r="BC218" s="451">
        <v>0</v>
      </c>
      <c r="BD218" s="451">
        <v>0</v>
      </c>
      <c r="BE218" s="451">
        <v>0</v>
      </c>
      <c r="BF218" s="451">
        <v>0</v>
      </c>
      <c r="BG218" s="451">
        <v>0</v>
      </c>
      <c r="BH218" s="451">
        <v>0</v>
      </c>
      <c r="BI218" s="451">
        <v>0</v>
      </c>
      <c r="BJ218" s="451">
        <v>376565</v>
      </c>
      <c r="BK218" s="451">
        <v>0</v>
      </c>
      <c r="BL218" s="451">
        <v>0</v>
      </c>
      <c r="BM218" s="451">
        <v>376565</v>
      </c>
      <c r="BN218" s="451">
        <v>363293</v>
      </c>
      <c r="BO218" s="451">
        <v>0</v>
      </c>
      <c r="BP218" s="451">
        <v>0</v>
      </c>
      <c r="BQ218" s="451">
        <v>363293</v>
      </c>
      <c r="BR218" s="451">
        <v>5067101</v>
      </c>
      <c r="BS218" s="451">
        <v>0</v>
      </c>
      <c r="BT218" s="451">
        <v>0</v>
      </c>
      <c r="BU218" s="451">
        <v>5067101</v>
      </c>
      <c r="BV218" s="451">
        <v>302175</v>
      </c>
      <c r="BW218" s="451">
        <v>0</v>
      </c>
      <c r="BX218" s="451">
        <v>0</v>
      </c>
      <c r="BY218" s="451">
        <v>302175</v>
      </c>
      <c r="BZ218" s="451">
        <v>218953</v>
      </c>
      <c r="CA218" s="451">
        <v>0</v>
      </c>
      <c r="CB218" s="451">
        <v>0</v>
      </c>
      <c r="CC218" s="451">
        <v>218953</v>
      </c>
      <c r="CD218" s="451">
        <v>-21337</v>
      </c>
      <c r="CE218" s="451">
        <v>0</v>
      </c>
      <c r="CF218" s="451">
        <v>0</v>
      </c>
      <c r="CG218" s="451">
        <v>-21337</v>
      </c>
      <c r="CH218" s="451">
        <v>88320</v>
      </c>
      <c r="CI218" s="451">
        <v>0</v>
      </c>
      <c r="CJ218" s="451">
        <v>0</v>
      </c>
      <c r="CK218" s="451">
        <v>88320</v>
      </c>
      <c r="CL218" s="451">
        <v>-8341</v>
      </c>
      <c r="CM218" s="451">
        <v>0</v>
      </c>
      <c r="CN218" s="451">
        <v>0</v>
      </c>
      <c r="CO218" s="451">
        <v>-8341</v>
      </c>
      <c r="CP218" s="451">
        <v>8210</v>
      </c>
      <c r="CQ218" s="451">
        <v>0</v>
      </c>
      <c r="CR218" s="451">
        <v>0</v>
      </c>
      <c r="CS218" s="451">
        <v>8210</v>
      </c>
      <c r="CT218" s="451">
        <v>0</v>
      </c>
      <c r="CU218" s="451">
        <v>0</v>
      </c>
      <c r="CV218" s="451">
        <v>0</v>
      </c>
      <c r="CW218" s="451">
        <v>0</v>
      </c>
      <c r="CX218" s="451">
        <v>0</v>
      </c>
      <c r="CY218" s="451">
        <v>0</v>
      </c>
      <c r="CZ218" s="451">
        <v>0</v>
      </c>
      <c r="DA218" s="451">
        <v>0</v>
      </c>
      <c r="DB218" s="451">
        <v>0</v>
      </c>
      <c r="DC218" s="451">
        <v>0</v>
      </c>
      <c r="DD218" s="451">
        <v>0</v>
      </c>
      <c r="DE218" s="451">
        <v>0</v>
      </c>
      <c r="DF218" s="451">
        <v>0</v>
      </c>
      <c r="DG218" s="451">
        <v>0</v>
      </c>
      <c r="DH218" s="451">
        <v>0</v>
      </c>
      <c r="DI218" s="451">
        <v>0</v>
      </c>
      <c r="DJ218" s="451">
        <v>0</v>
      </c>
      <c r="DK218" s="451">
        <v>0</v>
      </c>
      <c r="DL218" s="451">
        <v>0</v>
      </c>
      <c r="DM218" s="451">
        <v>0</v>
      </c>
      <c r="DN218" s="451">
        <v>0</v>
      </c>
      <c r="DO218" s="451">
        <v>0</v>
      </c>
      <c r="DP218" s="451">
        <v>0</v>
      </c>
      <c r="DQ218" s="451">
        <v>0</v>
      </c>
      <c r="DR218" s="451">
        <v>0</v>
      </c>
      <c r="DS218" s="451">
        <v>0</v>
      </c>
      <c r="DT218" s="451">
        <v>0</v>
      </c>
      <c r="DU218" s="451">
        <v>0</v>
      </c>
      <c r="DV218" s="451">
        <v>0</v>
      </c>
      <c r="DW218" s="451">
        <v>0</v>
      </c>
      <c r="DX218" s="451">
        <v>0</v>
      </c>
      <c r="DY218" s="451">
        <v>0</v>
      </c>
      <c r="DZ218" s="451">
        <v>0</v>
      </c>
      <c r="EA218" s="451">
        <v>0</v>
      </c>
      <c r="EB218" s="451">
        <v>0</v>
      </c>
      <c r="EC218" s="451">
        <v>0</v>
      </c>
      <c r="ED218" s="451">
        <v>0</v>
      </c>
      <c r="EE218" s="451">
        <v>0</v>
      </c>
      <c r="EF218" s="451">
        <v>22021</v>
      </c>
      <c r="EG218" s="451">
        <v>0</v>
      </c>
      <c r="EH218" s="451">
        <v>0</v>
      </c>
      <c r="EI218" s="451">
        <v>22021</v>
      </c>
      <c r="EJ218" s="451">
        <v>-23391</v>
      </c>
      <c r="EK218" s="451">
        <v>0</v>
      </c>
      <c r="EL218" s="451">
        <v>0</v>
      </c>
      <c r="EM218" s="451">
        <v>-23391</v>
      </c>
    </row>
    <row r="219" spans="1:143" ht="12.75" x14ac:dyDescent="0.2">
      <c r="A219" s="446">
        <v>213</v>
      </c>
      <c r="B219" s="447" t="s">
        <v>309</v>
      </c>
      <c r="C219" s="448" t="s">
        <v>1093</v>
      </c>
      <c r="D219" s="449" t="s">
        <v>1097</v>
      </c>
      <c r="E219" s="450" t="s">
        <v>308</v>
      </c>
      <c r="F219" s="451">
        <v>40169</v>
      </c>
      <c r="G219" s="451">
        <v>0</v>
      </c>
      <c r="H219" s="451">
        <v>0</v>
      </c>
      <c r="I219" s="451">
        <v>40169</v>
      </c>
      <c r="J219" s="451">
        <v>-51660</v>
      </c>
      <c r="K219" s="451">
        <v>0</v>
      </c>
      <c r="L219" s="451">
        <v>0</v>
      </c>
      <c r="M219" s="451">
        <v>-51660</v>
      </c>
      <c r="N219" s="451">
        <v>11007</v>
      </c>
      <c r="O219" s="451">
        <v>0</v>
      </c>
      <c r="P219" s="451">
        <v>0</v>
      </c>
      <c r="Q219" s="451">
        <v>11007</v>
      </c>
      <c r="R219" s="451">
        <v>42015</v>
      </c>
      <c r="S219" s="451">
        <v>0</v>
      </c>
      <c r="T219" s="451">
        <v>0</v>
      </c>
      <c r="U219" s="451">
        <v>42015</v>
      </c>
      <c r="V219" s="451">
        <v>1488891</v>
      </c>
      <c r="W219" s="451">
        <v>0</v>
      </c>
      <c r="X219" s="451">
        <v>0</v>
      </c>
      <c r="Y219" s="451">
        <v>1488891</v>
      </c>
      <c r="Z219" s="451">
        <v>108877</v>
      </c>
      <c r="AA219" s="451">
        <v>0</v>
      </c>
      <c r="AB219" s="451">
        <v>0</v>
      </c>
      <c r="AC219" s="451">
        <v>108877</v>
      </c>
      <c r="AD219" s="451">
        <v>273494</v>
      </c>
      <c r="AE219" s="451">
        <v>0</v>
      </c>
      <c r="AF219" s="451">
        <v>0</v>
      </c>
      <c r="AG219" s="451">
        <v>273494</v>
      </c>
      <c r="AH219" s="451">
        <v>-7456</v>
      </c>
      <c r="AI219" s="451">
        <v>0</v>
      </c>
      <c r="AJ219" s="451">
        <v>0</v>
      </c>
      <c r="AK219" s="451">
        <v>-7456</v>
      </c>
      <c r="AL219" s="451">
        <v>982496</v>
      </c>
      <c r="AM219" s="451">
        <v>0</v>
      </c>
      <c r="AN219" s="451">
        <v>0</v>
      </c>
      <c r="AO219" s="451">
        <v>982496</v>
      </c>
      <c r="AP219" s="451">
        <v>-13986</v>
      </c>
      <c r="AQ219" s="451">
        <v>0</v>
      </c>
      <c r="AR219" s="451">
        <v>0</v>
      </c>
      <c r="AS219" s="451">
        <v>-13986</v>
      </c>
      <c r="AT219" s="451">
        <v>11134</v>
      </c>
      <c r="AU219" s="451">
        <v>0</v>
      </c>
      <c r="AV219" s="451">
        <v>0</v>
      </c>
      <c r="AW219" s="451">
        <v>11134</v>
      </c>
      <c r="AX219" s="451">
        <v>0</v>
      </c>
      <c r="AY219" s="451">
        <v>0</v>
      </c>
      <c r="AZ219" s="451">
        <v>0</v>
      </c>
      <c r="BA219" s="451">
        <v>0</v>
      </c>
      <c r="BB219" s="451">
        <v>253</v>
      </c>
      <c r="BC219" s="451">
        <v>0</v>
      </c>
      <c r="BD219" s="451">
        <v>0</v>
      </c>
      <c r="BE219" s="451">
        <v>253</v>
      </c>
      <c r="BF219" s="451">
        <v>0</v>
      </c>
      <c r="BG219" s="451">
        <v>0</v>
      </c>
      <c r="BH219" s="451">
        <v>0</v>
      </c>
      <c r="BI219" s="451">
        <v>0</v>
      </c>
      <c r="BJ219" s="451">
        <v>0</v>
      </c>
      <c r="BK219" s="451">
        <v>0</v>
      </c>
      <c r="BL219" s="451">
        <v>0</v>
      </c>
      <c r="BM219" s="451">
        <v>0</v>
      </c>
      <c r="BN219" s="451">
        <v>0</v>
      </c>
      <c r="BO219" s="451">
        <v>0</v>
      </c>
      <c r="BP219" s="451">
        <v>0</v>
      </c>
      <c r="BQ219" s="451">
        <v>0</v>
      </c>
      <c r="BR219" s="451">
        <v>337047</v>
      </c>
      <c r="BS219" s="451">
        <v>0</v>
      </c>
      <c r="BT219" s="451">
        <v>0</v>
      </c>
      <c r="BU219" s="451">
        <v>337047</v>
      </c>
      <c r="BV219" s="451">
        <v>409</v>
      </c>
      <c r="BW219" s="451">
        <v>0</v>
      </c>
      <c r="BX219" s="451">
        <v>0</v>
      </c>
      <c r="BY219" s="451">
        <v>409</v>
      </c>
      <c r="BZ219" s="451">
        <v>23496</v>
      </c>
      <c r="CA219" s="451">
        <v>0</v>
      </c>
      <c r="CB219" s="451">
        <v>0</v>
      </c>
      <c r="CC219" s="451">
        <v>23496</v>
      </c>
      <c r="CD219" s="451">
        <v>4531</v>
      </c>
      <c r="CE219" s="451">
        <v>0</v>
      </c>
      <c r="CF219" s="451">
        <v>0</v>
      </c>
      <c r="CG219" s="451">
        <v>4531</v>
      </c>
      <c r="CH219" s="451">
        <v>0</v>
      </c>
      <c r="CI219" s="451">
        <v>0</v>
      </c>
      <c r="CJ219" s="451">
        <v>0</v>
      </c>
      <c r="CK219" s="451">
        <v>0</v>
      </c>
      <c r="CL219" s="451">
        <v>0</v>
      </c>
      <c r="CM219" s="451">
        <v>0</v>
      </c>
      <c r="CN219" s="451">
        <v>0</v>
      </c>
      <c r="CO219" s="451">
        <v>0</v>
      </c>
      <c r="CP219" s="451">
        <v>0</v>
      </c>
      <c r="CQ219" s="451">
        <v>0</v>
      </c>
      <c r="CR219" s="451">
        <v>0</v>
      </c>
      <c r="CS219" s="451">
        <v>0</v>
      </c>
      <c r="CT219" s="451">
        <v>0</v>
      </c>
      <c r="CU219" s="451">
        <v>0</v>
      </c>
      <c r="CV219" s="451">
        <v>0</v>
      </c>
      <c r="CW219" s="451">
        <v>0</v>
      </c>
      <c r="CX219" s="451">
        <v>0</v>
      </c>
      <c r="CY219" s="451">
        <v>0</v>
      </c>
      <c r="CZ219" s="451">
        <v>0</v>
      </c>
      <c r="DA219" s="451">
        <v>0</v>
      </c>
      <c r="DB219" s="451">
        <v>0</v>
      </c>
      <c r="DC219" s="451">
        <v>0</v>
      </c>
      <c r="DD219" s="451">
        <v>0</v>
      </c>
      <c r="DE219" s="451">
        <v>0</v>
      </c>
      <c r="DF219" s="451">
        <v>0</v>
      </c>
      <c r="DG219" s="451">
        <v>0</v>
      </c>
      <c r="DH219" s="451">
        <v>0</v>
      </c>
      <c r="DI219" s="451">
        <v>0</v>
      </c>
      <c r="DJ219" s="451">
        <v>0</v>
      </c>
      <c r="DK219" s="451">
        <v>0</v>
      </c>
      <c r="DL219" s="451">
        <v>0</v>
      </c>
      <c r="DM219" s="451">
        <v>0</v>
      </c>
      <c r="DN219" s="451">
        <v>0</v>
      </c>
      <c r="DO219" s="451">
        <v>0</v>
      </c>
      <c r="DP219" s="451">
        <v>0</v>
      </c>
      <c r="DQ219" s="451">
        <v>0</v>
      </c>
      <c r="DR219" s="451">
        <v>0</v>
      </c>
      <c r="DS219" s="451">
        <v>0</v>
      </c>
      <c r="DT219" s="451">
        <v>0</v>
      </c>
      <c r="DU219" s="451">
        <v>0</v>
      </c>
      <c r="DV219" s="451">
        <v>0</v>
      </c>
      <c r="DW219" s="451">
        <v>0</v>
      </c>
      <c r="DX219" s="451">
        <v>0</v>
      </c>
      <c r="DY219" s="451">
        <v>0</v>
      </c>
      <c r="DZ219" s="451">
        <v>0</v>
      </c>
      <c r="EA219" s="451">
        <v>0</v>
      </c>
      <c r="EB219" s="451">
        <v>0</v>
      </c>
      <c r="EC219" s="451">
        <v>0</v>
      </c>
      <c r="ED219" s="451">
        <v>0</v>
      </c>
      <c r="EE219" s="451">
        <v>0</v>
      </c>
      <c r="EF219" s="451">
        <v>0</v>
      </c>
      <c r="EG219" s="451">
        <v>0</v>
      </c>
      <c r="EH219" s="451">
        <v>0</v>
      </c>
      <c r="EI219" s="451">
        <v>0</v>
      </c>
      <c r="EJ219" s="451">
        <v>0</v>
      </c>
      <c r="EK219" s="451">
        <v>0</v>
      </c>
      <c r="EL219" s="451">
        <v>0</v>
      </c>
      <c r="EM219" s="451">
        <v>0</v>
      </c>
    </row>
    <row r="220" spans="1:143" ht="12.75" x14ac:dyDescent="0.2">
      <c r="A220" s="446">
        <v>214</v>
      </c>
      <c r="B220" s="447" t="s">
        <v>311</v>
      </c>
      <c r="C220" s="448" t="s">
        <v>1093</v>
      </c>
      <c r="D220" s="449" t="s">
        <v>1095</v>
      </c>
      <c r="E220" s="450" t="s">
        <v>310</v>
      </c>
      <c r="F220" s="451">
        <v>87420.6</v>
      </c>
      <c r="G220" s="451">
        <v>0</v>
      </c>
      <c r="H220" s="451">
        <v>0</v>
      </c>
      <c r="I220" s="451">
        <v>87420.6</v>
      </c>
      <c r="J220" s="451">
        <v>-78789.350000000006</v>
      </c>
      <c r="K220" s="451">
        <v>0</v>
      </c>
      <c r="L220" s="451">
        <v>0</v>
      </c>
      <c r="M220" s="451">
        <v>-78789.350000000006</v>
      </c>
      <c r="N220" s="451">
        <v>3043.18</v>
      </c>
      <c r="O220" s="451">
        <v>0</v>
      </c>
      <c r="P220" s="451">
        <v>0</v>
      </c>
      <c r="Q220" s="451">
        <v>3043.18</v>
      </c>
      <c r="R220" s="451">
        <v>4923.57</v>
      </c>
      <c r="S220" s="451">
        <v>0</v>
      </c>
      <c r="T220" s="451">
        <v>0</v>
      </c>
      <c r="U220" s="451">
        <v>4923.57</v>
      </c>
      <c r="V220" s="451">
        <v>1873857.61</v>
      </c>
      <c r="W220" s="451">
        <v>0</v>
      </c>
      <c r="X220" s="451">
        <v>0</v>
      </c>
      <c r="Y220" s="451">
        <v>1873857.61</v>
      </c>
      <c r="Z220" s="451">
        <v>41954.64</v>
      </c>
      <c r="AA220" s="451">
        <v>0</v>
      </c>
      <c r="AB220" s="451">
        <v>0</v>
      </c>
      <c r="AC220" s="451">
        <v>41954.64</v>
      </c>
      <c r="AD220" s="451">
        <v>245985.47</v>
      </c>
      <c r="AE220" s="451">
        <v>0</v>
      </c>
      <c r="AF220" s="451">
        <v>0</v>
      </c>
      <c r="AG220" s="451">
        <v>245985.47</v>
      </c>
      <c r="AH220" s="451">
        <v>21837.27</v>
      </c>
      <c r="AI220" s="451">
        <v>0</v>
      </c>
      <c r="AJ220" s="451">
        <v>0</v>
      </c>
      <c r="AK220" s="451">
        <v>21837.27</v>
      </c>
      <c r="AL220" s="451">
        <v>430952.69</v>
      </c>
      <c r="AM220" s="451">
        <v>0</v>
      </c>
      <c r="AN220" s="451">
        <v>0</v>
      </c>
      <c r="AO220" s="451">
        <v>430952.69</v>
      </c>
      <c r="AP220" s="451">
        <v>14441.79</v>
      </c>
      <c r="AQ220" s="451">
        <v>0</v>
      </c>
      <c r="AR220" s="451">
        <v>0</v>
      </c>
      <c r="AS220" s="451">
        <v>14441.79</v>
      </c>
      <c r="AT220" s="451">
        <v>46144.81</v>
      </c>
      <c r="AU220" s="451">
        <v>0</v>
      </c>
      <c r="AV220" s="451">
        <v>0</v>
      </c>
      <c r="AW220" s="451">
        <v>46144.81</v>
      </c>
      <c r="AX220" s="451">
        <v>0</v>
      </c>
      <c r="AY220" s="451">
        <v>0</v>
      </c>
      <c r="AZ220" s="451">
        <v>0</v>
      </c>
      <c r="BA220" s="451">
        <v>0</v>
      </c>
      <c r="BB220" s="451">
        <v>0</v>
      </c>
      <c r="BC220" s="451">
        <v>0</v>
      </c>
      <c r="BD220" s="451">
        <v>0</v>
      </c>
      <c r="BE220" s="451">
        <v>0</v>
      </c>
      <c r="BF220" s="451">
        <v>0</v>
      </c>
      <c r="BG220" s="451">
        <v>0</v>
      </c>
      <c r="BH220" s="451">
        <v>0</v>
      </c>
      <c r="BI220" s="451">
        <v>0</v>
      </c>
      <c r="BJ220" s="451">
        <v>0</v>
      </c>
      <c r="BK220" s="451">
        <v>0</v>
      </c>
      <c r="BL220" s="451">
        <v>0</v>
      </c>
      <c r="BM220" s="451">
        <v>0</v>
      </c>
      <c r="BN220" s="451">
        <v>7280.14</v>
      </c>
      <c r="BO220" s="451">
        <v>0</v>
      </c>
      <c r="BP220" s="451">
        <v>0</v>
      </c>
      <c r="BQ220" s="451">
        <v>7280.14</v>
      </c>
      <c r="BR220" s="451">
        <v>765822.26</v>
      </c>
      <c r="BS220" s="451">
        <v>0</v>
      </c>
      <c r="BT220" s="451">
        <v>0</v>
      </c>
      <c r="BU220" s="451">
        <v>765822.26</v>
      </c>
      <c r="BV220" s="451">
        <v>-114652.61</v>
      </c>
      <c r="BW220" s="451">
        <v>0</v>
      </c>
      <c r="BX220" s="451">
        <v>0</v>
      </c>
      <c r="BY220" s="451">
        <v>-114652.61</v>
      </c>
      <c r="BZ220" s="451">
        <v>42866.080000000002</v>
      </c>
      <c r="CA220" s="451">
        <v>0</v>
      </c>
      <c r="CB220" s="451">
        <v>0</v>
      </c>
      <c r="CC220" s="451">
        <v>42866.080000000002</v>
      </c>
      <c r="CD220" s="451">
        <v>2219.9899999999998</v>
      </c>
      <c r="CE220" s="451">
        <v>0</v>
      </c>
      <c r="CF220" s="451">
        <v>0</v>
      </c>
      <c r="CG220" s="451">
        <v>2219.9899999999998</v>
      </c>
      <c r="CH220" s="451">
        <v>26391</v>
      </c>
      <c r="CI220" s="451">
        <v>0</v>
      </c>
      <c r="CJ220" s="451">
        <v>0</v>
      </c>
      <c r="CK220" s="451">
        <v>26391</v>
      </c>
      <c r="CL220" s="451">
        <v>-837</v>
      </c>
      <c r="CM220" s="451">
        <v>0</v>
      </c>
      <c r="CN220" s="451">
        <v>0</v>
      </c>
      <c r="CO220" s="451">
        <v>-837</v>
      </c>
      <c r="CP220" s="451">
        <v>3033.25</v>
      </c>
      <c r="CQ220" s="451">
        <v>0</v>
      </c>
      <c r="CR220" s="451">
        <v>0</v>
      </c>
      <c r="CS220" s="451">
        <v>3033.25</v>
      </c>
      <c r="CT220" s="451">
        <v>0</v>
      </c>
      <c r="CU220" s="451">
        <v>0</v>
      </c>
      <c r="CV220" s="451">
        <v>0</v>
      </c>
      <c r="CW220" s="451">
        <v>0</v>
      </c>
      <c r="CX220" s="451">
        <v>0</v>
      </c>
      <c r="CY220" s="451">
        <v>0</v>
      </c>
      <c r="CZ220" s="451">
        <v>0</v>
      </c>
      <c r="DA220" s="451">
        <v>0</v>
      </c>
      <c r="DB220" s="451">
        <v>-1110</v>
      </c>
      <c r="DC220" s="451">
        <v>0</v>
      </c>
      <c r="DD220" s="451">
        <v>0</v>
      </c>
      <c r="DE220" s="451">
        <v>-1110</v>
      </c>
      <c r="DF220" s="451">
        <v>0</v>
      </c>
      <c r="DG220" s="451">
        <v>0</v>
      </c>
      <c r="DH220" s="451">
        <v>0</v>
      </c>
      <c r="DI220" s="451">
        <v>0</v>
      </c>
      <c r="DJ220" s="451">
        <v>0</v>
      </c>
      <c r="DK220" s="451">
        <v>0</v>
      </c>
      <c r="DL220" s="451">
        <v>0</v>
      </c>
      <c r="DM220" s="451">
        <v>0</v>
      </c>
      <c r="DN220" s="451">
        <v>0</v>
      </c>
      <c r="DO220" s="451">
        <v>0</v>
      </c>
      <c r="DP220" s="451">
        <v>0</v>
      </c>
      <c r="DQ220" s="451">
        <v>0</v>
      </c>
      <c r="DR220" s="451">
        <v>0</v>
      </c>
      <c r="DS220" s="451">
        <v>0</v>
      </c>
      <c r="DT220" s="451">
        <v>0</v>
      </c>
      <c r="DU220" s="451">
        <v>0</v>
      </c>
      <c r="DV220" s="451">
        <v>0</v>
      </c>
      <c r="DW220" s="451">
        <v>0</v>
      </c>
      <c r="DX220" s="451">
        <v>0</v>
      </c>
      <c r="DY220" s="451">
        <v>0</v>
      </c>
      <c r="DZ220" s="451">
        <v>0</v>
      </c>
      <c r="EA220" s="451">
        <v>0</v>
      </c>
      <c r="EB220" s="451">
        <v>0</v>
      </c>
      <c r="EC220" s="451">
        <v>0</v>
      </c>
      <c r="ED220" s="451">
        <v>0</v>
      </c>
      <c r="EE220" s="451">
        <v>0</v>
      </c>
      <c r="EF220" s="451">
        <v>0</v>
      </c>
      <c r="EG220" s="451">
        <v>0</v>
      </c>
      <c r="EH220" s="451">
        <v>0</v>
      </c>
      <c r="EI220" s="451">
        <v>0</v>
      </c>
      <c r="EJ220" s="451">
        <v>0</v>
      </c>
      <c r="EK220" s="451">
        <v>0</v>
      </c>
      <c r="EL220" s="451">
        <v>0</v>
      </c>
      <c r="EM220" s="451">
        <v>0</v>
      </c>
    </row>
    <row r="221" spans="1:143" ht="12.75" x14ac:dyDescent="0.2">
      <c r="A221" s="446">
        <v>215</v>
      </c>
      <c r="B221" s="447" t="s">
        <v>313</v>
      </c>
      <c r="C221" s="448" t="s">
        <v>1093</v>
      </c>
      <c r="D221" s="449" t="s">
        <v>1094</v>
      </c>
      <c r="E221" s="450" t="s">
        <v>312</v>
      </c>
      <c r="F221" s="451">
        <v>122024.14</v>
      </c>
      <c r="G221" s="451">
        <v>0</v>
      </c>
      <c r="H221" s="451">
        <v>0</v>
      </c>
      <c r="I221" s="451">
        <v>122024.14</v>
      </c>
      <c r="J221" s="451">
        <v>-47125.16</v>
      </c>
      <c r="K221" s="451">
        <v>0</v>
      </c>
      <c r="L221" s="451">
        <v>0</v>
      </c>
      <c r="M221" s="451">
        <v>-47125.16</v>
      </c>
      <c r="N221" s="451">
        <v>54856.72</v>
      </c>
      <c r="O221" s="451">
        <v>0</v>
      </c>
      <c r="P221" s="451">
        <v>0</v>
      </c>
      <c r="Q221" s="451">
        <v>54856.72</v>
      </c>
      <c r="R221" s="451">
        <v>2487.1799999999998</v>
      </c>
      <c r="S221" s="451">
        <v>0</v>
      </c>
      <c r="T221" s="451">
        <v>0</v>
      </c>
      <c r="U221" s="451">
        <v>2487.1799999999998</v>
      </c>
      <c r="V221" s="451">
        <v>2646097.21</v>
      </c>
      <c r="W221" s="451">
        <v>0</v>
      </c>
      <c r="X221" s="451">
        <v>0</v>
      </c>
      <c r="Y221" s="451">
        <v>2646097.21</v>
      </c>
      <c r="Z221" s="451">
        <v>139167.10999999999</v>
      </c>
      <c r="AA221" s="451">
        <v>0</v>
      </c>
      <c r="AB221" s="451">
        <v>0</v>
      </c>
      <c r="AC221" s="451">
        <v>139167.10999999999</v>
      </c>
      <c r="AD221" s="451">
        <v>292477.51</v>
      </c>
      <c r="AE221" s="451">
        <v>0</v>
      </c>
      <c r="AF221" s="451">
        <v>0</v>
      </c>
      <c r="AG221" s="451">
        <v>292477.51</v>
      </c>
      <c r="AH221" s="451">
        <v>-6443.89</v>
      </c>
      <c r="AI221" s="451">
        <v>0</v>
      </c>
      <c r="AJ221" s="451">
        <v>0</v>
      </c>
      <c r="AK221" s="451">
        <v>-6443.89</v>
      </c>
      <c r="AL221" s="451">
        <v>1954046.59</v>
      </c>
      <c r="AM221" s="451">
        <v>0</v>
      </c>
      <c r="AN221" s="451">
        <v>0</v>
      </c>
      <c r="AO221" s="451">
        <v>1954046.59</v>
      </c>
      <c r="AP221" s="451">
        <v>-4362.8500000000004</v>
      </c>
      <c r="AQ221" s="451">
        <v>0</v>
      </c>
      <c r="AR221" s="451">
        <v>0</v>
      </c>
      <c r="AS221" s="451">
        <v>-4362.8500000000004</v>
      </c>
      <c r="AT221" s="451">
        <v>66524.039999999994</v>
      </c>
      <c r="AU221" s="451">
        <v>0</v>
      </c>
      <c r="AV221" s="451">
        <v>0</v>
      </c>
      <c r="AW221" s="451">
        <v>66524.039999999994</v>
      </c>
      <c r="AX221" s="451">
        <v>0</v>
      </c>
      <c r="AY221" s="451">
        <v>0</v>
      </c>
      <c r="AZ221" s="451">
        <v>0</v>
      </c>
      <c r="BA221" s="451">
        <v>0</v>
      </c>
      <c r="BB221" s="451">
        <v>37969.85</v>
      </c>
      <c r="BC221" s="451">
        <v>0</v>
      </c>
      <c r="BD221" s="451">
        <v>0</v>
      </c>
      <c r="BE221" s="451">
        <v>37969.85</v>
      </c>
      <c r="BF221" s="451">
        <v>867.81</v>
      </c>
      <c r="BG221" s="451">
        <v>0</v>
      </c>
      <c r="BH221" s="451">
        <v>0</v>
      </c>
      <c r="BI221" s="451">
        <v>867.81</v>
      </c>
      <c r="BJ221" s="451">
        <v>1669.22</v>
      </c>
      <c r="BK221" s="451">
        <v>0</v>
      </c>
      <c r="BL221" s="451">
        <v>0</v>
      </c>
      <c r="BM221" s="451">
        <v>1669.22</v>
      </c>
      <c r="BN221" s="451">
        <v>0</v>
      </c>
      <c r="BO221" s="451">
        <v>0</v>
      </c>
      <c r="BP221" s="451">
        <v>0</v>
      </c>
      <c r="BQ221" s="451">
        <v>0</v>
      </c>
      <c r="BR221" s="451">
        <v>424364.96</v>
      </c>
      <c r="BS221" s="451">
        <v>0</v>
      </c>
      <c r="BT221" s="451">
        <v>0</v>
      </c>
      <c r="BU221" s="451">
        <v>424364.96</v>
      </c>
      <c r="BV221" s="451">
        <v>-76958.899999999994</v>
      </c>
      <c r="BW221" s="451">
        <v>0</v>
      </c>
      <c r="BX221" s="451">
        <v>0</v>
      </c>
      <c r="BY221" s="451">
        <v>-76958.899999999994</v>
      </c>
      <c r="BZ221" s="451">
        <v>31390.2</v>
      </c>
      <c r="CA221" s="451">
        <v>0</v>
      </c>
      <c r="CB221" s="451">
        <v>0</v>
      </c>
      <c r="CC221" s="451">
        <v>31390.2</v>
      </c>
      <c r="CD221" s="451">
        <v>194.94</v>
      </c>
      <c r="CE221" s="451">
        <v>0</v>
      </c>
      <c r="CF221" s="451">
        <v>0</v>
      </c>
      <c r="CG221" s="451">
        <v>194.94</v>
      </c>
      <c r="CH221" s="451">
        <v>0</v>
      </c>
      <c r="CI221" s="451">
        <v>0</v>
      </c>
      <c r="CJ221" s="451">
        <v>0</v>
      </c>
      <c r="CK221" s="451">
        <v>0</v>
      </c>
      <c r="CL221" s="451">
        <v>-0.02</v>
      </c>
      <c r="CM221" s="451">
        <v>0</v>
      </c>
      <c r="CN221" s="451">
        <v>0</v>
      </c>
      <c r="CO221" s="451">
        <v>-0.02</v>
      </c>
      <c r="CP221" s="451">
        <v>6146.52</v>
      </c>
      <c r="CQ221" s="451">
        <v>0</v>
      </c>
      <c r="CR221" s="451">
        <v>0</v>
      </c>
      <c r="CS221" s="451">
        <v>6146.52</v>
      </c>
      <c r="CT221" s="451">
        <v>0</v>
      </c>
      <c r="CU221" s="451">
        <v>0</v>
      </c>
      <c r="CV221" s="451">
        <v>0</v>
      </c>
      <c r="CW221" s="451">
        <v>0</v>
      </c>
      <c r="CX221" s="451">
        <v>13078.46</v>
      </c>
      <c r="CY221" s="451">
        <v>0</v>
      </c>
      <c r="CZ221" s="451">
        <v>0</v>
      </c>
      <c r="DA221" s="451">
        <v>13078.46</v>
      </c>
      <c r="DB221" s="451">
        <v>0</v>
      </c>
      <c r="DC221" s="451">
        <v>0</v>
      </c>
      <c r="DD221" s="451">
        <v>0</v>
      </c>
      <c r="DE221" s="451">
        <v>0</v>
      </c>
      <c r="DF221" s="451">
        <v>0</v>
      </c>
      <c r="DG221" s="451">
        <v>0</v>
      </c>
      <c r="DH221" s="451">
        <v>0</v>
      </c>
      <c r="DI221" s="451">
        <v>0</v>
      </c>
      <c r="DJ221" s="451">
        <v>0</v>
      </c>
      <c r="DK221" s="451">
        <v>0</v>
      </c>
      <c r="DL221" s="451">
        <v>0</v>
      </c>
      <c r="DM221" s="451">
        <v>0</v>
      </c>
      <c r="DN221" s="451">
        <v>0</v>
      </c>
      <c r="DO221" s="451">
        <v>0</v>
      </c>
      <c r="DP221" s="451">
        <v>0</v>
      </c>
      <c r="DQ221" s="451">
        <v>0</v>
      </c>
      <c r="DR221" s="451">
        <v>0</v>
      </c>
      <c r="DS221" s="451">
        <v>0</v>
      </c>
      <c r="DT221" s="451">
        <v>0</v>
      </c>
      <c r="DU221" s="451">
        <v>0</v>
      </c>
      <c r="DV221" s="451">
        <v>0</v>
      </c>
      <c r="DW221" s="451">
        <v>0</v>
      </c>
      <c r="DX221" s="451">
        <v>0</v>
      </c>
      <c r="DY221" s="451">
        <v>0</v>
      </c>
      <c r="DZ221" s="451">
        <v>0</v>
      </c>
      <c r="EA221" s="451">
        <v>0</v>
      </c>
      <c r="EB221" s="451">
        <v>0</v>
      </c>
      <c r="EC221" s="451">
        <v>0</v>
      </c>
      <c r="ED221" s="451">
        <v>0</v>
      </c>
      <c r="EE221" s="451">
        <v>0</v>
      </c>
      <c r="EF221" s="451">
        <v>13297.42</v>
      </c>
      <c r="EG221" s="451">
        <v>0</v>
      </c>
      <c r="EH221" s="451">
        <v>0</v>
      </c>
      <c r="EI221" s="451">
        <v>13297.42</v>
      </c>
      <c r="EJ221" s="451">
        <v>0</v>
      </c>
      <c r="EK221" s="451">
        <v>0</v>
      </c>
      <c r="EL221" s="451">
        <v>0</v>
      </c>
      <c r="EM221" s="451">
        <v>0</v>
      </c>
    </row>
    <row r="222" spans="1:143" ht="12.75" x14ac:dyDescent="0.2">
      <c r="A222" s="446">
        <v>216</v>
      </c>
      <c r="B222" s="447" t="s">
        <v>315</v>
      </c>
      <c r="C222" s="448" t="s">
        <v>1100</v>
      </c>
      <c r="D222" s="449" t="s">
        <v>1101</v>
      </c>
      <c r="E222" s="450" t="s">
        <v>314</v>
      </c>
      <c r="F222" s="451">
        <v>106822</v>
      </c>
      <c r="G222" s="451">
        <v>0</v>
      </c>
      <c r="H222" s="451">
        <v>0</v>
      </c>
      <c r="I222" s="451">
        <v>106822</v>
      </c>
      <c r="J222" s="451">
        <v>-426600</v>
      </c>
      <c r="K222" s="451">
        <v>0</v>
      </c>
      <c r="L222" s="451">
        <v>0</v>
      </c>
      <c r="M222" s="451">
        <v>-426600</v>
      </c>
      <c r="N222" s="451">
        <v>53708</v>
      </c>
      <c r="O222" s="451">
        <v>0</v>
      </c>
      <c r="P222" s="451">
        <v>0</v>
      </c>
      <c r="Q222" s="451">
        <v>53708</v>
      </c>
      <c r="R222" s="451">
        <v>298491</v>
      </c>
      <c r="S222" s="451">
        <v>0</v>
      </c>
      <c r="T222" s="451">
        <v>0</v>
      </c>
      <c r="U222" s="451">
        <v>298491</v>
      </c>
      <c r="V222" s="451">
        <v>4659278</v>
      </c>
      <c r="W222" s="451">
        <v>0</v>
      </c>
      <c r="X222" s="451">
        <v>0</v>
      </c>
      <c r="Y222" s="451">
        <v>4659278</v>
      </c>
      <c r="Z222" s="451">
        <v>124508</v>
      </c>
      <c r="AA222" s="451">
        <v>0</v>
      </c>
      <c r="AB222" s="451">
        <v>0</v>
      </c>
      <c r="AC222" s="451">
        <v>124508</v>
      </c>
      <c r="AD222" s="451">
        <v>1441896</v>
      </c>
      <c r="AE222" s="451">
        <v>0</v>
      </c>
      <c r="AF222" s="451">
        <v>0</v>
      </c>
      <c r="AG222" s="451">
        <v>1441896</v>
      </c>
      <c r="AH222" s="451">
        <v>-22725</v>
      </c>
      <c r="AI222" s="451">
        <v>0</v>
      </c>
      <c r="AJ222" s="451">
        <v>0</v>
      </c>
      <c r="AK222" s="451">
        <v>-22725</v>
      </c>
      <c r="AL222" s="451">
        <v>3318886</v>
      </c>
      <c r="AM222" s="451">
        <v>0</v>
      </c>
      <c r="AN222" s="451">
        <v>0</v>
      </c>
      <c r="AO222" s="451">
        <v>3318886</v>
      </c>
      <c r="AP222" s="451">
        <v>333842</v>
      </c>
      <c r="AQ222" s="451">
        <v>0</v>
      </c>
      <c r="AR222" s="451">
        <v>0</v>
      </c>
      <c r="AS222" s="451">
        <v>333842</v>
      </c>
      <c r="AT222" s="451">
        <v>13672</v>
      </c>
      <c r="AU222" s="451">
        <v>0</v>
      </c>
      <c r="AV222" s="451">
        <v>0</v>
      </c>
      <c r="AW222" s="451">
        <v>13672</v>
      </c>
      <c r="AX222" s="451">
        <v>0</v>
      </c>
      <c r="AY222" s="451">
        <v>0</v>
      </c>
      <c r="AZ222" s="451">
        <v>0</v>
      </c>
      <c r="BA222" s="451">
        <v>0</v>
      </c>
      <c r="BB222" s="451">
        <v>15637</v>
      </c>
      <c r="BC222" s="451">
        <v>0</v>
      </c>
      <c r="BD222" s="451">
        <v>0</v>
      </c>
      <c r="BE222" s="451">
        <v>15637</v>
      </c>
      <c r="BF222" s="451">
        <v>0</v>
      </c>
      <c r="BG222" s="451">
        <v>0</v>
      </c>
      <c r="BH222" s="451">
        <v>0</v>
      </c>
      <c r="BI222" s="451">
        <v>0</v>
      </c>
      <c r="BJ222" s="451">
        <v>61018</v>
      </c>
      <c r="BK222" s="451">
        <v>0</v>
      </c>
      <c r="BL222" s="451">
        <v>0</v>
      </c>
      <c r="BM222" s="451">
        <v>61018</v>
      </c>
      <c r="BN222" s="451">
        <v>-12350</v>
      </c>
      <c r="BO222" s="451">
        <v>0</v>
      </c>
      <c r="BP222" s="451">
        <v>0</v>
      </c>
      <c r="BQ222" s="451">
        <v>-12350</v>
      </c>
      <c r="BR222" s="451">
        <v>2639386</v>
      </c>
      <c r="BS222" s="451">
        <v>0</v>
      </c>
      <c r="BT222" s="451">
        <v>0</v>
      </c>
      <c r="BU222" s="451">
        <v>2639386</v>
      </c>
      <c r="BV222" s="451">
        <v>43253</v>
      </c>
      <c r="BW222" s="451">
        <v>0</v>
      </c>
      <c r="BX222" s="451">
        <v>0</v>
      </c>
      <c r="BY222" s="451">
        <v>43253</v>
      </c>
      <c r="BZ222" s="451">
        <v>126605</v>
      </c>
      <c r="CA222" s="451">
        <v>0</v>
      </c>
      <c r="CB222" s="451">
        <v>0</v>
      </c>
      <c r="CC222" s="451">
        <v>126605</v>
      </c>
      <c r="CD222" s="451">
        <v>1132</v>
      </c>
      <c r="CE222" s="451">
        <v>0</v>
      </c>
      <c r="CF222" s="451">
        <v>0</v>
      </c>
      <c r="CG222" s="451">
        <v>1132</v>
      </c>
      <c r="CH222" s="451">
        <v>578242</v>
      </c>
      <c r="CI222" s="451">
        <v>0</v>
      </c>
      <c r="CJ222" s="451">
        <v>0</v>
      </c>
      <c r="CK222" s="451">
        <v>578242</v>
      </c>
      <c r="CL222" s="451">
        <v>40765</v>
      </c>
      <c r="CM222" s="451">
        <v>0</v>
      </c>
      <c r="CN222" s="451">
        <v>0</v>
      </c>
      <c r="CO222" s="451">
        <v>40765</v>
      </c>
      <c r="CP222" s="451">
        <v>3418</v>
      </c>
      <c r="CQ222" s="451">
        <v>0</v>
      </c>
      <c r="CR222" s="451">
        <v>0</v>
      </c>
      <c r="CS222" s="451">
        <v>3418</v>
      </c>
      <c r="CT222" s="451">
        <v>0</v>
      </c>
      <c r="CU222" s="451">
        <v>0</v>
      </c>
      <c r="CV222" s="451">
        <v>0</v>
      </c>
      <c r="CW222" s="451">
        <v>0</v>
      </c>
      <c r="CX222" s="451">
        <v>0</v>
      </c>
      <c r="CY222" s="451">
        <v>0</v>
      </c>
      <c r="CZ222" s="451">
        <v>0</v>
      </c>
      <c r="DA222" s="451">
        <v>0</v>
      </c>
      <c r="DB222" s="451">
        <v>0</v>
      </c>
      <c r="DC222" s="451">
        <v>0</v>
      </c>
      <c r="DD222" s="451">
        <v>0</v>
      </c>
      <c r="DE222" s="451">
        <v>0</v>
      </c>
      <c r="DF222" s="451">
        <v>0</v>
      </c>
      <c r="DG222" s="451">
        <v>0</v>
      </c>
      <c r="DH222" s="451">
        <v>0</v>
      </c>
      <c r="DI222" s="451">
        <v>0</v>
      </c>
      <c r="DJ222" s="451">
        <v>0</v>
      </c>
      <c r="DK222" s="451">
        <v>0</v>
      </c>
      <c r="DL222" s="451">
        <v>0</v>
      </c>
      <c r="DM222" s="451">
        <v>0</v>
      </c>
      <c r="DN222" s="451">
        <v>0</v>
      </c>
      <c r="DO222" s="451">
        <v>0</v>
      </c>
      <c r="DP222" s="451">
        <v>408974</v>
      </c>
      <c r="DQ222" s="451">
        <v>408974</v>
      </c>
      <c r="DR222" s="451">
        <v>0</v>
      </c>
      <c r="DS222" s="451">
        <v>0</v>
      </c>
      <c r="DT222" s="451">
        <v>11375</v>
      </c>
      <c r="DU222" s="451">
        <v>11375</v>
      </c>
      <c r="DV222" s="451">
        <v>420349</v>
      </c>
      <c r="DW222" s="451">
        <v>0</v>
      </c>
      <c r="DX222" s="451">
        <v>0</v>
      </c>
      <c r="DY222" s="451">
        <v>0</v>
      </c>
      <c r="DZ222" s="451">
        <v>0</v>
      </c>
      <c r="EA222" s="451">
        <v>0</v>
      </c>
      <c r="EB222" s="451">
        <v>0</v>
      </c>
      <c r="EC222" s="451">
        <v>0</v>
      </c>
      <c r="ED222" s="451">
        <v>0</v>
      </c>
      <c r="EE222" s="451">
        <v>0</v>
      </c>
      <c r="EF222" s="451">
        <v>381</v>
      </c>
      <c r="EG222" s="451">
        <v>0</v>
      </c>
      <c r="EH222" s="451">
        <v>0</v>
      </c>
      <c r="EI222" s="451">
        <v>381</v>
      </c>
      <c r="EJ222" s="451">
        <v>0</v>
      </c>
      <c r="EK222" s="451">
        <v>0</v>
      </c>
      <c r="EL222" s="451">
        <v>0</v>
      </c>
      <c r="EM222" s="451">
        <v>0</v>
      </c>
    </row>
    <row r="223" spans="1:143" ht="12.75" x14ac:dyDescent="0.2">
      <c r="A223" s="446">
        <v>217</v>
      </c>
      <c r="B223" s="447" t="s">
        <v>317</v>
      </c>
      <c r="C223" s="448" t="s">
        <v>1093</v>
      </c>
      <c r="D223" s="449" t="s">
        <v>1103</v>
      </c>
      <c r="E223" s="450" t="s">
        <v>316</v>
      </c>
      <c r="F223" s="451">
        <v>42022.69</v>
      </c>
      <c r="G223" s="451">
        <v>0</v>
      </c>
      <c r="H223" s="451">
        <v>0</v>
      </c>
      <c r="I223" s="451">
        <v>42022.69</v>
      </c>
      <c r="J223" s="451">
        <v>-115839.18</v>
      </c>
      <c r="K223" s="451">
        <v>0</v>
      </c>
      <c r="L223" s="451">
        <v>0</v>
      </c>
      <c r="M223" s="451">
        <v>-115839.18</v>
      </c>
      <c r="N223" s="451">
        <v>11012.1</v>
      </c>
      <c r="O223" s="451">
        <v>0</v>
      </c>
      <c r="P223" s="451">
        <v>0</v>
      </c>
      <c r="Q223" s="451">
        <v>11012.1</v>
      </c>
      <c r="R223" s="451">
        <v>128265.37</v>
      </c>
      <c r="S223" s="451">
        <v>0</v>
      </c>
      <c r="T223" s="451">
        <v>0</v>
      </c>
      <c r="U223" s="451">
        <v>128265.37</v>
      </c>
      <c r="V223" s="451">
        <v>1685161.17</v>
      </c>
      <c r="W223" s="451">
        <v>0</v>
      </c>
      <c r="X223" s="451">
        <v>0</v>
      </c>
      <c r="Y223" s="451">
        <v>1685161.17</v>
      </c>
      <c r="Z223" s="451">
        <v>73751.98</v>
      </c>
      <c r="AA223" s="451">
        <v>0</v>
      </c>
      <c r="AB223" s="451">
        <v>0</v>
      </c>
      <c r="AC223" s="451">
        <v>73751.98</v>
      </c>
      <c r="AD223" s="451">
        <v>818124.86</v>
      </c>
      <c r="AE223" s="451">
        <v>0</v>
      </c>
      <c r="AF223" s="451">
        <v>0</v>
      </c>
      <c r="AG223" s="451">
        <v>818124.86</v>
      </c>
      <c r="AH223" s="451">
        <v>-21951.8</v>
      </c>
      <c r="AI223" s="451">
        <v>0</v>
      </c>
      <c r="AJ223" s="451">
        <v>0</v>
      </c>
      <c r="AK223" s="451">
        <v>-21951.8</v>
      </c>
      <c r="AL223" s="451">
        <v>2286286.54</v>
      </c>
      <c r="AM223" s="451">
        <v>0</v>
      </c>
      <c r="AN223" s="451">
        <v>0</v>
      </c>
      <c r="AO223" s="451">
        <v>2286286.54</v>
      </c>
      <c r="AP223" s="451">
        <v>-253942.86</v>
      </c>
      <c r="AQ223" s="451">
        <v>0</v>
      </c>
      <c r="AR223" s="451">
        <v>0</v>
      </c>
      <c r="AS223" s="451">
        <v>-253942.86</v>
      </c>
      <c r="AT223" s="451">
        <v>70830.91</v>
      </c>
      <c r="AU223" s="451">
        <v>0</v>
      </c>
      <c r="AV223" s="451">
        <v>0</v>
      </c>
      <c r="AW223" s="451">
        <v>70830.91</v>
      </c>
      <c r="AX223" s="451">
        <v>0</v>
      </c>
      <c r="AY223" s="451">
        <v>0</v>
      </c>
      <c r="AZ223" s="451">
        <v>0</v>
      </c>
      <c r="BA223" s="451">
        <v>0</v>
      </c>
      <c r="BB223" s="451">
        <v>10259.57</v>
      </c>
      <c r="BC223" s="451">
        <v>0</v>
      </c>
      <c r="BD223" s="451">
        <v>0</v>
      </c>
      <c r="BE223" s="451">
        <v>10259.57</v>
      </c>
      <c r="BF223" s="451">
        <v>0</v>
      </c>
      <c r="BG223" s="451">
        <v>0</v>
      </c>
      <c r="BH223" s="451">
        <v>0</v>
      </c>
      <c r="BI223" s="451">
        <v>0</v>
      </c>
      <c r="BJ223" s="451">
        <v>115503.98</v>
      </c>
      <c r="BK223" s="451">
        <v>0</v>
      </c>
      <c r="BL223" s="451">
        <v>0</v>
      </c>
      <c r="BM223" s="451">
        <v>115503.98</v>
      </c>
      <c r="BN223" s="451">
        <v>0</v>
      </c>
      <c r="BO223" s="451">
        <v>0</v>
      </c>
      <c r="BP223" s="451">
        <v>0</v>
      </c>
      <c r="BQ223" s="451">
        <v>0</v>
      </c>
      <c r="BR223" s="451">
        <v>2511286.13</v>
      </c>
      <c r="BS223" s="451">
        <v>0</v>
      </c>
      <c r="BT223" s="451">
        <v>0</v>
      </c>
      <c r="BU223" s="451">
        <v>2511286.13</v>
      </c>
      <c r="BV223" s="451">
        <v>40861.35</v>
      </c>
      <c r="BW223" s="451">
        <v>0</v>
      </c>
      <c r="BX223" s="451">
        <v>0</v>
      </c>
      <c r="BY223" s="451">
        <v>40861.35</v>
      </c>
      <c r="BZ223" s="451">
        <v>49253.84</v>
      </c>
      <c r="CA223" s="451">
        <v>0</v>
      </c>
      <c r="CB223" s="451">
        <v>0</v>
      </c>
      <c r="CC223" s="451">
        <v>49253.84</v>
      </c>
      <c r="CD223" s="451">
        <v>93.35</v>
      </c>
      <c r="CE223" s="451">
        <v>0</v>
      </c>
      <c r="CF223" s="451">
        <v>0</v>
      </c>
      <c r="CG223" s="451">
        <v>93.35</v>
      </c>
      <c r="CH223" s="451">
        <v>6898.54</v>
      </c>
      <c r="CI223" s="451">
        <v>0</v>
      </c>
      <c r="CJ223" s="451">
        <v>0</v>
      </c>
      <c r="CK223" s="451">
        <v>6898.54</v>
      </c>
      <c r="CL223" s="451">
        <v>0</v>
      </c>
      <c r="CM223" s="451">
        <v>0</v>
      </c>
      <c r="CN223" s="451">
        <v>0</v>
      </c>
      <c r="CO223" s="451">
        <v>0</v>
      </c>
      <c r="CP223" s="451">
        <v>0</v>
      </c>
      <c r="CQ223" s="451">
        <v>0</v>
      </c>
      <c r="CR223" s="451">
        <v>0</v>
      </c>
      <c r="CS223" s="451">
        <v>0</v>
      </c>
      <c r="CT223" s="451">
        <v>0</v>
      </c>
      <c r="CU223" s="451">
        <v>0</v>
      </c>
      <c r="CV223" s="451">
        <v>0</v>
      </c>
      <c r="CW223" s="451">
        <v>0</v>
      </c>
      <c r="CX223" s="451">
        <v>845.44</v>
      </c>
      <c r="CY223" s="451">
        <v>0</v>
      </c>
      <c r="CZ223" s="451">
        <v>0</v>
      </c>
      <c r="DA223" s="451">
        <v>845.44</v>
      </c>
      <c r="DB223" s="451">
        <v>0</v>
      </c>
      <c r="DC223" s="451">
        <v>0</v>
      </c>
      <c r="DD223" s="451">
        <v>0</v>
      </c>
      <c r="DE223" s="451">
        <v>0</v>
      </c>
      <c r="DF223" s="451">
        <v>0</v>
      </c>
      <c r="DG223" s="451">
        <v>0</v>
      </c>
      <c r="DH223" s="451">
        <v>0</v>
      </c>
      <c r="DI223" s="451">
        <v>0</v>
      </c>
      <c r="DJ223" s="451">
        <v>0</v>
      </c>
      <c r="DK223" s="451">
        <v>0</v>
      </c>
      <c r="DL223" s="451">
        <v>0</v>
      </c>
      <c r="DM223" s="451">
        <v>0</v>
      </c>
      <c r="DN223" s="451">
        <v>0</v>
      </c>
      <c r="DO223" s="451">
        <v>0</v>
      </c>
      <c r="DP223" s="451">
        <v>0</v>
      </c>
      <c r="DQ223" s="451">
        <v>0</v>
      </c>
      <c r="DR223" s="451">
        <v>0</v>
      </c>
      <c r="DS223" s="451">
        <v>0</v>
      </c>
      <c r="DT223" s="451">
        <v>0</v>
      </c>
      <c r="DU223" s="451">
        <v>0</v>
      </c>
      <c r="DV223" s="451">
        <v>0</v>
      </c>
      <c r="DW223" s="451">
        <v>0</v>
      </c>
      <c r="DX223" s="451">
        <v>0</v>
      </c>
      <c r="DY223" s="451">
        <v>0</v>
      </c>
      <c r="DZ223" s="451">
        <v>0</v>
      </c>
      <c r="EA223" s="451">
        <v>0</v>
      </c>
      <c r="EB223" s="451">
        <v>0</v>
      </c>
      <c r="EC223" s="451">
        <v>0</v>
      </c>
      <c r="ED223" s="451">
        <v>0</v>
      </c>
      <c r="EE223" s="451">
        <v>0</v>
      </c>
      <c r="EF223" s="451">
        <v>0</v>
      </c>
      <c r="EG223" s="451">
        <v>0</v>
      </c>
      <c r="EH223" s="451">
        <v>0</v>
      </c>
      <c r="EI223" s="451">
        <v>0</v>
      </c>
      <c r="EJ223" s="451">
        <v>0</v>
      </c>
      <c r="EK223" s="451">
        <v>0</v>
      </c>
      <c r="EL223" s="451">
        <v>0</v>
      </c>
      <c r="EM223" s="451">
        <v>0</v>
      </c>
    </row>
    <row r="224" spans="1:143" ht="12.75" x14ac:dyDescent="0.2">
      <c r="A224" s="446">
        <v>218</v>
      </c>
      <c r="B224" s="447" t="s">
        <v>319</v>
      </c>
      <c r="C224" s="448" t="s">
        <v>1093</v>
      </c>
      <c r="D224" s="449" t="s">
        <v>1094</v>
      </c>
      <c r="E224" s="450" t="s">
        <v>318</v>
      </c>
      <c r="F224" s="451">
        <v>40820</v>
      </c>
      <c r="G224" s="451">
        <v>0</v>
      </c>
      <c r="H224" s="451">
        <v>0</v>
      </c>
      <c r="I224" s="451">
        <v>40820</v>
      </c>
      <c r="J224" s="451">
        <v>-89617</v>
      </c>
      <c r="K224" s="451">
        <v>0</v>
      </c>
      <c r="L224" s="451">
        <v>0</v>
      </c>
      <c r="M224" s="451">
        <v>-89617</v>
      </c>
      <c r="N224" s="451">
        <v>11231</v>
      </c>
      <c r="O224" s="451">
        <v>0</v>
      </c>
      <c r="P224" s="451">
        <v>0</v>
      </c>
      <c r="Q224" s="451">
        <v>11231</v>
      </c>
      <c r="R224" s="451">
        <v>3644</v>
      </c>
      <c r="S224" s="451">
        <v>0</v>
      </c>
      <c r="T224" s="451">
        <v>0</v>
      </c>
      <c r="U224" s="451">
        <v>3644</v>
      </c>
      <c r="V224" s="451">
        <v>1193493</v>
      </c>
      <c r="W224" s="451">
        <v>0</v>
      </c>
      <c r="X224" s="451">
        <v>0</v>
      </c>
      <c r="Y224" s="451">
        <v>1193493</v>
      </c>
      <c r="Z224" s="451">
        <v>49032</v>
      </c>
      <c r="AA224" s="451">
        <v>0</v>
      </c>
      <c r="AB224" s="451">
        <v>0</v>
      </c>
      <c r="AC224" s="451">
        <v>49032</v>
      </c>
      <c r="AD224" s="451">
        <v>870107</v>
      </c>
      <c r="AE224" s="451">
        <v>0</v>
      </c>
      <c r="AF224" s="451">
        <v>0</v>
      </c>
      <c r="AG224" s="451">
        <v>870107</v>
      </c>
      <c r="AH224" s="451">
        <v>-5691</v>
      </c>
      <c r="AI224" s="451">
        <v>0</v>
      </c>
      <c r="AJ224" s="451">
        <v>0</v>
      </c>
      <c r="AK224" s="451">
        <v>-5691</v>
      </c>
      <c r="AL224" s="451">
        <v>2887157</v>
      </c>
      <c r="AM224" s="451">
        <v>0</v>
      </c>
      <c r="AN224" s="451">
        <v>0</v>
      </c>
      <c r="AO224" s="451">
        <v>2887157</v>
      </c>
      <c r="AP224" s="451">
        <v>3470</v>
      </c>
      <c r="AQ224" s="451">
        <v>0</v>
      </c>
      <c r="AR224" s="451">
        <v>0</v>
      </c>
      <c r="AS224" s="451">
        <v>3470</v>
      </c>
      <c r="AT224" s="451">
        <v>35906</v>
      </c>
      <c r="AU224" s="451">
        <v>0</v>
      </c>
      <c r="AV224" s="451">
        <v>0</v>
      </c>
      <c r="AW224" s="451">
        <v>35906</v>
      </c>
      <c r="AX224" s="451">
        <v>0</v>
      </c>
      <c r="AY224" s="451">
        <v>0</v>
      </c>
      <c r="AZ224" s="451">
        <v>0</v>
      </c>
      <c r="BA224" s="451">
        <v>0</v>
      </c>
      <c r="BB224" s="451">
        <v>1617</v>
      </c>
      <c r="BC224" s="451">
        <v>0</v>
      </c>
      <c r="BD224" s="451">
        <v>0</v>
      </c>
      <c r="BE224" s="451">
        <v>1617</v>
      </c>
      <c r="BF224" s="451">
        <v>0</v>
      </c>
      <c r="BG224" s="451">
        <v>0</v>
      </c>
      <c r="BH224" s="451">
        <v>0</v>
      </c>
      <c r="BI224" s="451">
        <v>0</v>
      </c>
      <c r="BJ224" s="451">
        <v>31147</v>
      </c>
      <c r="BK224" s="451">
        <v>0</v>
      </c>
      <c r="BL224" s="451">
        <v>0</v>
      </c>
      <c r="BM224" s="451">
        <v>31147</v>
      </c>
      <c r="BN224" s="451">
        <v>612</v>
      </c>
      <c r="BO224" s="451">
        <v>0</v>
      </c>
      <c r="BP224" s="451">
        <v>0</v>
      </c>
      <c r="BQ224" s="451">
        <v>612</v>
      </c>
      <c r="BR224" s="451">
        <v>1336140</v>
      </c>
      <c r="BS224" s="451">
        <v>0</v>
      </c>
      <c r="BT224" s="451">
        <v>0</v>
      </c>
      <c r="BU224" s="451">
        <v>1336140</v>
      </c>
      <c r="BV224" s="451">
        <v>-9493</v>
      </c>
      <c r="BW224" s="451">
        <v>0</v>
      </c>
      <c r="BX224" s="451">
        <v>0</v>
      </c>
      <c r="BY224" s="451">
        <v>-9493</v>
      </c>
      <c r="BZ224" s="451">
        <v>20991</v>
      </c>
      <c r="CA224" s="451">
        <v>0</v>
      </c>
      <c r="CB224" s="451">
        <v>0</v>
      </c>
      <c r="CC224" s="451">
        <v>20991</v>
      </c>
      <c r="CD224" s="451">
        <v>1587</v>
      </c>
      <c r="CE224" s="451">
        <v>0</v>
      </c>
      <c r="CF224" s="451">
        <v>0</v>
      </c>
      <c r="CG224" s="451">
        <v>1587</v>
      </c>
      <c r="CH224" s="451">
        <v>270</v>
      </c>
      <c r="CI224" s="451">
        <v>0</v>
      </c>
      <c r="CJ224" s="451">
        <v>0</v>
      </c>
      <c r="CK224" s="451">
        <v>270</v>
      </c>
      <c r="CL224" s="451">
        <v>0</v>
      </c>
      <c r="CM224" s="451">
        <v>0</v>
      </c>
      <c r="CN224" s="451">
        <v>0</v>
      </c>
      <c r="CO224" s="451">
        <v>0</v>
      </c>
      <c r="CP224" s="451">
        <v>0</v>
      </c>
      <c r="CQ224" s="451">
        <v>0</v>
      </c>
      <c r="CR224" s="451">
        <v>0</v>
      </c>
      <c r="CS224" s="451">
        <v>0</v>
      </c>
      <c r="CT224" s="451">
        <v>0</v>
      </c>
      <c r="CU224" s="451">
        <v>0</v>
      </c>
      <c r="CV224" s="451">
        <v>0</v>
      </c>
      <c r="CW224" s="451">
        <v>0</v>
      </c>
      <c r="CX224" s="451">
        <v>0</v>
      </c>
      <c r="CY224" s="451">
        <v>0</v>
      </c>
      <c r="CZ224" s="451">
        <v>0</v>
      </c>
      <c r="DA224" s="451">
        <v>0</v>
      </c>
      <c r="DB224" s="451">
        <v>0</v>
      </c>
      <c r="DC224" s="451">
        <v>0</v>
      </c>
      <c r="DD224" s="451">
        <v>0</v>
      </c>
      <c r="DE224" s="451">
        <v>0</v>
      </c>
      <c r="DF224" s="451">
        <v>2435</v>
      </c>
      <c r="DG224" s="451">
        <v>0</v>
      </c>
      <c r="DH224" s="451">
        <v>0</v>
      </c>
      <c r="DI224" s="451">
        <v>2435</v>
      </c>
      <c r="DJ224" s="451">
        <v>0</v>
      </c>
      <c r="DK224" s="451">
        <v>0</v>
      </c>
      <c r="DL224" s="451">
        <v>0</v>
      </c>
      <c r="DM224" s="451">
        <v>0</v>
      </c>
      <c r="DN224" s="451">
        <v>0</v>
      </c>
      <c r="DO224" s="451">
        <v>0</v>
      </c>
      <c r="DP224" s="451">
        <v>0</v>
      </c>
      <c r="DQ224" s="451">
        <v>0</v>
      </c>
      <c r="DR224" s="451">
        <v>0</v>
      </c>
      <c r="DS224" s="451">
        <v>0</v>
      </c>
      <c r="DT224" s="451">
        <v>0</v>
      </c>
      <c r="DU224" s="451">
        <v>0</v>
      </c>
      <c r="DV224" s="451">
        <v>0</v>
      </c>
      <c r="DW224" s="451">
        <v>0</v>
      </c>
      <c r="DX224" s="451">
        <v>0</v>
      </c>
      <c r="DY224" s="451">
        <v>0</v>
      </c>
      <c r="DZ224" s="451">
        <v>0</v>
      </c>
      <c r="EA224" s="451">
        <v>0</v>
      </c>
      <c r="EB224" s="451">
        <v>202249</v>
      </c>
      <c r="EC224" s="451">
        <v>0</v>
      </c>
      <c r="ED224" s="451">
        <v>0</v>
      </c>
      <c r="EE224" s="451">
        <v>202249</v>
      </c>
      <c r="EF224" s="451">
        <v>0</v>
      </c>
      <c r="EG224" s="451">
        <v>0</v>
      </c>
      <c r="EH224" s="451">
        <v>0</v>
      </c>
      <c r="EI224" s="451">
        <v>0</v>
      </c>
      <c r="EJ224" s="451">
        <v>0</v>
      </c>
      <c r="EK224" s="451">
        <v>0</v>
      </c>
      <c r="EL224" s="451">
        <v>0</v>
      </c>
      <c r="EM224" s="451">
        <v>0</v>
      </c>
    </row>
    <row r="225" spans="1:143" ht="12.75" x14ac:dyDescent="0.2">
      <c r="A225" s="446">
        <v>219</v>
      </c>
      <c r="B225" s="447" t="s">
        <v>321</v>
      </c>
      <c r="C225" s="448" t="s">
        <v>1093</v>
      </c>
      <c r="D225" s="449" t="s">
        <v>1096</v>
      </c>
      <c r="E225" s="450" t="s">
        <v>320</v>
      </c>
      <c r="F225" s="451">
        <v>1659102</v>
      </c>
      <c r="G225" s="451">
        <v>0</v>
      </c>
      <c r="H225" s="451">
        <v>0</v>
      </c>
      <c r="I225" s="451">
        <v>1659102</v>
      </c>
      <c r="J225" s="451">
        <v>6033</v>
      </c>
      <c r="K225" s="451">
        <v>0</v>
      </c>
      <c r="L225" s="451">
        <v>0</v>
      </c>
      <c r="M225" s="451">
        <v>6033</v>
      </c>
      <c r="N225" s="451">
        <v>200935</v>
      </c>
      <c r="O225" s="451">
        <v>0</v>
      </c>
      <c r="P225" s="451">
        <v>0</v>
      </c>
      <c r="Q225" s="451">
        <v>200935</v>
      </c>
      <c r="R225" s="451">
        <v>103787</v>
      </c>
      <c r="S225" s="451">
        <v>0</v>
      </c>
      <c r="T225" s="451">
        <v>0</v>
      </c>
      <c r="U225" s="451">
        <v>103787</v>
      </c>
      <c r="V225" s="451">
        <v>1748201</v>
      </c>
      <c r="W225" s="451">
        <v>0</v>
      </c>
      <c r="X225" s="451">
        <v>0</v>
      </c>
      <c r="Y225" s="451">
        <v>1748201</v>
      </c>
      <c r="Z225" s="451">
        <v>74819</v>
      </c>
      <c r="AA225" s="451">
        <v>0</v>
      </c>
      <c r="AB225" s="451">
        <v>0</v>
      </c>
      <c r="AC225" s="451">
        <v>74819</v>
      </c>
      <c r="AD225" s="451">
        <v>508452</v>
      </c>
      <c r="AE225" s="451">
        <v>0</v>
      </c>
      <c r="AF225" s="451">
        <v>0</v>
      </c>
      <c r="AG225" s="451">
        <v>508452</v>
      </c>
      <c r="AH225" s="451">
        <v>140</v>
      </c>
      <c r="AI225" s="451">
        <v>0</v>
      </c>
      <c r="AJ225" s="451">
        <v>0</v>
      </c>
      <c r="AK225" s="451">
        <v>140</v>
      </c>
      <c r="AL225" s="451">
        <v>2588277</v>
      </c>
      <c r="AM225" s="451">
        <v>0</v>
      </c>
      <c r="AN225" s="451">
        <v>0</v>
      </c>
      <c r="AO225" s="451">
        <v>2588277</v>
      </c>
      <c r="AP225" s="451">
        <v>6811</v>
      </c>
      <c r="AQ225" s="451">
        <v>0</v>
      </c>
      <c r="AR225" s="451">
        <v>0</v>
      </c>
      <c r="AS225" s="451">
        <v>6811</v>
      </c>
      <c r="AT225" s="451">
        <v>76772</v>
      </c>
      <c r="AU225" s="451">
        <v>0</v>
      </c>
      <c r="AV225" s="451">
        <v>0</v>
      </c>
      <c r="AW225" s="451">
        <v>76772</v>
      </c>
      <c r="AX225" s="451">
        <v>0</v>
      </c>
      <c r="AY225" s="451">
        <v>0</v>
      </c>
      <c r="AZ225" s="451">
        <v>0</v>
      </c>
      <c r="BA225" s="451">
        <v>0</v>
      </c>
      <c r="BB225" s="451">
        <v>8705</v>
      </c>
      <c r="BC225" s="451">
        <v>0</v>
      </c>
      <c r="BD225" s="451">
        <v>0</v>
      </c>
      <c r="BE225" s="451">
        <v>8705</v>
      </c>
      <c r="BF225" s="451">
        <v>-1265</v>
      </c>
      <c r="BG225" s="451">
        <v>0</v>
      </c>
      <c r="BH225" s="451">
        <v>0</v>
      </c>
      <c r="BI225" s="451">
        <v>-1265</v>
      </c>
      <c r="BJ225" s="451">
        <v>0</v>
      </c>
      <c r="BK225" s="451">
        <v>0</v>
      </c>
      <c r="BL225" s="451">
        <v>0</v>
      </c>
      <c r="BM225" s="451">
        <v>0</v>
      </c>
      <c r="BN225" s="451">
        <v>0</v>
      </c>
      <c r="BO225" s="451">
        <v>0</v>
      </c>
      <c r="BP225" s="451">
        <v>0</v>
      </c>
      <c r="BQ225" s="451">
        <v>0</v>
      </c>
      <c r="BR225" s="451">
        <v>289082</v>
      </c>
      <c r="BS225" s="451">
        <v>0</v>
      </c>
      <c r="BT225" s="451">
        <v>0</v>
      </c>
      <c r="BU225" s="451">
        <v>289082</v>
      </c>
      <c r="BV225" s="451">
        <v>47524</v>
      </c>
      <c r="BW225" s="451">
        <v>0</v>
      </c>
      <c r="BX225" s="451">
        <v>0</v>
      </c>
      <c r="BY225" s="451">
        <v>47524</v>
      </c>
      <c r="BZ225" s="451">
        <v>23949</v>
      </c>
      <c r="CA225" s="451">
        <v>0</v>
      </c>
      <c r="CB225" s="451">
        <v>0</v>
      </c>
      <c r="CC225" s="451">
        <v>23949</v>
      </c>
      <c r="CD225" s="451">
        <v>-782</v>
      </c>
      <c r="CE225" s="451">
        <v>0</v>
      </c>
      <c r="CF225" s="451">
        <v>0</v>
      </c>
      <c r="CG225" s="451">
        <v>-782</v>
      </c>
      <c r="CH225" s="451">
        <v>374426</v>
      </c>
      <c r="CI225" s="451">
        <v>0</v>
      </c>
      <c r="CJ225" s="451">
        <v>0</v>
      </c>
      <c r="CK225" s="451">
        <v>374426</v>
      </c>
      <c r="CL225" s="451">
        <v>-16729</v>
      </c>
      <c r="CM225" s="451">
        <v>0</v>
      </c>
      <c r="CN225" s="451">
        <v>0</v>
      </c>
      <c r="CO225" s="451">
        <v>-16729</v>
      </c>
      <c r="CP225" s="451">
        <v>0</v>
      </c>
      <c r="CQ225" s="451">
        <v>0</v>
      </c>
      <c r="CR225" s="451">
        <v>0</v>
      </c>
      <c r="CS225" s="451">
        <v>0</v>
      </c>
      <c r="CT225" s="451">
        <v>0</v>
      </c>
      <c r="CU225" s="451">
        <v>0</v>
      </c>
      <c r="CV225" s="451">
        <v>0</v>
      </c>
      <c r="CW225" s="451">
        <v>0</v>
      </c>
      <c r="CX225" s="451">
        <v>983</v>
      </c>
      <c r="CY225" s="451">
        <v>0</v>
      </c>
      <c r="CZ225" s="451">
        <v>0</v>
      </c>
      <c r="DA225" s="451">
        <v>983</v>
      </c>
      <c r="DB225" s="451">
        <v>-633</v>
      </c>
      <c r="DC225" s="451">
        <v>0</v>
      </c>
      <c r="DD225" s="451">
        <v>0</v>
      </c>
      <c r="DE225" s="451">
        <v>-633</v>
      </c>
      <c r="DF225" s="451">
        <v>1422</v>
      </c>
      <c r="DG225" s="451">
        <v>0</v>
      </c>
      <c r="DH225" s="451">
        <v>0</v>
      </c>
      <c r="DI225" s="451">
        <v>1422</v>
      </c>
      <c r="DJ225" s="451">
        <v>-1300</v>
      </c>
      <c r="DK225" s="451">
        <v>0</v>
      </c>
      <c r="DL225" s="451">
        <v>0</v>
      </c>
      <c r="DM225" s="451">
        <v>-1300</v>
      </c>
      <c r="DN225" s="451">
        <v>2831</v>
      </c>
      <c r="DO225" s="451">
        <v>0</v>
      </c>
      <c r="DP225" s="451">
        <v>0</v>
      </c>
      <c r="DQ225" s="451">
        <v>2831</v>
      </c>
      <c r="DR225" s="451">
        <v>0</v>
      </c>
      <c r="DS225" s="451">
        <v>0</v>
      </c>
      <c r="DT225" s="451">
        <v>0</v>
      </c>
      <c r="DU225" s="451">
        <v>0</v>
      </c>
      <c r="DV225" s="451">
        <v>0</v>
      </c>
      <c r="DW225" s="451">
        <v>0</v>
      </c>
      <c r="DX225" s="451">
        <v>52</v>
      </c>
      <c r="DY225" s="451">
        <v>0</v>
      </c>
      <c r="DZ225" s="451">
        <v>0</v>
      </c>
      <c r="EA225" s="451">
        <v>52</v>
      </c>
      <c r="EB225" s="451">
        <v>0</v>
      </c>
      <c r="EC225" s="451">
        <v>0</v>
      </c>
      <c r="ED225" s="451">
        <v>0</v>
      </c>
      <c r="EE225" s="451">
        <v>0</v>
      </c>
      <c r="EF225" s="451">
        <v>0</v>
      </c>
      <c r="EG225" s="451">
        <v>0</v>
      </c>
      <c r="EH225" s="451">
        <v>0</v>
      </c>
      <c r="EI225" s="451">
        <v>0</v>
      </c>
      <c r="EJ225" s="451">
        <v>0</v>
      </c>
      <c r="EK225" s="451">
        <v>0</v>
      </c>
      <c r="EL225" s="451">
        <v>0</v>
      </c>
      <c r="EM225" s="451">
        <v>0</v>
      </c>
    </row>
    <row r="226" spans="1:143" ht="12.75" x14ac:dyDescent="0.2">
      <c r="A226" s="446">
        <v>220</v>
      </c>
      <c r="B226" s="447" t="s">
        <v>323</v>
      </c>
      <c r="C226" s="448" t="s">
        <v>1093</v>
      </c>
      <c r="D226" s="449" t="s">
        <v>1094</v>
      </c>
      <c r="E226" s="450" t="s">
        <v>322</v>
      </c>
      <c r="F226" s="451">
        <v>35656</v>
      </c>
      <c r="G226" s="451">
        <v>0</v>
      </c>
      <c r="H226" s="451">
        <v>0</v>
      </c>
      <c r="I226" s="451">
        <v>35656</v>
      </c>
      <c r="J226" s="451">
        <v>-561930</v>
      </c>
      <c r="K226" s="451">
        <v>0</v>
      </c>
      <c r="L226" s="451">
        <v>0</v>
      </c>
      <c r="M226" s="451">
        <v>-561930</v>
      </c>
      <c r="N226" s="451">
        <v>111963</v>
      </c>
      <c r="O226" s="451">
        <v>0</v>
      </c>
      <c r="P226" s="451">
        <v>0</v>
      </c>
      <c r="Q226" s="451">
        <v>111963</v>
      </c>
      <c r="R226" s="451">
        <v>18125</v>
      </c>
      <c r="S226" s="451">
        <v>0</v>
      </c>
      <c r="T226" s="451">
        <v>0</v>
      </c>
      <c r="U226" s="451">
        <v>18125</v>
      </c>
      <c r="V226" s="451">
        <v>1134508</v>
      </c>
      <c r="W226" s="451">
        <v>0</v>
      </c>
      <c r="X226" s="451">
        <v>0</v>
      </c>
      <c r="Y226" s="451">
        <v>1134508</v>
      </c>
      <c r="Z226" s="451">
        <v>42051</v>
      </c>
      <c r="AA226" s="451">
        <v>0</v>
      </c>
      <c r="AB226" s="451">
        <v>0</v>
      </c>
      <c r="AC226" s="451">
        <v>42051</v>
      </c>
      <c r="AD226" s="451">
        <v>886683</v>
      </c>
      <c r="AE226" s="451">
        <v>0</v>
      </c>
      <c r="AF226" s="451">
        <v>0</v>
      </c>
      <c r="AG226" s="451">
        <v>886683</v>
      </c>
      <c r="AH226" s="451">
        <v>19558</v>
      </c>
      <c r="AI226" s="451">
        <v>0</v>
      </c>
      <c r="AJ226" s="451">
        <v>0</v>
      </c>
      <c r="AK226" s="451">
        <v>19558</v>
      </c>
      <c r="AL226" s="451">
        <v>1450849</v>
      </c>
      <c r="AM226" s="451">
        <v>0</v>
      </c>
      <c r="AN226" s="451">
        <v>0</v>
      </c>
      <c r="AO226" s="451">
        <v>1450849</v>
      </c>
      <c r="AP226" s="451">
        <v>-10226</v>
      </c>
      <c r="AQ226" s="451">
        <v>0</v>
      </c>
      <c r="AR226" s="451">
        <v>0</v>
      </c>
      <c r="AS226" s="451">
        <v>-10226</v>
      </c>
      <c r="AT226" s="451">
        <v>10645</v>
      </c>
      <c r="AU226" s="451">
        <v>0</v>
      </c>
      <c r="AV226" s="451">
        <v>0</v>
      </c>
      <c r="AW226" s="451">
        <v>10645</v>
      </c>
      <c r="AX226" s="451">
        <v>0</v>
      </c>
      <c r="AY226" s="451">
        <v>0</v>
      </c>
      <c r="AZ226" s="451">
        <v>0</v>
      </c>
      <c r="BA226" s="451">
        <v>0</v>
      </c>
      <c r="BB226" s="451">
        <v>0</v>
      </c>
      <c r="BC226" s="451">
        <v>0</v>
      </c>
      <c r="BD226" s="451">
        <v>0</v>
      </c>
      <c r="BE226" s="451">
        <v>0</v>
      </c>
      <c r="BF226" s="451">
        <v>0</v>
      </c>
      <c r="BG226" s="451">
        <v>0</v>
      </c>
      <c r="BH226" s="451">
        <v>0</v>
      </c>
      <c r="BI226" s="451">
        <v>0</v>
      </c>
      <c r="BJ226" s="451">
        <v>91102</v>
      </c>
      <c r="BK226" s="451">
        <v>0</v>
      </c>
      <c r="BL226" s="451">
        <v>0</v>
      </c>
      <c r="BM226" s="451">
        <v>91102</v>
      </c>
      <c r="BN226" s="451">
        <v>-2317</v>
      </c>
      <c r="BO226" s="451">
        <v>0</v>
      </c>
      <c r="BP226" s="451">
        <v>0</v>
      </c>
      <c r="BQ226" s="451">
        <v>-2317</v>
      </c>
      <c r="BR226" s="451">
        <v>2315959</v>
      </c>
      <c r="BS226" s="451">
        <v>0</v>
      </c>
      <c r="BT226" s="451">
        <v>0</v>
      </c>
      <c r="BU226" s="451">
        <v>2315959</v>
      </c>
      <c r="BV226" s="451">
        <v>88891</v>
      </c>
      <c r="BW226" s="451">
        <v>0</v>
      </c>
      <c r="BX226" s="451">
        <v>0</v>
      </c>
      <c r="BY226" s="451">
        <v>88891</v>
      </c>
      <c r="BZ226" s="451">
        <v>59861</v>
      </c>
      <c r="CA226" s="451">
        <v>0</v>
      </c>
      <c r="CB226" s="451">
        <v>0</v>
      </c>
      <c r="CC226" s="451">
        <v>59861</v>
      </c>
      <c r="CD226" s="451">
        <v>28842</v>
      </c>
      <c r="CE226" s="451">
        <v>0</v>
      </c>
      <c r="CF226" s="451">
        <v>0</v>
      </c>
      <c r="CG226" s="451">
        <v>28842</v>
      </c>
      <c r="CH226" s="451">
        <v>39798</v>
      </c>
      <c r="CI226" s="451">
        <v>0</v>
      </c>
      <c r="CJ226" s="451">
        <v>0</v>
      </c>
      <c r="CK226" s="451">
        <v>39798</v>
      </c>
      <c r="CL226" s="451">
        <v>-15278</v>
      </c>
      <c r="CM226" s="451">
        <v>0</v>
      </c>
      <c r="CN226" s="451">
        <v>0</v>
      </c>
      <c r="CO226" s="451">
        <v>-15278</v>
      </c>
      <c r="CP226" s="451">
        <v>2661</v>
      </c>
      <c r="CQ226" s="451">
        <v>0</v>
      </c>
      <c r="CR226" s="451">
        <v>0</v>
      </c>
      <c r="CS226" s="451">
        <v>2661</v>
      </c>
      <c r="CT226" s="451">
        <v>0</v>
      </c>
      <c r="CU226" s="451">
        <v>0</v>
      </c>
      <c r="CV226" s="451">
        <v>0</v>
      </c>
      <c r="CW226" s="451">
        <v>0</v>
      </c>
      <c r="CX226" s="451">
        <v>0</v>
      </c>
      <c r="CY226" s="451">
        <v>0</v>
      </c>
      <c r="CZ226" s="451">
        <v>0</v>
      </c>
      <c r="DA226" s="451">
        <v>0</v>
      </c>
      <c r="DB226" s="451">
        <v>0</v>
      </c>
      <c r="DC226" s="451">
        <v>0</v>
      </c>
      <c r="DD226" s="451">
        <v>0</v>
      </c>
      <c r="DE226" s="451">
        <v>0</v>
      </c>
      <c r="DF226" s="451">
        <v>0</v>
      </c>
      <c r="DG226" s="451">
        <v>0</v>
      </c>
      <c r="DH226" s="451">
        <v>0</v>
      </c>
      <c r="DI226" s="451">
        <v>0</v>
      </c>
      <c r="DJ226" s="451">
        <v>0</v>
      </c>
      <c r="DK226" s="451">
        <v>0</v>
      </c>
      <c r="DL226" s="451">
        <v>0</v>
      </c>
      <c r="DM226" s="451">
        <v>0</v>
      </c>
      <c r="DN226" s="451">
        <v>0</v>
      </c>
      <c r="DO226" s="451">
        <v>0</v>
      </c>
      <c r="DP226" s="451">
        <v>0</v>
      </c>
      <c r="DQ226" s="451">
        <v>0</v>
      </c>
      <c r="DR226" s="451">
        <v>0</v>
      </c>
      <c r="DS226" s="451">
        <v>0</v>
      </c>
      <c r="DT226" s="451">
        <v>0</v>
      </c>
      <c r="DU226" s="451">
        <v>0</v>
      </c>
      <c r="DV226" s="451">
        <v>0</v>
      </c>
      <c r="DW226" s="451">
        <v>0</v>
      </c>
      <c r="DX226" s="451">
        <v>4230</v>
      </c>
      <c r="DY226" s="451">
        <v>0</v>
      </c>
      <c r="DZ226" s="451">
        <v>0</v>
      </c>
      <c r="EA226" s="451">
        <v>4230</v>
      </c>
      <c r="EB226" s="451">
        <v>46629</v>
      </c>
      <c r="EC226" s="451">
        <v>0</v>
      </c>
      <c r="ED226" s="451">
        <v>0</v>
      </c>
      <c r="EE226" s="451">
        <v>46629</v>
      </c>
      <c r="EF226" s="451">
        <v>5425</v>
      </c>
      <c r="EG226" s="451">
        <v>0</v>
      </c>
      <c r="EH226" s="451">
        <v>0</v>
      </c>
      <c r="EI226" s="451">
        <v>5425</v>
      </c>
      <c r="EJ226" s="451">
        <v>1301</v>
      </c>
      <c r="EK226" s="451">
        <v>0</v>
      </c>
      <c r="EL226" s="451">
        <v>0</v>
      </c>
      <c r="EM226" s="451">
        <v>1301</v>
      </c>
    </row>
    <row r="227" spans="1:143" ht="12.75" x14ac:dyDescent="0.2">
      <c r="A227" s="446">
        <v>221</v>
      </c>
      <c r="B227" s="447" t="s">
        <v>325</v>
      </c>
      <c r="C227" s="448" t="s">
        <v>794</v>
      </c>
      <c r="D227" s="449" t="s">
        <v>1096</v>
      </c>
      <c r="E227" s="450" t="s">
        <v>742</v>
      </c>
      <c r="F227" s="451">
        <v>23616.06</v>
      </c>
      <c r="G227" s="451">
        <v>0</v>
      </c>
      <c r="H227" s="451">
        <v>0</v>
      </c>
      <c r="I227" s="451">
        <v>23616.06</v>
      </c>
      <c r="J227" s="451">
        <v>-72270.38</v>
      </c>
      <c r="K227" s="451">
        <v>0</v>
      </c>
      <c r="L227" s="451">
        <v>0</v>
      </c>
      <c r="M227" s="451">
        <v>-72270.38</v>
      </c>
      <c r="N227" s="451">
        <v>5394.28</v>
      </c>
      <c r="O227" s="451">
        <v>0</v>
      </c>
      <c r="P227" s="451">
        <v>0</v>
      </c>
      <c r="Q227" s="451">
        <v>5394.28</v>
      </c>
      <c r="R227" s="451">
        <v>-5998.85</v>
      </c>
      <c r="S227" s="451">
        <v>0</v>
      </c>
      <c r="T227" s="451">
        <v>0</v>
      </c>
      <c r="U227" s="451">
        <v>-5998.85</v>
      </c>
      <c r="V227" s="451">
        <v>806188.75</v>
      </c>
      <c r="W227" s="451">
        <v>0</v>
      </c>
      <c r="X227" s="451">
        <v>0</v>
      </c>
      <c r="Y227" s="451">
        <v>806188.75</v>
      </c>
      <c r="Z227" s="451">
        <v>59880.959999999999</v>
      </c>
      <c r="AA227" s="451">
        <v>0</v>
      </c>
      <c r="AB227" s="451">
        <v>0</v>
      </c>
      <c r="AC227" s="451">
        <v>59880.959999999999</v>
      </c>
      <c r="AD227" s="451">
        <v>182162</v>
      </c>
      <c r="AE227" s="451">
        <v>0</v>
      </c>
      <c r="AF227" s="451">
        <v>0</v>
      </c>
      <c r="AG227" s="451">
        <v>182162</v>
      </c>
      <c r="AH227" s="451">
        <v>-4885</v>
      </c>
      <c r="AI227" s="451">
        <v>0</v>
      </c>
      <c r="AJ227" s="451">
        <v>0</v>
      </c>
      <c r="AK227" s="451">
        <v>-4885</v>
      </c>
      <c r="AL227" s="451">
        <v>1009800</v>
      </c>
      <c r="AM227" s="451">
        <v>0</v>
      </c>
      <c r="AN227" s="451">
        <v>0</v>
      </c>
      <c r="AO227" s="451">
        <v>1009800</v>
      </c>
      <c r="AP227" s="451">
        <v>-32092</v>
      </c>
      <c r="AQ227" s="451">
        <v>0</v>
      </c>
      <c r="AR227" s="451">
        <v>0</v>
      </c>
      <c r="AS227" s="451">
        <v>-32092</v>
      </c>
      <c r="AT227" s="451">
        <v>12891</v>
      </c>
      <c r="AU227" s="451">
        <v>0</v>
      </c>
      <c r="AV227" s="451">
        <v>0</v>
      </c>
      <c r="AW227" s="451">
        <v>12891</v>
      </c>
      <c r="AX227" s="451">
        <v>0</v>
      </c>
      <c r="AY227" s="451">
        <v>0</v>
      </c>
      <c r="AZ227" s="451">
        <v>0</v>
      </c>
      <c r="BA227" s="451">
        <v>0</v>
      </c>
      <c r="BB227" s="451">
        <v>11014</v>
      </c>
      <c r="BC227" s="451">
        <v>0</v>
      </c>
      <c r="BD227" s="451">
        <v>0</v>
      </c>
      <c r="BE227" s="451">
        <v>11014</v>
      </c>
      <c r="BF227" s="451">
        <v>0</v>
      </c>
      <c r="BG227" s="451">
        <v>0</v>
      </c>
      <c r="BH227" s="451">
        <v>0</v>
      </c>
      <c r="BI227" s="451">
        <v>0</v>
      </c>
      <c r="BJ227" s="451">
        <v>0</v>
      </c>
      <c r="BK227" s="451">
        <v>0</v>
      </c>
      <c r="BL227" s="451">
        <v>0</v>
      </c>
      <c r="BM227" s="451">
        <v>0</v>
      </c>
      <c r="BN227" s="451">
        <v>0</v>
      </c>
      <c r="BO227" s="451">
        <v>0</v>
      </c>
      <c r="BP227" s="451">
        <v>0</v>
      </c>
      <c r="BQ227" s="451">
        <v>0</v>
      </c>
      <c r="BR227" s="451">
        <v>239414</v>
      </c>
      <c r="BS227" s="451">
        <v>0</v>
      </c>
      <c r="BT227" s="451">
        <v>0</v>
      </c>
      <c r="BU227" s="451">
        <v>239414</v>
      </c>
      <c r="BV227" s="451">
        <v>-15530</v>
      </c>
      <c r="BW227" s="451">
        <v>0</v>
      </c>
      <c r="BX227" s="451">
        <v>0</v>
      </c>
      <c r="BY227" s="451">
        <v>-15530</v>
      </c>
      <c r="BZ227" s="451">
        <v>36024</v>
      </c>
      <c r="CA227" s="451">
        <v>0</v>
      </c>
      <c r="CB227" s="451">
        <v>0</v>
      </c>
      <c r="CC227" s="451">
        <v>36024</v>
      </c>
      <c r="CD227" s="451">
        <v>0</v>
      </c>
      <c r="CE227" s="451">
        <v>0</v>
      </c>
      <c r="CF227" s="451">
        <v>0</v>
      </c>
      <c r="CG227" s="451">
        <v>0</v>
      </c>
      <c r="CH227" s="451">
        <v>40037</v>
      </c>
      <c r="CI227" s="451">
        <v>0</v>
      </c>
      <c r="CJ227" s="451">
        <v>0</v>
      </c>
      <c r="CK227" s="451">
        <v>40037</v>
      </c>
      <c r="CL227" s="451">
        <v>0</v>
      </c>
      <c r="CM227" s="451">
        <v>0</v>
      </c>
      <c r="CN227" s="451">
        <v>0</v>
      </c>
      <c r="CO227" s="451">
        <v>0</v>
      </c>
      <c r="CP227" s="451">
        <v>1625</v>
      </c>
      <c r="CQ227" s="451">
        <v>0</v>
      </c>
      <c r="CR227" s="451">
        <v>0</v>
      </c>
      <c r="CS227" s="451">
        <v>1625</v>
      </c>
      <c r="CT227" s="451">
        <v>0</v>
      </c>
      <c r="CU227" s="451">
        <v>0</v>
      </c>
      <c r="CV227" s="451">
        <v>0</v>
      </c>
      <c r="CW227" s="451">
        <v>0</v>
      </c>
      <c r="CX227" s="451">
        <v>11014</v>
      </c>
      <c r="CY227" s="451">
        <v>0</v>
      </c>
      <c r="CZ227" s="451">
        <v>0</v>
      </c>
      <c r="DA227" s="451">
        <v>11014</v>
      </c>
      <c r="DB227" s="451">
        <v>0</v>
      </c>
      <c r="DC227" s="451">
        <v>0</v>
      </c>
      <c r="DD227" s="451">
        <v>0</v>
      </c>
      <c r="DE227" s="451">
        <v>0</v>
      </c>
      <c r="DF227" s="451">
        <v>1501</v>
      </c>
      <c r="DG227" s="451">
        <v>0</v>
      </c>
      <c r="DH227" s="451">
        <v>0</v>
      </c>
      <c r="DI227" s="451">
        <v>1501</v>
      </c>
      <c r="DJ227" s="451">
        <v>0</v>
      </c>
      <c r="DK227" s="451">
        <v>0</v>
      </c>
      <c r="DL227" s="451">
        <v>0</v>
      </c>
      <c r="DM227" s="451">
        <v>0</v>
      </c>
      <c r="DN227" s="451">
        <v>0</v>
      </c>
      <c r="DO227" s="451">
        <v>0</v>
      </c>
      <c r="DP227" s="451">
        <v>0</v>
      </c>
      <c r="DQ227" s="451">
        <v>0</v>
      </c>
      <c r="DR227" s="451">
        <v>0</v>
      </c>
      <c r="DS227" s="451">
        <v>0</v>
      </c>
      <c r="DT227" s="451">
        <v>0</v>
      </c>
      <c r="DU227" s="451">
        <v>0</v>
      </c>
      <c r="DV227" s="451">
        <v>0</v>
      </c>
      <c r="DW227" s="451">
        <v>0</v>
      </c>
      <c r="DX227" s="451">
        <v>0</v>
      </c>
      <c r="DY227" s="451">
        <v>0</v>
      </c>
      <c r="DZ227" s="451">
        <v>0</v>
      </c>
      <c r="EA227" s="451">
        <v>0</v>
      </c>
      <c r="EB227" s="451">
        <v>0</v>
      </c>
      <c r="EC227" s="451">
        <v>0</v>
      </c>
      <c r="ED227" s="451">
        <v>0</v>
      </c>
      <c r="EE227" s="451">
        <v>0</v>
      </c>
      <c r="EF227" s="451">
        <v>0</v>
      </c>
      <c r="EG227" s="451">
        <v>0</v>
      </c>
      <c r="EH227" s="451">
        <v>0</v>
      </c>
      <c r="EI227" s="451">
        <v>0</v>
      </c>
      <c r="EJ227" s="451">
        <v>0</v>
      </c>
      <c r="EK227" s="451">
        <v>0</v>
      </c>
      <c r="EL227" s="451">
        <v>0</v>
      </c>
      <c r="EM227" s="451">
        <v>0</v>
      </c>
    </row>
    <row r="228" spans="1:143" ht="12.75" x14ac:dyDescent="0.2">
      <c r="A228" s="446">
        <v>222</v>
      </c>
      <c r="B228" s="447" t="s">
        <v>327</v>
      </c>
      <c r="C228" s="448" t="s">
        <v>1093</v>
      </c>
      <c r="D228" s="449" t="s">
        <v>1101</v>
      </c>
      <c r="E228" s="450" t="s">
        <v>326</v>
      </c>
      <c r="F228" s="451">
        <v>176516.16</v>
      </c>
      <c r="G228" s="451">
        <v>0</v>
      </c>
      <c r="H228" s="451">
        <v>0</v>
      </c>
      <c r="I228" s="451">
        <v>176516.16</v>
      </c>
      <c r="J228" s="451">
        <v>-65114</v>
      </c>
      <c r="K228" s="451">
        <v>0</v>
      </c>
      <c r="L228" s="451">
        <v>0</v>
      </c>
      <c r="M228" s="451">
        <v>-65114</v>
      </c>
      <c r="N228" s="451">
        <v>4165</v>
      </c>
      <c r="O228" s="451">
        <v>0</v>
      </c>
      <c r="P228" s="451">
        <v>0</v>
      </c>
      <c r="Q228" s="451">
        <v>4165</v>
      </c>
      <c r="R228" s="451">
        <v>-7328</v>
      </c>
      <c r="S228" s="451">
        <v>0</v>
      </c>
      <c r="T228" s="451">
        <v>0</v>
      </c>
      <c r="U228" s="451">
        <v>-7328</v>
      </c>
      <c r="V228" s="451">
        <v>1974939</v>
      </c>
      <c r="W228" s="451">
        <v>0</v>
      </c>
      <c r="X228" s="451">
        <v>0</v>
      </c>
      <c r="Y228" s="451">
        <v>1974939</v>
      </c>
      <c r="Z228" s="451">
        <v>30597</v>
      </c>
      <c r="AA228" s="451">
        <v>0</v>
      </c>
      <c r="AB228" s="451">
        <v>0</v>
      </c>
      <c r="AC228" s="451">
        <v>30597</v>
      </c>
      <c r="AD228" s="451">
        <v>287370</v>
      </c>
      <c r="AE228" s="451">
        <v>0</v>
      </c>
      <c r="AF228" s="451">
        <v>0</v>
      </c>
      <c r="AG228" s="451">
        <v>287370</v>
      </c>
      <c r="AH228" s="451">
        <v>-8505</v>
      </c>
      <c r="AI228" s="451">
        <v>0</v>
      </c>
      <c r="AJ228" s="451">
        <v>0</v>
      </c>
      <c r="AK228" s="451">
        <v>-8505</v>
      </c>
      <c r="AL228" s="451">
        <v>794932</v>
      </c>
      <c r="AM228" s="451">
        <v>0</v>
      </c>
      <c r="AN228" s="451">
        <v>0</v>
      </c>
      <c r="AO228" s="451">
        <v>794932</v>
      </c>
      <c r="AP228" s="451">
        <v>-1214</v>
      </c>
      <c r="AQ228" s="451">
        <v>0</v>
      </c>
      <c r="AR228" s="451">
        <v>0</v>
      </c>
      <c r="AS228" s="451">
        <v>-1214</v>
      </c>
      <c r="AT228" s="451">
        <v>28527</v>
      </c>
      <c r="AU228" s="451">
        <v>0</v>
      </c>
      <c r="AV228" s="451">
        <v>0</v>
      </c>
      <c r="AW228" s="451">
        <v>28527</v>
      </c>
      <c r="AX228" s="451">
        <v>164</v>
      </c>
      <c r="AY228" s="451">
        <v>0</v>
      </c>
      <c r="AZ228" s="451">
        <v>0</v>
      </c>
      <c r="BA228" s="451">
        <v>164</v>
      </c>
      <c r="BB228" s="451">
        <v>41894</v>
      </c>
      <c r="BC228" s="451">
        <v>0</v>
      </c>
      <c r="BD228" s="451">
        <v>0</v>
      </c>
      <c r="BE228" s="451">
        <v>41894</v>
      </c>
      <c r="BF228" s="451">
        <v>1114</v>
      </c>
      <c r="BG228" s="451">
        <v>0</v>
      </c>
      <c r="BH228" s="451">
        <v>0</v>
      </c>
      <c r="BI228" s="451">
        <v>1114</v>
      </c>
      <c r="BJ228" s="451">
        <v>0</v>
      </c>
      <c r="BK228" s="451">
        <v>0</v>
      </c>
      <c r="BL228" s="451">
        <v>0</v>
      </c>
      <c r="BM228" s="451">
        <v>0</v>
      </c>
      <c r="BN228" s="451">
        <v>0</v>
      </c>
      <c r="BO228" s="451">
        <v>0</v>
      </c>
      <c r="BP228" s="451">
        <v>0</v>
      </c>
      <c r="BQ228" s="451">
        <v>0</v>
      </c>
      <c r="BR228" s="451">
        <v>465618</v>
      </c>
      <c r="BS228" s="451">
        <v>0</v>
      </c>
      <c r="BT228" s="451">
        <v>0</v>
      </c>
      <c r="BU228" s="451">
        <v>465618</v>
      </c>
      <c r="BV228" s="451">
        <v>3659</v>
      </c>
      <c r="BW228" s="451">
        <v>0</v>
      </c>
      <c r="BX228" s="451">
        <v>0</v>
      </c>
      <c r="BY228" s="451">
        <v>3659</v>
      </c>
      <c r="BZ228" s="451">
        <v>79439</v>
      </c>
      <c r="CA228" s="451">
        <v>0</v>
      </c>
      <c r="CB228" s="451">
        <v>0</v>
      </c>
      <c r="CC228" s="451">
        <v>79439</v>
      </c>
      <c r="CD228" s="451">
        <v>-351</v>
      </c>
      <c r="CE228" s="451">
        <v>0</v>
      </c>
      <c r="CF228" s="451">
        <v>0</v>
      </c>
      <c r="CG228" s="451">
        <v>-351</v>
      </c>
      <c r="CH228" s="451">
        <v>27941</v>
      </c>
      <c r="CI228" s="451">
        <v>0</v>
      </c>
      <c r="CJ228" s="451">
        <v>0</v>
      </c>
      <c r="CK228" s="451">
        <v>27941</v>
      </c>
      <c r="CL228" s="451">
        <v>1886</v>
      </c>
      <c r="CM228" s="451">
        <v>0</v>
      </c>
      <c r="CN228" s="451">
        <v>0</v>
      </c>
      <c r="CO228" s="451">
        <v>1886</v>
      </c>
      <c r="CP228" s="451">
        <v>2422</v>
      </c>
      <c r="CQ228" s="451">
        <v>0</v>
      </c>
      <c r="CR228" s="451">
        <v>0</v>
      </c>
      <c r="CS228" s="451">
        <v>2422</v>
      </c>
      <c r="CT228" s="451">
        <v>0</v>
      </c>
      <c r="CU228" s="451">
        <v>0</v>
      </c>
      <c r="CV228" s="451">
        <v>0</v>
      </c>
      <c r="CW228" s="451">
        <v>0</v>
      </c>
      <c r="CX228" s="451">
        <v>6588</v>
      </c>
      <c r="CY228" s="451">
        <v>0</v>
      </c>
      <c r="CZ228" s="451">
        <v>0</v>
      </c>
      <c r="DA228" s="451">
        <v>6588</v>
      </c>
      <c r="DB228" s="451">
        <v>-4</v>
      </c>
      <c r="DC228" s="451">
        <v>0</v>
      </c>
      <c r="DD228" s="451">
        <v>0</v>
      </c>
      <c r="DE228" s="451">
        <v>-4</v>
      </c>
      <c r="DF228" s="451">
        <v>1809</v>
      </c>
      <c r="DG228" s="451">
        <v>0</v>
      </c>
      <c r="DH228" s="451">
        <v>0</v>
      </c>
      <c r="DI228" s="451">
        <v>1809</v>
      </c>
      <c r="DJ228" s="451">
        <v>0</v>
      </c>
      <c r="DK228" s="451">
        <v>0</v>
      </c>
      <c r="DL228" s="451">
        <v>0</v>
      </c>
      <c r="DM228" s="451">
        <v>0</v>
      </c>
      <c r="DN228" s="451">
        <v>0</v>
      </c>
      <c r="DO228" s="451">
        <v>0</v>
      </c>
      <c r="DP228" s="451">
        <v>0</v>
      </c>
      <c r="DQ228" s="451">
        <v>0</v>
      </c>
      <c r="DR228" s="451">
        <v>0</v>
      </c>
      <c r="DS228" s="451">
        <v>0</v>
      </c>
      <c r="DT228" s="451">
        <v>0</v>
      </c>
      <c r="DU228" s="451">
        <v>0</v>
      </c>
      <c r="DV228" s="451">
        <v>0</v>
      </c>
      <c r="DW228" s="451">
        <v>0</v>
      </c>
      <c r="DX228" s="451">
        <v>0</v>
      </c>
      <c r="DY228" s="451">
        <v>0</v>
      </c>
      <c r="DZ228" s="451">
        <v>0</v>
      </c>
      <c r="EA228" s="451">
        <v>0</v>
      </c>
      <c r="EB228" s="451">
        <v>0</v>
      </c>
      <c r="EC228" s="451">
        <v>0</v>
      </c>
      <c r="ED228" s="451">
        <v>0</v>
      </c>
      <c r="EE228" s="451">
        <v>0</v>
      </c>
      <c r="EF228" s="451">
        <v>163983</v>
      </c>
      <c r="EG228" s="451">
        <v>0</v>
      </c>
      <c r="EH228" s="451">
        <v>0</v>
      </c>
      <c r="EI228" s="451">
        <v>163983</v>
      </c>
      <c r="EJ228" s="451">
        <v>0</v>
      </c>
      <c r="EK228" s="451">
        <v>0</v>
      </c>
      <c r="EL228" s="451">
        <v>0</v>
      </c>
      <c r="EM228" s="451">
        <v>0</v>
      </c>
    </row>
    <row r="229" spans="1:143" ht="12.75" x14ac:dyDescent="0.2">
      <c r="A229" s="446">
        <v>223</v>
      </c>
      <c r="B229" s="447" t="s">
        <v>329</v>
      </c>
      <c r="C229" s="448" t="s">
        <v>1100</v>
      </c>
      <c r="D229" s="449" t="s">
        <v>1095</v>
      </c>
      <c r="E229" s="450" t="s">
        <v>328</v>
      </c>
      <c r="F229" s="451">
        <v>189205</v>
      </c>
      <c r="G229" s="451">
        <v>0</v>
      </c>
      <c r="H229" s="451">
        <v>0</v>
      </c>
      <c r="I229" s="451">
        <v>189205</v>
      </c>
      <c r="J229" s="451">
        <v>-247754</v>
      </c>
      <c r="K229" s="451">
        <v>0</v>
      </c>
      <c r="L229" s="451">
        <v>0</v>
      </c>
      <c r="M229" s="451">
        <v>-247754</v>
      </c>
      <c r="N229" s="451">
        <v>108919</v>
      </c>
      <c r="O229" s="451">
        <v>0</v>
      </c>
      <c r="P229" s="451">
        <v>0</v>
      </c>
      <c r="Q229" s="451">
        <v>108919</v>
      </c>
      <c r="R229" s="451">
        <v>859311</v>
      </c>
      <c r="S229" s="451">
        <v>0</v>
      </c>
      <c r="T229" s="451">
        <v>0</v>
      </c>
      <c r="U229" s="451">
        <v>859311</v>
      </c>
      <c r="V229" s="451">
        <v>4113909</v>
      </c>
      <c r="W229" s="451">
        <v>0</v>
      </c>
      <c r="X229" s="451">
        <v>0</v>
      </c>
      <c r="Y229" s="451">
        <v>4113909</v>
      </c>
      <c r="Z229" s="451">
        <v>368284</v>
      </c>
      <c r="AA229" s="451">
        <v>0</v>
      </c>
      <c r="AB229" s="451">
        <v>0</v>
      </c>
      <c r="AC229" s="451">
        <v>368284</v>
      </c>
      <c r="AD229" s="451">
        <v>1923369</v>
      </c>
      <c r="AE229" s="451">
        <v>0</v>
      </c>
      <c r="AF229" s="451">
        <v>0</v>
      </c>
      <c r="AG229" s="451">
        <v>1923369</v>
      </c>
      <c r="AH229" s="451">
        <v>122009</v>
      </c>
      <c r="AI229" s="451">
        <v>0</v>
      </c>
      <c r="AJ229" s="451">
        <v>0</v>
      </c>
      <c r="AK229" s="451">
        <v>122009</v>
      </c>
      <c r="AL229" s="451">
        <v>6445094</v>
      </c>
      <c r="AM229" s="451">
        <v>0</v>
      </c>
      <c r="AN229" s="451">
        <v>0</v>
      </c>
      <c r="AO229" s="451">
        <v>6445094</v>
      </c>
      <c r="AP229" s="451">
        <v>466387</v>
      </c>
      <c r="AQ229" s="451">
        <v>0</v>
      </c>
      <c r="AR229" s="451">
        <v>0</v>
      </c>
      <c r="AS229" s="451">
        <v>466387</v>
      </c>
      <c r="AT229" s="451">
        <v>80794</v>
      </c>
      <c r="AU229" s="451">
        <v>0</v>
      </c>
      <c r="AV229" s="451">
        <v>0</v>
      </c>
      <c r="AW229" s="451">
        <v>80794</v>
      </c>
      <c r="AX229" s="451">
        <v>0</v>
      </c>
      <c r="AY229" s="451">
        <v>0</v>
      </c>
      <c r="AZ229" s="451">
        <v>0</v>
      </c>
      <c r="BA229" s="451">
        <v>0</v>
      </c>
      <c r="BB229" s="451">
        <v>0</v>
      </c>
      <c r="BC229" s="451">
        <v>0</v>
      </c>
      <c r="BD229" s="451">
        <v>0</v>
      </c>
      <c r="BE229" s="451">
        <v>0</v>
      </c>
      <c r="BF229" s="451">
        <v>0</v>
      </c>
      <c r="BG229" s="451">
        <v>0</v>
      </c>
      <c r="BH229" s="451">
        <v>0</v>
      </c>
      <c r="BI229" s="451">
        <v>0</v>
      </c>
      <c r="BJ229" s="451">
        <v>60175</v>
      </c>
      <c r="BK229" s="451">
        <v>0</v>
      </c>
      <c r="BL229" s="451">
        <v>0</v>
      </c>
      <c r="BM229" s="451">
        <v>60175</v>
      </c>
      <c r="BN229" s="451">
        <v>-687754</v>
      </c>
      <c r="BO229" s="451">
        <v>0</v>
      </c>
      <c r="BP229" s="451">
        <v>0</v>
      </c>
      <c r="BQ229" s="451">
        <v>-687754</v>
      </c>
      <c r="BR229" s="451">
        <v>5790524</v>
      </c>
      <c r="BS229" s="451">
        <v>0</v>
      </c>
      <c r="BT229" s="451">
        <v>0</v>
      </c>
      <c r="BU229" s="451">
        <v>5790524</v>
      </c>
      <c r="BV229" s="451">
        <v>-504241</v>
      </c>
      <c r="BW229" s="451">
        <v>0</v>
      </c>
      <c r="BX229" s="451">
        <v>0</v>
      </c>
      <c r="BY229" s="451">
        <v>-504241</v>
      </c>
      <c r="BZ229" s="451">
        <v>477197</v>
      </c>
      <c r="CA229" s="451">
        <v>0</v>
      </c>
      <c r="CB229" s="451">
        <v>0</v>
      </c>
      <c r="CC229" s="451">
        <v>477197</v>
      </c>
      <c r="CD229" s="451">
        <v>10198</v>
      </c>
      <c r="CE229" s="451">
        <v>0</v>
      </c>
      <c r="CF229" s="451">
        <v>0</v>
      </c>
      <c r="CG229" s="451">
        <v>10198</v>
      </c>
      <c r="CH229" s="451">
        <v>134492</v>
      </c>
      <c r="CI229" s="451">
        <v>0</v>
      </c>
      <c r="CJ229" s="451">
        <v>0</v>
      </c>
      <c r="CK229" s="451">
        <v>134492</v>
      </c>
      <c r="CL229" s="451">
        <v>-7546</v>
      </c>
      <c r="CM229" s="451">
        <v>0</v>
      </c>
      <c r="CN229" s="451">
        <v>0</v>
      </c>
      <c r="CO229" s="451">
        <v>-7546</v>
      </c>
      <c r="CP229" s="451">
        <v>4817</v>
      </c>
      <c r="CQ229" s="451">
        <v>0</v>
      </c>
      <c r="CR229" s="451">
        <v>0</v>
      </c>
      <c r="CS229" s="451">
        <v>4817</v>
      </c>
      <c r="CT229" s="451">
        <v>0</v>
      </c>
      <c r="CU229" s="451">
        <v>0</v>
      </c>
      <c r="CV229" s="451">
        <v>0</v>
      </c>
      <c r="CW229" s="451">
        <v>0</v>
      </c>
      <c r="CX229" s="451">
        <v>0</v>
      </c>
      <c r="CY229" s="451">
        <v>0</v>
      </c>
      <c r="CZ229" s="451">
        <v>0</v>
      </c>
      <c r="DA229" s="451">
        <v>0</v>
      </c>
      <c r="DB229" s="451">
        <v>0</v>
      </c>
      <c r="DC229" s="451">
        <v>0</v>
      </c>
      <c r="DD229" s="451">
        <v>0</v>
      </c>
      <c r="DE229" s="451">
        <v>0</v>
      </c>
      <c r="DF229" s="451">
        <v>0</v>
      </c>
      <c r="DG229" s="451">
        <v>0</v>
      </c>
      <c r="DH229" s="451">
        <v>0</v>
      </c>
      <c r="DI229" s="451">
        <v>0</v>
      </c>
      <c r="DJ229" s="451">
        <v>0</v>
      </c>
      <c r="DK229" s="451">
        <v>0</v>
      </c>
      <c r="DL229" s="451">
        <v>0</v>
      </c>
      <c r="DM229" s="451">
        <v>0</v>
      </c>
      <c r="DN229" s="451">
        <v>0</v>
      </c>
      <c r="DO229" s="451">
        <v>0</v>
      </c>
      <c r="DP229" s="451">
        <v>0</v>
      </c>
      <c r="DQ229" s="451">
        <v>0</v>
      </c>
      <c r="DR229" s="451">
        <v>0</v>
      </c>
      <c r="DS229" s="451">
        <v>0</v>
      </c>
      <c r="DT229" s="451">
        <v>0</v>
      </c>
      <c r="DU229" s="451">
        <v>0</v>
      </c>
      <c r="DV229" s="451">
        <v>0</v>
      </c>
      <c r="DW229" s="451">
        <v>0</v>
      </c>
      <c r="DX229" s="451">
        <v>0</v>
      </c>
      <c r="DY229" s="451">
        <v>0</v>
      </c>
      <c r="DZ229" s="451">
        <v>0</v>
      </c>
      <c r="EA229" s="451">
        <v>0</v>
      </c>
      <c r="EB229" s="451">
        <v>0</v>
      </c>
      <c r="EC229" s="451">
        <v>0</v>
      </c>
      <c r="ED229" s="451">
        <v>0</v>
      </c>
      <c r="EE229" s="451">
        <v>0</v>
      </c>
      <c r="EF229" s="451">
        <v>0</v>
      </c>
      <c r="EG229" s="451">
        <v>0</v>
      </c>
      <c r="EH229" s="451">
        <v>0</v>
      </c>
      <c r="EI229" s="451">
        <v>0</v>
      </c>
      <c r="EJ229" s="451">
        <v>0</v>
      </c>
      <c r="EK229" s="451">
        <v>0</v>
      </c>
      <c r="EL229" s="451">
        <v>0</v>
      </c>
      <c r="EM229" s="451">
        <v>0</v>
      </c>
    </row>
    <row r="230" spans="1:143" ht="12.75" x14ac:dyDescent="0.2">
      <c r="A230" s="446">
        <v>224</v>
      </c>
      <c r="B230" s="447" t="s">
        <v>331</v>
      </c>
      <c r="C230" s="448" t="s">
        <v>1100</v>
      </c>
      <c r="D230" s="449" t="s">
        <v>1103</v>
      </c>
      <c r="E230" s="450" t="s">
        <v>330</v>
      </c>
      <c r="F230" s="451">
        <v>168282</v>
      </c>
      <c r="G230" s="451">
        <v>0</v>
      </c>
      <c r="H230" s="451">
        <v>0</v>
      </c>
      <c r="I230" s="451">
        <v>168282</v>
      </c>
      <c r="J230" s="451">
        <v>-226923</v>
      </c>
      <c r="K230" s="451">
        <v>0</v>
      </c>
      <c r="L230" s="451">
        <v>0</v>
      </c>
      <c r="M230" s="451">
        <v>-226923</v>
      </c>
      <c r="N230" s="451">
        <v>141356</v>
      </c>
      <c r="O230" s="451">
        <v>0</v>
      </c>
      <c r="P230" s="451">
        <v>0</v>
      </c>
      <c r="Q230" s="451">
        <v>141356</v>
      </c>
      <c r="R230" s="451">
        <v>271372</v>
      </c>
      <c r="S230" s="451">
        <v>0</v>
      </c>
      <c r="T230" s="451">
        <v>0</v>
      </c>
      <c r="U230" s="451">
        <v>271372</v>
      </c>
      <c r="V230" s="451">
        <v>7065312</v>
      </c>
      <c r="W230" s="451">
        <v>0</v>
      </c>
      <c r="X230" s="451">
        <v>0</v>
      </c>
      <c r="Y230" s="451">
        <v>7065312</v>
      </c>
      <c r="Z230" s="451">
        <v>436459</v>
      </c>
      <c r="AA230" s="451">
        <v>0</v>
      </c>
      <c r="AB230" s="451">
        <v>0</v>
      </c>
      <c r="AC230" s="451">
        <v>436459</v>
      </c>
      <c r="AD230" s="451">
        <v>1901199</v>
      </c>
      <c r="AE230" s="451">
        <v>0</v>
      </c>
      <c r="AF230" s="451">
        <v>0</v>
      </c>
      <c r="AG230" s="451">
        <v>1901199</v>
      </c>
      <c r="AH230" s="451">
        <v>49279</v>
      </c>
      <c r="AI230" s="451">
        <v>0</v>
      </c>
      <c r="AJ230" s="451">
        <v>0</v>
      </c>
      <c r="AK230" s="451">
        <v>49279</v>
      </c>
      <c r="AL230" s="451">
        <v>4385157</v>
      </c>
      <c r="AM230" s="451">
        <v>0</v>
      </c>
      <c r="AN230" s="451">
        <v>0</v>
      </c>
      <c r="AO230" s="451">
        <v>4385157</v>
      </c>
      <c r="AP230" s="451">
        <v>-443291</v>
      </c>
      <c r="AQ230" s="451">
        <v>0</v>
      </c>
      <c r="AR230" s="451">
        <v>0</v>
      </c>
      <c r="AS230" s="451">
        <v>-443291</v>
      </c>
      <c r="AT230" s="451">
        <v>89660</v>
      </c>
      <c r="AU230" s="451">
        <v>0</v>
      </c>
      <c r="AV230" s="451">
        <v>0</v>
      </c>
      <c r="AW230" s="451">
        <v>89660</v>
      </c>
      <c r="AX230" s="451">
        <v>-1832</v>
      </c>
      <c r="AY230" s="451">
        <v>0</v>
      </c>
      <c r="AZ230" s="451">
        <v>0</v>
      </c>
      <c r="BA230" s="451">
        <v>-1832</v>
      </c>
      <c r="BB230" s="451">
        <v>0</v>
      </c>
      <c r="BC230" s="451">
        <v>0</v>
      </c>
      <c r="BD230" s="451">
        <v>0</v>
      </c>
      <c r="BE230" s="451">
        <v>0</v>
      </c>
      <c r="BF230" s="451">
        <v>0</v>
      </c>
      <c r="BG230" s="451">
        <v>0</v>
      </c>
      <c r="BH230" s="451">
        <v>0</v>
      </c>
      <c r="BI230" s="451">
        <v>0</v>
      </c>
      <c r="BJ230" s="451">
        <v>336660</v>
      </c>
      <c r="BK230" s="451">
        <v>0</v>
      </c>
      <c r="BL230" s="451">
        <v>0</v>
      </c>
      <c r="BM230" s="451">
        <v>336660</v>
      </c>
      <c r="BN230" s="451">
        <v>52583</v>
      </c>
      <c r="BO230" s="451">
        <v>0</v>
      </c>
      <c r="BP230" s="451">
        <v>0</v>
      </c>
      <c r="BQ230" s="451">
        <v>52583</v>
      </c>
      <c r="BR230" s="451">
        <v>4998690</v>
      </c>
      <c r="BS230" s="451">
        <v>0</v>
      </c>
      <c r="BT230" s="451">
        <v>0</v>
      </c>
      <c r="BU230" s="451">
        <v>4998690</v>
      </c>
      <c r="BV230" s="451">
        <v>-357671</v>
      </c>
      <c r="BW230" s="451">
        <v>0</v>
      </c>
      <c r="BX230" s="451">
        <v>0</v>
      </c>
      <c r="BY230" s="451">
        <v>-357671</v>
      </c>
      <c r="BZ230" s="451">
        <v>372555</v>
      </c>
      <c r="CA230" s="451">
        <v>0</v>
      </c>
      <c r="CB230" s="451">
        <v>0</v>
      </c>
      <c r="CC230" s="451">
        <v>372555</v>
      </c>
      <c r="CD230" s="451">
        <v>-153440</v>
      </c>
      <c r="CE230" s="451">
        <v>0</v>
      </c>
      <c r="CF230" s="451">
        <v>0</v>
      </c>
      <c r="CG230" s="451">
        <v>-153440</v>
      </c>
      <c r="CH230" s="451">
        <v>155510</v>
      </c>
      <c r="CI230" s="451">
        <v>0</v>
      </c>
      <c r="CJ230" s="451">
        <v>0</v>
      </c>
      <c r="CK230" s="451">
        <v>155510</v>
      </c>
      <c r="CL230" s="451">
        <v>10240</v>
      </c>
      <c r="CM230" s="451">
        <v>0</v>
      </c>
      <c r="CN230" s="451">
        <v>0</v>
      </c>
      <c r="CO230" s="451">
        <v>10240</v>
      </c>
      <c r="CP230" s="451">
        <v>7239</v>
      </c>
      <c r="CQ230" s="451">
        <v>0</v>
      </c>
      <c r="CR230" s="451">
        <v>0</v>
      </c>
      <c r="CS230" s="451">
        <v>7239</v>
      </c>
      <c r="CT230" s="451">
        <v>11945</v>
      </c>
      <c r="CU230" s="451">
        <v>0</v>
      </c>
      <c r="CV230" s="451">
        <v>0</v>
      </c>
      <c r="CW230" s="451">
        <v>11945</v>
      </c>
      <c r="CX230" s="451">
        <v>0</v>
      </c>
      <c r="CY230" s="451">
        <v>0</v>
      </c>
      <c r="CZ230" s="451">
        <v>0</v>
      </c>
      <c r="DA230" s="451">
        <v>0</v>
      </c>
      <c r="DB230" s="451">
        <v>0</v>
      </c>
      <c r="DC230" s="451">
        <v>0</v>
      </c>
      <c r="DD230" s="451">
        <v>0</v>
      </c>
      <c r="DE230" s="451">
        <v>0</v>
      </c>
      <c r="DF230" s="451">
        <v>0</v>
      </c>
      <c r="DG230" s="451">
        <v>0</v>
      </c>
      <c r="DH230" s="451">
        <v>0</v>
      </c>
      <c r="DI230" s="451">
        <v>0</v>
      </c>
      <c r="DJ230" s="451">
        <v>0</v>
      </c>
      <c r="DK230" s="451">
        <v>0</v>
      </c>
      <c r="DL230" s="451">
        <v>0</v>
      </c>
      <c r="DM230" s="451">
        <v>0</v>
      </c>
      <c r="DN230" s="451">
        <v>0</v>
      </c>
      <c r="DO230" s="451">
        <v>0</v>
      </c>
      <c r="DP230" s="451">
        <v>0</v>
      </c>
      <c r="DQ230" s="451">
        <v>0</v>
      </c>
      <c r="DR230" s="451">
        <v>0</v>
      </c>
      <c r="DS230" s="451">
        <v>0</v>
      </c>
      <c r="DT230" s="451">
        <v>0</v>
      </c>
      <c r="DU230" s="451">
        <v>0</v>
      </c>
      <c r="DV230" s="451">
        <v>0</v>
      </c>
      <c r="DW230" s="451">
        <v>0</v>
      </c>
      <c r="DX230" s="451">
        <v>0</v>
      </c>
      <c r="DY230" s="451">
        <v>0</v>
      </c>
      <c r="DZ230" s="451">
        <v>0</v>
      </c>
      <c r="EA230" s="451">
        <v>0</v>
      </c>
      <c r="EB230" s="451">
        <v>0</v>
      </c>
      <c r="EC230" s="451">
        <v>0</v>
      </c>
      <c r="ED230" s="451">
        <v>0</v>
      </c>
      <c r="EE230" s="451">
        <v>0</v>
      </c>
      <c r="EF230" s="451">
        <v>114570</v>
      </c>
      <c r="EG230" s="451">
        <v>0</v>
      </c>
      <c r="EH230" s="451">
        <v>0</v>
      </c>
      <c r="EI230" s="451">
        <v>114570</v>
      </c>
      <c r="EJ230" s="451">
        <v>3813</v>
      </c>
      <c r="EK230" s="451">
        <v>0</v>
      </c>
      <c r="EL230" s="451">
        <v>0</v>
      </c>
      <c r="EM230" s="451">
        <v>3813</v>
      </c>
    </row>
    <row r="231" spans="1:143" ht="12.75" x14ac:dyDescent="0.2">
      <c r="A231" s="446">
        <v>225</v>
      </c>
      <c r="B231" s="447" t="s">
        <v>333</v>
      </c>
      <c r="C231" s="448" t="s">
        <v>1093</v>
      </c>
      <c r="D231" s="449" t="s">
        <v>1101</v>
      </c>
      <c r="E231" s="450" t="s">
        <v>332</v>
      </c>
      <c r="F231" s="451">
        <v>307346.07</v>
      </c>
      <c r="G231" s="451">
        <v>0</v>
      </c>
      <c r="H231" s="451">
        <v>0</v>
      </c>
      <c r="I231" s="451">
        <v>307346.07</v>
      </c>
      <c r="J231" s="451">
        <v>-803558.16</v>
      </c>
      <c r="K231" s="451">
        <v>0</v>
      </c>
      <c r="L231" s="451">
        <v>0</v>
      </c>
      <c r="M231" s="451">
        <v>-803558.16</v>
      </c>
      <c r="N231" s="451">
        <v>11980</v>
      </c>
      <c r="O231" s="451">
        <v>0</v>
      </c>
      <c r="P231" s="451">
        <v>0</v>
      </c>
      <c r="Q231" s="451">
        <v>11980</v>
      </c>
      <c r="R231" s="451">
        <v>85879</v>
      </c>
      <c r="S231" s="451">
        <v>0</v>
      </c>
      <c r="T231" s="451">
        <v>0</v>
      </c>
      <c r="U231" s="451">
        <v>85879</v>
      </c>
      <c r="V231" s="451">
        <v>4726636</v>
      </c>
      <c r="W231" s="451">
        <v>0</v>
      </c>
      <c r="X231" s="451">
        <v>0</v>
      </c>
      <c r="Y231" s="451">
        <v>4726636</v>
      </c>
      <c r="Z231" s="451">
        <v>237283</v>
      </c>
      <c r="AA231" s="451">
        <v>0</v>
      </c>
      <c r="AB231" s="451">
        <v>0</v>
      </c>
      <c r="AC231" s="451">
        <v>237283</v>
      </c>
      <c r="AD231" s="451">
        <v>571132</v>
      </c>
      <c r="AE231" s="451">
        <v>0</v>
      </c>
      <c r="AF231" s="451">
        <v>0</v>
      </c>
      <c r="AG231" s="451">
        <v>571132</v>
      </c>
      <c r="AH231" s="451">
        <v>1529</v>
      </c>
      <c r="AI231" s="451">
        <v>0</v>
      </c>
      <c r="AJ231" s="451">
        <v>0</v>
      </c>
      <c r="AK231" s="451">
        <v>1529</v>
      </c>
      <c r="AL231" s="451">
        <v>1472121</v>
      </c>
      <c r="AM231" s="451">
        <v>0</v>
      </c>
      <c r="AN231" s="451">
        <v>0</v>
      </c>
      <c r="AO231" s="451">
        <v>1472121</v>
      </c>
      <c r="AP231" s="451">
        <v>4546</v>
      </c>
      <c r="AQ231" s="451">
        <v>0</v>
      </c>
      <c r="AR231" s="451">
        <v>0</v>
      </c>
      <c r="AS231" s="451">
        <v>4546</v>
      </c>
      <c r="AT231" s="451">
        <v>136851</v>
      </c>
      <c r="AU231" s="451">
        <v>0</v>
      </c>
      <c r="AV231" s="451">
        <v>0</v>
      </c>
      <c r="AW231" s="451">
        <v>136851</v>
      </c>
      <c r="AX231" s="451">
        <v>-24434</v>
      </c>
      <c r="AY231" s="451">
        <v>0</v>
      </c>
      <c r="AZ231" s="451">
        <v>0</v>
      </c>
      <c r="BA231" s="451">
        <v>-24434</v>
      </c>
      <c r="BB231" s="451">
        <v>29655</v>
      </c>
      <c r="BC231" s="451">
        <v>0</v>
      </c>
      <c r="BD231" s="451">
        <v>0</v>
      </c>
      <c r="BE231" s="451">
        <v>29655</v>
      </c>
      <c r="BF231" s="451">
        <v>-196</v>
      </c>
      <c r="BG231" s="451">
        <v>0</v>
      </c>
      <c r="BH231" s="451">
        <v>0</v>
      </c>
      <c r="BI231" s="451">
        <v>-196</v>
      </c>
      <c r="BJ231" s="451">
        <v>10777</v>
      </c>
      <c r="BK231" s="451">
        <v>0</v>
      </c>
      <c r="BL231" s="451">
        <v>0</v>
      </c>
      <c r="BM231" s="451">
        <v>10777</v>
      </c>
      <c r="BN231" s="451">
        <v>4971</v>
      </c>
      <c r="BO231" s="451">
        <v>0</v>
      </c>
      <c r="BP231" s="451">
        <v>0</v>
      </c>
      <c r="BQ231" s="451">
        <v>4971</v>
      </c>
      <c r="BR231" s="451">
        <v>793748</v>
      </c>
      <c r="BS231" s="451">
        <v>0</v>
      </c>
      <c r="BT231" s="451">
        <v>0</v>
      </c>
      <c r="BU231" s="451">
        <v>793748</v>
      </c>
      <c r="BV231" s="451">
        <v>-27583</v>
      </c>
      <c r="BW231" s="451">
        <v>0</v>
      </c>
      <c r="BX231" s="451">
        <v>0</v>
      </c>
      <c r="BY231" s="451">
        <v>-27583</v>
      </c>
      <c r="BZ231" s="451">
        <v>131368</v>
      </c>
      <c r="CA231" s="451">
        <v>0</v>
      </c>
      <c r="CB231" s="451">
        <v>0</v>
      </c>
      <c r="CC231" s="451">
        <v>131368</v>
      </c>
      <c r="CD231" s="451">
        <v>1205</v>
      </c>
      <c r="CE231" s="451">
        <v>0</v>
      </c>
      <c r="CF231" s="451">
        <v>0</v>
      </c>
      <c r="CG231" s="451">
        <v>1205</v>
      </c>
      <c r="CH231" s="451">
        <v>51314</v>
      </c>
      <c r="CI231" s="451">
        <v>0</v>
      </c>
      <c r="CJ231" s="451">
        <v>0</v>
      </c>
      <c r="CK231" s="451">
        <v>51314</v>
      </c>
      <c r="CL231" s="451">
        <v>704</v>
      </c>
      <c r="CM231" s="451">
        <v>0</v>
      </c>
      <c r="CN231" s="451">
        <v>0</v>
      </c>
      <c r="CO231" s="451">
        <v>704</v>
      </c>
      <c r="CP231" s="451">
        <v>0</v>
      </c>
      <c r="CQ231" s="451">
        <v>0</v>
      </c>
      <c r="CR231" s="451">
        <v>0</v>
      </c>
      <c r="CS231" s="451">
        <v>0</v>
      </c>
      <c r="CT231" s="451">
        <v>0</v>
      </c>
      <c r="CU231" s="451">
        <v>0</v>
      </c>
      <c r="CV231" s="451">
        <v>0</v>
      </c>
      <c r="CW231" s="451">
        <v>0</v>
      </c>
      <c r="CX231" s="451">
        <v>1196</v>
      </c>
      <c r="CY231" s="451">
        <v>0</v>
      </c>
      <c r="CZ231" s="451">
        <v>0</v>
      </c>
      <c r="DA231" s="451">
        <v>1196</v>
      </c>
      <c r="DB231" s="451">
        <v>0</v>
      </c>
      <c r="DC231" s="451">
        <v>0</v>
      </c>
      <c r="DD231" s="451">
        <v>0</v>
      </c>
      <c r="DE231" s="451">
        <v>0</v>
      </c>
      <c r="DF231" s="451">
        <v>0</v>
      </c>
      <c r="DG231" s="451">
        <v>0</v>
      </c>
      <c r="DH231" s="451">
        <v>0</v>
      </c>
      <c r="DI231" s="451">
        <v>0</v>
      </c>
      <c r="DJ231" s="451">
        <v>0</v>
      </c>
      <c r="DK231" s="451">
        <v>0</v>
      </c>
      <c r="DL231" s="451">
        <v>0</v>
      </c>
      <c r="DM231" s="451">
        <v>0</v>
      </c>
      <c r="DN231" s="451">
        <v>0</v>
      </c>
      <c r="DO231" s="451">
        <v>0</v>
      </c>
      <c r="DP231" s="451">
        <v>0</v>
      </c>
      <c r="DQ231" s="451">
        <v>0</v>
      </c>
      <c r="DR231" s="451">
        <v>0</v>
      </c>
      <c r="DS231" s="451">
        <v>0</v>
      </c>
      <c r="DT231" s="451">
        <v>0</v>
      </c>
      <c r="DU231" s="451">
        <v>0</v>
      </c>
      <c r="DV231" s="451">
        <v>0</v>
      </c>
      <c r="DW231" s="451">
        <v>0</v>
      </c>
      <c r="DX231" s="451">
        <v>6732</v>
      </c>
      <c r="DY231" s="451">
        <v>0</v>
      </c>
      <c r="DZ231" s="451">
        <v>0</v>
      </c>
      <c r="EA231" s="451">
        <v>6732</v>
      </c>
      <c r="EB231" s="451">
        <v>115558</v>
      </c>
      <c r="EC231" s="451">
        <v>0</v>
      </c>
      <c r="ED231" s="451">
        <v>0</v>
      </c>
      <c r="EE231" s="451">
        <v>115558</v>
      </c>
      <c r="EF231" s="451">
        <v>2267</v>
      </c>
      <c r="EG231" s="451">
        <v>0</v>
      </c>
      <c r="EH231" s="451">
        <v>0</v>
      </c>
      <c r="EI231" s="451">
        <v>2267</v>
      </c>
      <c r="EJ231" s="451">
        <v>1879</v>
      </c>
      <c r="EK231" s="451">
        <v>0</v>
      </c>
      <c r="EL231" s="451">
        <v>0</v>
      </c>
      <c r="EM231" s="451">
        <v>1879</v>
      </c>
    </row>
    <row r="232" spans="1:143" ht="12.75" x14ac:dyDescent="0.2">
      <c r="A232" s="446">
        <v>226</v>
      </c>
      <c r="B232" s="447" t="s">
        <v>335</v>
      </c>
      <c r="C232" s="448" t="s">
        <v>1093</v>
      </c>
      <c r="D232" s="449" t="s">
        <v>1102</v>
      </c>
      <c r="E232" s="450" t="s">
        <v>334</v>
      </c>
      <c r="F232" s="451">
        <v>286899</v>
      </c>
      <c r="G232" s="451">
        <v>0</v>
      </c>
      <c r="H232" s="451">
        <v>0</v>
      </c>
      <c r="I232" s="451">
        <v>286899</v>
      </c>
      <c r="J232" s="451">
        <v>-134597</v>
      </c>
      <c r="K232" s="451">
        <v>0</v>
      </c>
      <c r="L232" s="451">
        <v>0</v>
      </c>
      <c r="M232" s="451">
        <v>-134597</v>
      </c>
      <c r="N232" s="451">
        <v>124683</v>
      </c>
      <c r="O232" s="451">
        <v>0</v>
      </c>
      <c r="P232" s="451">
        <v>0</v>
      </c>
      <c r="Q232" s="451">
        <v>124683</v>
      </c>
      <c r="R232" s="451">
        <v>84974</v>
      </c>
      <c r="S232" s="451">
        <v>0</v>
      </c>
      <c r="T232" s="451">
        <v>0</v>
      </c>
      <c r="U232" s="451">
        <v>84974</v>
      </c>
      <c r="V232" s="451">
        <v>2572592</v>
      </c>
      <c r="W232" s="451">
        <v>0</v>
      </c>
      <c r="X232" s="451">
        <v>0</v>
      </c>
      <c r="Y232" s="451">
        <v>2572592</v>
      </c>
      <c r="Z232" s="451">
        <v>94039</v>
      </c>
      <c r="AA232" s="451">
        <v>0</v>
      </c>
      <c r="AB232" s="451">
        <v>0</v>
      </c>
      <c r="AC232" s="451">
        <v>94039</v>
      </c>
      <c r="AD232" s="451">
        <v>680532</v>
      </c>
      <c r="AE232" s="451">
        <v>0</v>
      </c>
      <c r="AF232" s="451">
        <v>0</v>
      </c>
      <c r="AG232" s="451">
        <v>680532</v>
      </c>
      <c r="AH232" s="451">
        <v>-20477</v>
      </c>
      <c r="AI232" s="451">
        <v>0</v>
      </c>
      <c r="AJ232" s="451">
        <v>0</v>
      </c>
      <c r="AK232" s="451">
        <v>-20477</v>
      </c>
      <c r="AL232" s="451">
        <v>2011211</v>
      </c>
      <c r="AM232" s="451">
        <v>0</v>
      </c>
      <c r="AN232" s="451">
        <v>0</v>
      </c>
      <c r="AO232" s="451">
        <v>2011211</v>
      </c>
      <c r="AP232" s="451">
        <v>21362</v>
      </c>
      <c r="AQ232" s="451">
        <v>0</v>
      </c>
      <c r="AR232" s="451">
        <v>0</v>
      </c>
      <c r="AS232" s="451">
        <v>21362</v>
      </c>
      <c r="AT232" s="451">
        <v>26999</v>
      </c>
      <c r="AU232" s="451">
        <v>0</v>
      </c>
      <c r="AV232" s="451">
        <v>0</v>
      </c>
      <c r="AW232" s="451">
        <v>26999</v>
      </c>
      <c r="AX232" s="451">
        <v>0</v>
      </c>
      <c r="AY232" s="451">
        <v>0</v>
      </c>
      <c r="AZ232" s="451">
        <v>0</v>
      </c>
      <c r="BA232" s="451">
        <v>0</v>
      </c>
      <c r="BB232" s="451">
        <v>76166</v>
      </c>
      <c r="BC232" s="451">
        <v>0</v>
      </c>
      <c r="BD232" s="451">
        <v>0</v>
      </c>
      <c r="BE232" s="451">
        <v>76166</v>
      </c>
      <c r="BF232" s="451">
        <v>14821</v>
      </c>
      <c r="BG232" s="451">
        <v>0</v>
      </c>
      <c r="BH232" s="451">
        <v>0</v>
      </c>
      <c r="BI232" s="451">
        <v>14821</v>
      </c>
      <c r="BJ232" s="451">
        <v>5019</v>
      </c>
      <c r="BK232" s="451">
        <v>0</v>
      </c>
      <c r="BL232" s="451">
        <v>0</v>
      </c>
      <c r="BM232" s="451">
        <v>5019</v>
      </c>
      <c r="BN232" s="451">
        <v>-33664</v>
      </c>
      <c r="BO232" s="451">
        <v>0</v>
      </c>
      <c r="BP232" s="451">
        <v>0</v>
      </c>
      <c r="BQ232" s="451">
        <v>-33664</v>
      </c>
      <c r="BR232" s="451">
        <v>1403551</v>
      </c>
      <c r="BS232" s="451">
        <v>0</v>
      </c>
      <c r="BT232" s="451">
        <v>0</v>
      </c>
      <c r="BU232" s="451">
        <v>1403551</v>
      </c>
      <c r="BV232" s="451">
        <v>12926</v>
      </c>
      <c r="BW232" s="451">
        <v>0</v>
      </c>
      <c r="BX232" s="451">
        <v>0</v>
      </c>
      <c r="BY232" s="451">
        <v>12926</v>
      </c>
      <c r="BZ232" s="451">
        <v>67674</v>
      </c>
      <c r="CA232" s="451">
        <v>0</v>
      </c>
      <c r="CB232" s="451">
        <v>0</v>
      </c>
      <c r="CC232" s="451">
        <v>67674</v>
      </c>
      <c r="CD232" s="451">
        <v>899</v>
      </c>
      <c r="CE232" s="451">
        <v>0</v>
      </c>
      <c r="CF232" s="451">
        <v>0</v>
      </c>
      <c r="CG232" s="451">
        <v>899</v>
      </c>
      <c r="CH232" s="451">
        <v>15513</v>
      </c>
      <c r="CI232" s="451">
        <v>0</v>
      </c>
      <c r="CJ232" s="451">
        <v>0</v>
      </c>
      <c r="CK232" s="451">
        <v>15513</v>
      </c>
      <c r="CL232" s="451">
        <v>13</v>
      </c>
      <c r="CM232" s="451">
        <v>0</v>
      </c>
      <c r="CN232" s="451">
        <v>0</v>
      </c>
      <c r="CO232" s="451">
        <v>13</v>
      </c>
      <c r="CP232" s="451">
        <v>0</v>
      </c>
      <c r="CQ232" s="451">
        <v>0</v>
      </c>
      <c r="CR232" s="451">
        <v>0</v>
      </c>
      <c r="CS232" s="451">
        <v>0</v>
      </c>
      <c r="CT232" s="451">
        <v>0</v>
      </c>
      <c r="CU232" s="451">
        <v>0</v>
      </c>
      <c r="CV232" s="451">
        <v>0</v>
      </c>
      <c r="CW232" s="451">
        <v>0</v>
      </c>
      <c r="CX232" s="451">
        <v>39051</v>
      </c>
      <c r="CY232" s="451">
        <v>0</v>
      </c>
      <c r="CZ232" s="451">
        <v>0</v>
      </c>
      <c r="DA232" s="451">
        <v>39051</v>
      </c>
      <c r="DB232" s="451">
        <v>1760</v>
      </c>
      <c r="DC232" s="451">
        <v>0</v>
      </c>
      <c r="DD232" s="451">
        <v>0</v>
      </c>
      <c r="DE232" s="451">
        <v>1760</v>
      </c>
      <c r="DF232" s="451">
        <v>351</v>
      </c>
      <c r="DG232" s="451">
        <v>0</v>
      </c>
      <c r="DH232" s="451">
        <v>0</v>
      </c>
      <c r="DI232" s="451">
        <v>351</v>
      </c>
      <c r="DJ232" s="451">
        <v>0</v>
      </c>
      <c r="DK232" s="451">
        <v>0</v>
      </c>
      <c r="DL232" s="451">
        <v>0</v>
      </c>
      <c r="DM232" s="451">
        <v>0</v>
      </c>
      <c r="DN232" s="451">
        <v>0</v>
      </c>
      <c r="DO232" s="451">
        <v>0</v>
      </c>
      <c r="DP232" s="451">
        <v>0</v>
      </c>
      <c r="DQ232" s="451">
        <v>0</v>
      </c>
      <c r="DR232" s="451">
        <v>0</v>
      </c>
      <c r="DS232" s="451">
        <v>0</v>
      </c>
      <c r="DT232" s="451">
        <v>0</v>
      </c>
      <c r="DU232" s="451">
        <v>0</v>
      </c>
      <c r="DV232" s="451">
        <v>0</v>
      </c>
      <c r="DW232" s="451">
        <v>0</v>
      </c>
      <c r="DX232" s="451">
        <v>8129</v>
      </c>
      <c r="DY232" s="451">
        <v>0</v>
      </c>
      <c r="DZ232" s="451">
        <v>0</v>
      </c>
      <c r="EA232" s="451">
        <v>8129</v>
      </c>
      <c r="EB232" s="451">
        <v>628</v>
      </c>
      <c r="EC232" s="451">
        <v>0</v>
      </c>
      <c r="ED232" s="451">
        <v>0</v>
      </c>
      <c r="EE232" s="451">
        <v>628</v>
      </c>
      <c r="EF232" s="451">
        <v>10518</v>
      </c>
      <c r="EG232" s="451">
        <v>0</v>
      </c>
      <c r="EH232" s="451">
        <v>0</v>
      </c>
      <c r="EI232" s="451">
        <v>10518</v>
      </c>
      <c r="EJ232" s="451">
        <v>-829</v>
      </c>
      <c r="EK232" s="451">
        <v>0</v>
      </c>
      <c r="EL232" s="451">
        <v>0</v>
      </c>
      <c r="EM232" s="451">
        <v>-829</v>
      </c>
    </row>
    <row r="233" spans="1:143" ht="12.75" x14ac:dyDescent="0.2">
      <c r="A233" s="446">
        <v>227</v>
      </c>
      <c r="B233" s="447" t="s">
        <v>337</v>
      </c>
      <c r="C233" s="448" t="s">
        <v>1100</v>
      </c>
      <c r="D233" s="449" t="s">
        <v>1095</v>
      </c>
      <c r="E233" s="450" t="s">
        <v>336</v>
      </c>
      <c r="F233" s="451">
        <v>130839</v>
      </c>
      <c r="G233" s="451">
        <v>0</v>
      </c>
      <c r="H233" s="451">
        <v>0</v>
      </c>
      <c r="I233" s="451">
        <v>130839</v>
      </c>
      <c r="J233" s="451">
        <v>-138965</v>
      </c>
      <c r="K233" s="451">
        <v>0</v>
      </c>
      <c r="L233" s="451">
        <v>0</v>
      </c>
      <c r="M233" s="451">
        <v>-138965</v>
      </c>
      <c r="N233" s="451">
        <v>107083</v>
      </c>
      <c r="O233" s="451">
        <v>0</v>
      </c>
      <c r="P233" s="451">
        <v>0</v>
      </c>
      <c r="Q233" s="451">
        <v>107083</v>
      </c>
      <c r="R233" s="451">
        <v>-2072099</v>
      </c>
      <c r="S233" s="451">
        <v>0</v>
      </c>
      <c r="T233" s="451">
        <v>0</v>
      </c>
      <c r="U233" s="451">
        <v>-2072099</v>
      </c>
      <c r="V233" s="451">
        <v>5299835</v>
      </c>
      <c r="W233" s="451">
        <v>0</v>
      </c>
      <c r="X233" s="451">
        <v>0</v>
      </c>
      <c r="Y233" s="451">
        <v>5299835</v>
      </c>
      <c r="Z233" s="451">
        <v>193385</v>
      </c>
      <c r="AA233" s="451">
        <v>0</v>
      </c>
      <c r="AB233" s="451">
        <v>0</v>
      </c>
      <c r="AC233" s="451">
        <v>193385</v>
      </c>
      <c r="AD233" s="451">
        <v>1344099</v>
      </c>
      <c r="AE233" s="451">
        <v>0</v>
      </c>
      <c r="AF233" s="451">
        <v>0</v>
      </c>
      <c r="AG233" s="451">
        <v>1344099</v>
      </c>
      <c r="AH233" s="451">
        <v>84294</v>
      </c>
      <c r="AI233" s="451">
        <v>0</v>
      </c>
      <c r="AJ233" s="451">
        <v>0</v>
      </c>
      <c r="AK233" s="451">
        <v>84294</v>
      </c>
      <c r="AL233" s="451">
        <v>4343258</v>
      </c>
      <c r="AM233" s="451">
        <v>0</v>
      </c>
      <c r="AN233" s="451">
        <v>0</v>
      </c>
      <c r="AO233" s="451">
        <v>4343258</v>
      </c>
      <c r="AP233" s="451">
        <v>-479380</v>
      </c>
      <c r="AQ233" s="451">
        <v>0</v>
      </c>
      <c r="AR233" s="451">
        <v>0</v>
      </c>
      <c r="AS233" s="451">
        <v>-479380</v>
      </c>
      <c r="AT233" s="451">
        <v>36924</v>
      </c>
      <c r="AU233" s="451">
        <v>0</v>
      </c>
      <c r="AV233" s="451">
        <v>0</v>
      </c>
      <c r="AW233" s="451">
        <v>36924</v>
      </c>
      <c r="AX233" s="451">
        <v>-1462</v>
      </c>
      <c r="AY233" s="451">
        <v>0</v>
      </c>
      <c r="AZ233" s="451">
        <v>0</v>
      </c>
      <c r="BA233" s="451">
        <v>-1462</v>
      </c>
      <c r="BB233" s="451">
        <v>1732</v>
      </c>
      <c r="BC233" s="451">
        <v>0</v>
      </c>
      <c r="BD233" s="451">
        <v>0</v>
      </c>
      <c r="BE233" s="451">
        <v>1732</v>
      </c>
      <c r="BF233" s="451">
        <v>0</v>
      </c>
      <c r="BG233" s="451">
        <v>0</v>
      </c>
      <c r="BH233" s="451">
        <v>0</v>
      </c>
      <c r="BI233" s="451">
        <v>0</v>
      </c>
      <c r="BJ233" s="451">
        <v>0</v>
      </c>
      <c r="BK233" s="451">
        <v>0</v>
      </c>
      <c r="BL233" s="451">
        <v>0</v>
      </c>
      <c r="BM233" s="451">
        <v>0</v>
      </c>
      <c r="BN233" s="451">
        <v>-3204</v>
      </c>
      <c r="BO233" s="451">
        <v>0</v>
      </c>
      <c r="BP233" s="451">
        <v>0</v>
      </c>
      <c r="BQ233" s="451">
        <v>-3204</v>
      </c>
      <c r="BR233" s="451">
        <v>4383634</v>
      </c>
      <c r="BS233" s="451">
        <v>0</v>
      </c>
      <c r="BT233" s="451">
        <v>0</v>
      </c>
      <c r="BU233" s="451">
        <v>4383634</v>
      </c>
      <c r="BV233" s="451">
        <v>-560365</v>
      </c>
      <c r="BW233" s="451">
        <v>0</v>
      </c>
      <c r="BX233" s="451">
        <v>0</v>
      </c>
      <c r="BY233" s="451">
        <v>-560365</v>
      </c>
      <c r="BZ233" s="451">
        <v>234792</v>
      </c>
      <c r="CA233" s="451">
        <v>0</v>
      </c>
      <c r="CB233" s="451">
        <v>0</v>
      </c>
      <c r="CC233" s="451">
        <v>234792</v>
      </c>
      <c r="CD233" s="451">
        <v>334</v>
      </c>
      <c r="CE233" s="451">
        <v>0</v>
      </c>
      <c r="CF233" s="451">
        <v>0</v>
      </c>
      <c r="CG233" s="451">
        <v>334</v>
      </c>
      <c r="CH233" s="451">
        <v>54876</v>
      </c>
      <c r="CI233" s="451">
        <v>0</v>
      </c>
      <c r="CJ233" s="451">
        <v>0</v>
      </c>
      <c r="CK233" s="451">
        <v>54876</v>
      </c>
      <c r="CL233" s="451">
        <v>0</v>
      </c>
      <c r="CM233" s="451">
        <v>0</v>
      </c>
      <c r="CN233" s="451">
        <v>0</v>
      </c>
      <c r="CO233" s="451">
        <v>0</v>
      </c>
      <c r="CP233" s="451">
        <v>0</v>
      </c>
      <c r="CQ233" s="451">
        <v>0</v>
      </c>
      <c r="CR233" s="451">
        <v>0</v>
      </c>
      <c r="CS233" s="451">
        <v>0</v>
      </c>
      <c r="CT233" s="451">
        <v>0</v>
      </c>
      <c r="CU233" s="451">
        <v>0</v>
      </c>
      <c r="CV233" s="451">
        <v>0</v>
      </c>
      <c r="CW233" s="451">
        <v>0</v>
      </c>
      <c r="CX233" s="451">
        <v>0</v>
      </c>
      <c r="CY233" s="451">
        <v>0</v>
      </c>
      <c r="CZ233" s="451">
        <v>0</v>
      </c>
      <c r="DA233" s="451">
        <v>0</v>
      </c>
      <c r="DB233" s="451">
        <v>0</v>
      </c>
      <c r="DC233" s="451">
        <v>0</v>
      </c>
      <c r="DD233" s="451">
        <v>0</v>
      </c>
      <c r="DE233" s="451">
        <v>0</v>
      </c>
      <c r="DF233" s="451">
        <v>0</v>
      </c>
      <c r="DG233" s="451">
        <v>0</v>
      </c>
      <c r="DH233" s="451">
        <v>0</v>
      </c>
      <c r="DI233" s="451">
        <v>0</v>
      </c>
      <c r="DJ233" s="451">
        <v>0</v>
      </c>
      <c r="DK233" s="451">
        <v>0</v>
      </c>
      <c r="DL233" s="451">
        <v>0</v>
      </c>
      <c r="DM233" s="451">
        <v>0</v>
      </c>
      <c r="DN233" s="451">
        <v>0</v>
      </c>
      <c r="DO233" s="451">
        <v>0</v>
      </c>
      <c r="DP233" s="451">
        <v>0</v>
      </c>
      <c r="DQ233" s="451">
        <v>0</v>
      </c>
      <c r="DR233" s="451">
        <v>0</v>
      </c>
      <c r="DS233" s="451">
        <v>0</v>
      </c>
      <c r="DT233" s="451">
        <v>0</v>
      </c>
      <c r="DU233" s="451">
        <v>0</v>
      </c>
      <c r="DV233" s="451">
        <v>0</v>
      </c>
      <c r="DW233" s="451">
        <v>0</v>
      </c>
      <c r="DX233" s="451">
        <v>0</v>
      </c>
      <c r="DY233" s="451">
        <v>0</v>
      </c>
      <c r="DZ233" s="451">
        <v>0</v>
      </c>
      <c r="EA233" s="451">
        <v>0</v>
      </c>
      <c r="EB233" s="451">
        <v>0</v>
      </c>
      <c r="EC233" s="451">
        <v>0</v>
      </c>
      <c r="ED233" s="451">
        <v>0</v>
      </c>
      <c r="EE233" s="451">
        <v>0</v>
      </c>
      <c r="EF233" s="451">
        <v>1423</v>
      </c>
      <c r="EG233" s="451">
        <v>0</v>
      </c>
      <c r="EH233" s="451">
        <v>0</v>
      </c>
      <c r="EI233" s="451">
        <v>1423</v>
      </c>
      <c r="EJ233" s="451">
        <v>0</v>
      </c>
      <c r="EK233" s="451">
        <v>0</v>
      </c>
      <c r="EL233" s="451">
        <v>0</v>
      </c>
      <c r="EM233" s="451">
        <v>0</v>
      </c>
    </row>
    <row r="234" spans="1:143" ht="12.75" x14ac:dyDescent="0.2">
      <c r="A234" s="446">
        <v>228</v>
      </c>
      <c r="B234" s="447" t="s">
        <v>339</v>
      </c>
      <c r="C234" s="448" t="s">
        <v>1093</v>
      </c>
      <c r="D234" s="449" t="s">
        <v>1101</v>
      </c>
      <c r="E234" s="450" t="s">
        <v>338</v>
      </c>
      <c r="F234" s="451">
        <v>420381</v>
      </c>
      <c r="G234" s="451">
        <v>0</v>
      </c>
      <c r="H234" s="451">
        <v>0</v>
      </c>
      <c r="I234" s="451">
        <v>420381</v>
      </c>
      <c r="J234" s="451">
        <v>-4401599</v>
      </c>
      <c r="K234" s="451">
        <v>0</v>
      </c>
      <c r="L234" s="451">
        <v>0</v>
      </c>
      <c r="M234" s="451">
        <v>-4401599</v>
      </c>
      <c r="N234" s="451">
        <v>35292</v>
      </c>
      <c r="O234" s="451">
        <v>0</v>
      </c>
      <c r="P234" s="451">
        <v>0</v>
      </c>
      <c r="Q234" s="451">
        <v>35292</v>
      </c>
      <c r="R234" s="451">
        <v>179956</v>
      </c>
      <c r="S234" s="451">
        <v>0</v>
      </c>
      <c r="T234" s="451">
        <v>0</v>
      </c>
      <c r="U234" s="451">
        <v>179956</v>
      </c>
      <c r="V234" s="451">
        <v>1516300</v>
      </c>
      <c r="W234" s="451">
        <v>0</v>
      </c>
      <c r="X234" s="451">
        <v>0</v>
      </c>
      <c r="Y234" s="451">
        <v>1516300</v>
      </c>
      <c r="Z234" s="451">
        <v>68061</v>
      </c>
      <c r="AA234" s="451">
        <v>0</v>
      </c>
      <c r="AB234" s="451">
        <v>0</v>
      </c>
      <c r="AC234" s="451">
        <v>68061</v>
      </c>
      <c r="AD234" s="451">
        <v>796372</v>
      </c>
      <c r="AE234" s="451">
        <v>0</v>
      </c>
      <c r="AF234" s="451">
        <v>0</v>
      </c>
      <c r="AG234" s="451">
        <v>796372</v>
      </c>
      <c r="AH234" s="451">
        <v>-79565</v>
      </c>
      <c r="AI234" s="451">
        <v>0</v>
      </c>
      <c r="AJ234" s="451">
        <v>0</v>
      </c>
      <c r="AK234" s="451">
        <v>-79565</v>
      </c>
      <c r="AL234" s="451">
        <v>890497</v>
      </c>
      <c r="AM234" s="451">
        <v>0</v>
      </c>
      <c r="AN234" s="451">
        <v>0</v>
      </c>
      <c r="AO234" s="451">
        <v>890497</v>
      </c>
      <c r="AP234" s="451">
        <v>-6292</v>
      </c>
      <c r="AQ234" s="451">
        <v>0</v>
      </c>
      <c r="AR234" s="451">
        <v>0</v>
      </c>
      <c r="AS234" s="451">
        <v>-6292</v>
      </c>
      <c r="AT234" s="451">
        <v>47852</v>
      </c>
      <c r="AU234" s="451">
        <v>0</v>
      </c>
      <c r="AV234" s="451">
        <v>0</v>
      </c>
      <c r="AW234" s="451">
        <v>47852</v>
      </c>
      <c r="AX234" s="451">
        <v>0</v>
      </c>
      <c r="AY234" s="451">
        <v>0</v>
      </c>
      <c r="AZ234" s="451">
        <v>0</v>
      </c>
      <c r="BA234" s="451">
        <v>0</v>
      </c>
      <c r="BB234" s="451">
        <v>30703</v>
      </c>
      <c r="BC234" s="451">
        <v>0</v>
      </c>
      <c r="BD234" s="451">
        <v>0</v>
      </c>
      <c r="BE234" s="451">
        <v>30703</v>
      </c>
      <c r="BF234" s="451">
        <v>0</v>
      </c>
      <c r="BG234" s="451">
        <v>0</v>
      </c>
      <c r="BH234" s="451">
        <v>0</v>
      </c>
      <c r="BI234" s="451">
        <v>0</v>
      </c>
      <c r="BJ234" s="451">
        <v>126480</v>
      </c>
      <c r="BK234" s="451">
        <v>0</v>
      </c>
      <c r="BL234" s="451">
        <v>0</v>
      </c>
      <c r="BM234" s="451">
        <v>126480</v>
      </c>
      <c r="BN234" s="451">
        <v>93898</v>
      </c>
      <c r="BO234" s="451">
        <v>0</v>
      </c>
      <c r="BP234" s="451">
        <v>0</v>
      </c>
      <c r="BQ234" s="451">
        <v>93898</v>
      </c>
      <c r="BR234" s="451">
        <v>776562</v>
      </c>
      <c r="BS234" s="451">
        <v>0</v>
      </c>
      <c r="BT234" s="451">
        <v>0</v>
      </c>
      <c r="BU234" s="451">
        <v>776562</v>
      </c>
      <c r="BV234" s="451">
        <v>-463871</v>
      </c>
      <c r="BW234" s="451">
        <v>0</v>
      </c>
      <c r="BX234" s="451">
        <v>0</v>
      </c>
      <c r="BY234" s="451">
        <v>-463871</v>
      </c>
      <c r="BZ234" s="451">
        <v>46898</v>
      </c>
      <c r="CA234" s="451">
        <v>0</v>
      </c>
      <c r="CB234" s="451">
        <v>0</v>
      </c>
      <c r="CC234" s="451">
        <v>46898</v>
      </c>
      <c r="CD234" s="451">
        <v>-1218</v>
      </c>
      <c r="CE234" s="451">
        <v>0</v>
      </c>
      <c r="CF234" s="451">
        <v>0</v>
      </c>
      <c r="CG234" s="451">
        <v>-1218</v>
      </c>
      <c r="CH234" s="451">
        <v>9033</v>
      </c>
      <c r="CI234" s="451">
        <v>0</v>
      </c>
      <c r="CJ234" s="451">
        <v>0</v>
      </c>
      <c r="CK234" s="451">
        <v>9033</v>
      </c>
      <c r="CL234" s="451">
        <v>-2394</v>
      </c>
      <c r="CM234" s="451">
        <v>0</v>
      </c>
      <c r="CN234" s="451">
        <v>0</v>
      </c>
      <c r="CO234" s="451">
        <v>-2394</v>
      </c>
      <c r="CP234" s="451">
        <v>1048</v>
      </c>
      <c r="CQ234" s="451">
        <v>0</v>
      </c>
      <c r="CR234" s="451">
        <v>0</v>
      </c>
      <c r="CS234" s="451">
        <v>1048</v>
      </c>
      <c r="CT234" s="451">
        <v>0</v>
      </c>
      <c r="CU234" s="451">
        <v>0</v>
      </c>
      <c r="CV234" s="451">
        <v>0</v>
      </c>
      <c r="CW234" s="451">
        <v>0</v>
      </c>
      <c r="CX234" s="451">
        <v>14184</v>
      </c>
      <c r="CY234" s="451">
        <v>0</v>
      </c>
      <c r="CZ234" s="451">
        <v>0</v>
      </c>
      <c r="DA234" s="451">
        <v>14184</v>
      </c>
      <c r="DB234" s="451">
        <v>0</v>
      </c>
      <c r="DC234" s="451">
        <v>0</v>
      </c>
      <c r="DD234" s="451">
        <v>0</v>
      </c>
      <c r="DE234" s="451">
        <v>0</v>
      </c>
      <c r="DF234" s="451">
        <v>3415</v>
      </c>
      <c r="DG234" s="451">
        <v>0</v>
      </c>
      <c r="DH234" s="451">
        <v>0</v>
      </c>
      <c r="DI234" s="451">
        <v>3415</v>
      </c>
      <c r="DJ234" s="451">
        <v>0</v>
      </c>
      <c r="DK234" s="451">
        <v>0</v>
      </c>
      <c r="DL234" s="451">
        <v>0</v>
      </c>
      <c r="DM234" s="451">
        <v>0</v>
      </c>
      <c r="DN234" s="451">
        <v>14079</v>
      </c>
      <c r="DO234" s="451">
        <v>0</v>
      </c>
      <c r="DP234" s="451">
        <v>0</v>
      </c>
      <c r="DQ234" s="451">
        <v>14079</v>
      </c>
      <c r="DR234" s="451">
        <v>0</v>
      </c>
      <c r="DS234" s="451">
        <v>0</v>
      </c>
      <c r="DT234" s="451">
        <v>0</v>
      </c>
      <c r="DU234" s="451">
        <v>0</v>
      </c>
      <c r="DV234" s="451">
        <v>0</v>
      </c>
      <c r="DW234" s="451">
        <v>0</v>
      </c>
      <c r="DX234" s="451">
        <v>0</v>
      </c>
      <c r="DY234" s="451">
        <v>0</v>
      </c>
      <c r="DZ234" s="451">
        <v>0</v>
      </c>
      <c r="EA234" s="451">
        <v>0</v>
      </c>
      <c r="EB234" s="451">
        <v>0</v>
      </c>
      <c r="EC234" s="451">
        <v>0</v>
      </c>
      <c r="ED234" s="451">
        <v>0</v>
      </c>
      <c r="EE234" s="451">
        <v>0</v>
      </c>
      <c r="EF234" s="451">
        <v>0</v>
      </c>
      <c r="EG234" s="451">
        <v>0</v>
      </c>
      <c r="EH234" s="451">
        <v>0</v>
      </c>
      <c r="EI234" s="451">
        <v>0</v>
      </c>
      <c r="EJ234" s="451">
        <v>0</v>
      </c>
      <c r="EK234" s="451">
        <v>0</v>
      </c>
      <c r="EL234" s="451">
        <v>0</v>
      </c>
      <c r="EM234" s="451">
        <v>0</v>
      </c>
    </row>
    <row r="235" spans="1:143" ht="12.75" x14ac:dyDescent="0.2">
      <c r="A235" s="446">
        <v>229</v>
      </c>
      <c r="B235" s="447" t="s">
        <v>341</v>
      </c>
      <c r="C235" s="448" t="s">
        <v>1093</v>
      </c>
      <c r="D235" s="449" t="s">
        <v>1094</v>
      </c>
      <c r="E235" s="450" t="s">
        <v>340</v>
      </c>
      <c r="F235" s="451">
        <v>118774</v>
      </c>
      <c r="G235" s="451">
        <v>0</v>
      </c>
      <c r="H235" s="451">
        <v>0</v>
      </c>
      <c r="I235" s="451">
        <v>118774</v>
      </c>
      <c r="J235" s="451">
        <v>-102825</v>
      </c>
      <c r="K235" s="451">
        <v>0</v>
      </c>
      <c r="L235" s="451">
        <v>0</v>
      </c>
      <c r="M235" s="451">
        <v>-102825</v>
      </c>
      <c r="N235" s="451">
        <v>6879</v>
      </c>
      <c r="O235" s="451">
        <v>0</v>
      </c>
      <c r="P235" s="451">
        <v>0</v>
      </c>
      <c r="Q235" s="451">
        <v>6879</v>
      </c>
      <c r="R235" s="451">
        <v>62234</v>
      </c>
      <c r="S235" s="451">
        <v>0</v>
      </c>
      <c r="T235" s="451">
        <v>0</v>
      </c>
      <c r="U235" s="451">
        <v>62234</v>
      </c>
      <c r="V235" s="451">
        <v>2213054</v>
      </c>
      <c r="W235" s="451">
        <v>0</v>
      </c>
      <c r="X235" s="451">
        <v>0</v>
      </c>
      <c r="Y235" s="451">
        <v>2213054</v>
      </c>
      <c r="Z235" s="451">
        <v>93167</v>
      </c>
      <c r="AA235" s="451">
        <v>0</v>
      </c>
      <c r="AB235" s="451">
        <v>0</v>
      </c>
      <c r="AC235" s="451">
        <v>93167</v>
      </c>
      <c r="AD235" s="451">
        <v>653927</v>
      </c>
      <c r="AE235" s="451">
        <v>0</v>
      </c>
      <c r="AF235" s="451">
        <v>0</v>
      </c>
      <c r="AG235" s="451">
        <v>653927</v>
      </c>
      <c r="AH235" s="451">
        <v>-11930</v>
      </c>
      <c r="AI235" s="451">
        <v>0</v>
      </c>
      <c r="AJ235" s="451">
        <v>0</v>
      </c>
      <c r="AK235" s="451">
        <v>-11930</v>
      </c>
      <c r="AL235" s="451">
        <v>2456805</v>
      </c>
      <c r="AM235" s="451">
        <v>0</v>
      </c>
      <c r="AN235" s="451">
        <v>0</v>
      </c>
      <c r="AO235" s="451">
        <v>2456805</v>
      </c>
      <c r="AP235" s="451">
        <v>2838</v>
      </c>
      <c r="AQ235" s="451">
        <v>0</v>
      </c>
      <c r="AR235" s="451">
        <v>0</v>
      </c>
      <c r="AS235" s="451">
        <v>2838</v>
      </c>
      <c r="AT235" s="451">
        <v>84889</v>
      </c>
      <c r="AU235" s="451">
        <v>0</v>
      </c>
      <c r="AV235" s="451">
        <v>0</v>
      </c>
      <c r="AW235" s="451">
        <v>84889</v>
      </c>
      <c r="AX235" s="451">
        <v>3847</v>
      </c>
      <c r="AY235" s="451">
        <v>0</v>
      </c>
      <c r="AZ235" s="451">
        <v>0</v>
      </c>
      <c r="BA235" s="451">
        <v>3847</v>
      </c>
      <c r="BB235" s="451">
        <v>14545</v>
      </c>
      <c r="BC235" s="451">
        <v>0</v>
      </c>
      <c r="BD235" s="451">
        <v>0</v>
      </c>
      <c r="BE235" s="451">
        <v>14545</v>
      </c>
      <c r="BF235" s="451">
        <v>0</v>
      </c>
      <c r="BG235" s="451">
        <v>0</v>
      </c>
      <c r="BH235" s="451">
        <v>0</v>
      </c>
      <c r="BI235" s="451">
        <v>0</v>
      </c>
      <c r="BJ235" s="451">
        <v>51043</v>
      </c>
      <c r="BK235" s="451">
        <v>0</v>
      </c>
      <c r="BL235" s="451">
        <v>0</v>
      </c>
      <c r="BM235" s="451">
        <v>51043</v>
      </c>
      <c r="BN235" s="451">
        <v>5471</v>
      </c>
      <c r="BO235" s="451">
        <v>0</v>
      </c>
      <c r="BP235" s="451">
        <v>0</v>
      </c>
      <c r="BQ235" s="451">
        <v>5471</v>
      </c>
      <c r="BR235" s="451">
        <v>1212601</v>
      </c>
      <c r="BS235" s="451">
        <v>0</v>
      </c>
      <c r="BT235" s="451">
        <v>0</v>
      </c>
      <c r="BU235" s="451">
        <v>1212601</v>
      </c>
      <c r="BV235" s="451">
        <v>-4956</v>
      </c>
      <c r="BW235" s="451">
        <v>0</v>
      </c>
      <c r="BX235" s="451">
        <v>0</v>
      </c>
      <c r="BY235" s="451">
        <v>-4956</v>
      </c>
      <c r="BZ235" s="451">
        <v>119371</v>
      </c>
      <c r="CA235" s="451">
        <v>0</v>
      </c>
      <c r="CB235" s="451">
        <v>0</v>
      </c>
      <c r="CC235" s="451">
        <v>119371</v>
      </c>
      <c r="CD235" s="451">
        <v>-68</v>
      </c>
      <c r="CE235" s="451">
        <v>0</v>
      </c>
      <c r="CF235" s="451">
        <v>0</v>
      </c>
      <c r="CG235" s="451">
        <v>-68</v>
      </c>
      <c r="CH235" s="451">
        <v>29739</v>
      </c>
      <c r="CI235" s="451">
        <v>0</v>
      </c>
      <c r="CJ235" s="451">
        <v>0</v>
      </c>
      <c r="CK235" s="451">
        <v>29739</v>
      </c>
      <c r="CL235" s="451">
        <v>-5811</v>
      </c>
      <c r="CM235" s="451">
        <v>0</v>
      </c>
      <c r="CN235" s="451">
        <v>0</v>
      </c>
      <c r="CO235" s="451">
        <v>-5811</v>
      </c>
      <c r="CP235" s="451">
        <v>0</v>
      </c>
      <c r="CQ235" s="451">
        <v>0</v>
      </c>
      <c r="CR235" s="451">
        <v>0</v>
      </c>
      <c r="CS235" s="451">
        <v>0</v>
      </c>
      <c r="CT235" s="451">
        <v>0</v>
      </c>
      <c r="CU235" s="451">
        <v>0</v>
      </c>
      <c r="CV235" s="451">
        <v>0</v>
      </c>
      <c r="CW235" s="451">
        <v>0</v>
      </c>
      <c r="CX235" s="451">
        <v>0</v>
      </c>
      <c r="CY235" s="451">
        <v>0</v>
      </c>
      <c r="CZ235" s="451">
        <v>0</v>
      </c>
      <c r="DA235" s="451">
        <v>0</v>
      </c>
      <c r="DB235" s="451">
        <v>0</v>
      </c>
      <c r="DC235" s="451">
        <v>0</v>
      </c>
      <c r="DD235" s="451">
        <v>0</v>
      </c>
      <c r="DE235" s="451">
        <v>0</v>
      </c>
      <c r="DF235" s="451">
        <v>7519</v>
      </c>
      <c r="DG235" s="451">
        <v>0</v>
      </c>
      <c r="DH235" s="451">
        <v>0</v>
      </c>
      <c r="DI235" s="451">
        <v>7519</v>
      </c>
      <c r="DJ235" s="451">
        <v>0</v>
      </c>
      <c r="DK235" s="451">
        <v>0</v>
      </c>
      <c r="DL235" s="451">
        <v>0</v>
      </c>
      <c r="DM235" s="451">
        <v>0</v>
      </c>
      <c r="DN235" s="451">
        <v>0</v>
      </c>
      <c r="DO235" s="451">
        <v>0</v>
      </c>
      <c r="DP235" s="451">
        <v>0</v>
      </c>
      <c r="DQ235" s="451">
        <v>0</v>
      </c>
      <c r="DR235" s="451">
        <v>0</v>
      </c>
      <c r="DS235" s="451">
        <v>0</v>
      </c>
      <c r="DT235" s="451">
        <v>0</v>
      </c>
      <c r="DU235" s="451">
        <v>0</v>
      </c>
      <c r="DV235" s="451">
        <v>0</v>
      </c>
      <c r="DW235" s="451">
        <v>0</v>
      </c>
      <c r="DX235" s="451">
        <v>0</v>
      </c>
      <c r="DY235" s="451">
        <v>0</v>
      </c>
      <c r="DZ235" s="451">
        <v>0</v>
      </c>
      <c r="EA235" s="451">
        <v>0</v>
      </c>
      <c r="EB235" s="451">
        <v>0</v>
      </c>
      <c r="EC235" s="451">
        <v>0</v>
      </c>
      <c r="ED235" s="451">
        <v>0</v>
      </c>
      <c r="EE235" s="451">
        <v>0</v>
      </c>
      <c r="EF235" s="451">
        <v>0</v>
      </c>
      <c r="EG235" s="451">
        <v>0</v>
      </c>
      <c r="EH235" s="451">
        <v>0</v>
      </c>
      <c r="EI235" s="451">
        <v>0</v>
      </c>
      <c r="EJ235" s="451">
        <v>0</v>
      </c>
      <c r="EK235" s="451">
        <v>0</v>
      </c>
      <c r="EL235" s="451">
        <v>0</v>
      </c>
      <c r="EM235" s="451">
        <v>0</v>
      </c>
    </row>
    <row r="236" spans="1:143" ht="12.75" x14ac:dyDescent="0.2">
      <c r="A236" s="446">
        <v>230</v>
      </c>
      <c r="B236" s="447" t="s">
        <v>343</v>
      </c>
      <c r="C236" s="448" t="s">
        <v>1100</v>
      </c>
      <c r="D236" s="449" t="s">
        <v>1101</v>
      </c>
      <c r="E236" s="450" t="s">
        <v>342</v>
      </c>
      <c r="F236" s="451">
        <v>324828</v>
      </c>
      <c r="G236" s="451">
        <v>0</v>
      </c>
      <c r="H236" s="451">
        <v>0</v>
      </c>
      <c r="I236" s="451">
        <v>324828</v>
      </c>
      <c r="J236" s="451">
        <v>-310222</v>
      </c>
      <c r="K236" s="451">
        <v>0</v>
      </c>
      <c r="L236" s="451">
        <v>0</v>
      </c>
      <c r="M236" s="451">
        <v>-310222</v>
      </c>
      <c r="N236" s="451">
        <v>163456</v>
      </c>
      <c r="O236" s="451">
        <v>12981</v>
      </c>
      <c r="P236" s="451">
        <v>0</v>
      </c>
      <c r="Q236" s="451">
        <v>176437</v>
      </c>
      <c r="R236" s="451">
        <v>1197213</v>
      </c>
      <c r="S236" s="451">
        <v>59507</v>
      </c>
      <c r="T236" s="451">
        <v>0</v>
      </c>
      <c r="U236" s="451">
        <v>1256720</v>
      </c>
      <c r="V236" s="451">
        <v>10038752</v>
      </c>
      <c r="W236" s="451">
        <v>26917</v>
      </c>
      <c r="X236" s="451">
        <v>0</v>
      </c>
      <c r="Y236" s="451">
        <v>10065669</v>
      </c>
      <c r="Z236" s="451">
        <v>351106</v>
      </c>
      <c r="AA236" s="451">
        <v>2567</v>
      </c>
      <c r="AB236" s="451">
        <v>0</v>
      </c>
      <c r="AC236" s="451">
        <v>353673</v>
      </c>
      <c r="AD236" s="451">
        <v>4159901</v>
      </c>
      <c r="AE236" s="451">
        <v>0</v>
      </c>
      <c r="AF236" s="451">
        <v>0</v>
      </c>
      <c r="AG236" s="451">
        <v>4159901</v>
      </c>
      <c r="AH236" s="451">
        <v>54641</v>
      </c>
      <c r="AI236" s="451">
        <v>0</v>
      </c>
      <c r="AJ236" s="451">
        <v>0</v>
      </c>
      <c r="AK236" s="451">
        <v>54641</v>
      </c>
      <c r="AL236" s="451">
        <v>16523841</v>
      </c>
      <c r="AM236" s="451">
        <v>30787</v>
      </c>
      <c r="AN236" s="451">
        <v>0</v>
      </c>
      <c r="AO236" s="451">
        <v>16554628</v>
      </c>
      <c r="AP236" s="451">
        <v>83072</v>
      </c>
      <c r="AQ236" s="451">
        <v>855</v>
      </c>
      <c r="AR236" s="451">
        <v>0</v>
      </c>
      <c r="AS236" s="451">
        <v>83927</v>
      </c>
      <c r="AT236" s="451">
        <v>12516</v>
      </c>
      <c r="AU236" s="451">
        <v>0</v>
      </c>
      <c r="AV236" s="451">
        <v>0</v>
      </c>
      <c r="AW236" s="451">
        <v>12516</v>
      </c>
      <c r="AX236" s="451">
        <v>0</v>
      </c>
      <c r="AY236" s="451">
        <v>0</v>
      </c>
      <c r="AZ236" s="451">
        <v>0</v>
      </c>
      <c r="BA236" s="451">
        <v>0</v>
      </c>
      <c r="BB236" s="451">
        <v>0</v>
      </c>
      <c r="BC236" s="451">
        <v>0</v>
      </c>
      <c r="BD236" s="451">
        <v>0</v>
      </c>
      <c r="BE236" s="451">
        <v>0</v>
      </c>
      <c r="BF236" s="451">
        <v>0</v>
      </c>
      <c r="BG236" s="451">
        <v>0</v>
      </c>
      <c r="BH236" s="451">
        <v>0</v>
      </c>
      <c r="BI236" s="451">
        <v>0</v>
      </c>
      <c r="BJ236" s="451">
        <v>334077</v>
      </c>
      <c r="BK236" s="451">
        <v>10327</v>
      </c>
      <c r="BL236" s="451">
        <v>0</v>
      </c>
      <c r="BM236" s="451">
        <v>344404</v>
      </c>
      <c r="BN236" s="451">
        <v>165426</v>
      </c>
      <c r="BO236" s="451">
        <v>0</v>
      </c>
      <c r="BP236" s="451">
        <v>0</v>
      </c>
      <c r="BQ236" s="451">
        <v>165426</v>
      </c>
      <c r="BR236" s="451">
        <v>8423779</v>
      </c>
      <c r="BS236" s="451">
        <v>480435</v>
      </c>
      <c r="BT236" s="451">
        <v>457813</v>
      </c>
      <c r="BU236" s="451">
        <v>9362027</v>
      </c>
      <c r="BV236" s="451">
        <v>-492486</v>
      </c>
      <c r="BW236" s="451">
        <v>46733</v>
      </c>
      <c r="BX236" s="451">
        <v>0</v>
      </c>
      <c r="BY236" s="451">
        <v>-445753</v>
      </c>
      <c r="BZ236" s="451">
        <v>6335</v>
      </c>
      <c r="CA236" s="451">
        <v>0</v>
      </c>
      <c r="CB236" s="451">
        <v>0</v>
      </c>
      <c r="CC236" s="451">
        <v>6335</v>
      </c>
      <c r="CD236" s="451">
        <v>0</v>
      </c>
      <c r="CE236" s="451">
        <v>0</v>
      </c>
      <c r="CF236" s="451">
        <v>0</v>
      </c>
      <c r="CG236" s="451">
        <v>0</v>
      </c>
      <c r="CH236" s="451">
        <v>358067</v>
      </c>
      <c r="CI236" s="451">
        <v>0</v>
      </c>
      <c r="CJ236" s="451">
        <v>0</v>
      </c>
      <c r="CK236" s="451">
        <v>358067</v>
      </c>
      <c r="CL236" s="451">
        <v>1762</v>
      </c>
      <c r="CM236" s="451">
        <v>0</v>
      </c>
      <c r="CN236" s="451">
        <v>0</v>
      </c>
      <c r="CO236" s="451">
        <v>1762</v>
      </c>
      <c r="CP236" s="451">
        <v>0</v>
      </c>
      <c r="CQ236" s="451">
        <v>0</v>
      </c>
      <c r="CR236" s="451">
        <v>0</v>
      </c>
      <c r="CS236" s="451">
        <v>0</v>
      </c>
      <c r="CT236" s="451">
        <v>0</v>
      </c>
      <c r="CU236" s="451">
        <v>0</v>
      </c>
      <c r="CV236" s="451">
        <v>0</v>
      </c>
      <c r="CW236" s="451">
        <v>0</v>
      </c>
      <c r="CX236" s="451">
        <v>0</v>
      </c>
      <c r="CY236" s="451">
        <v>0</v>
      </c>
      <c r="CZ236" s="451">
        <v>0</v>
      </c>
      <c r="DA236" s="451">
        <v>0</v>
      </c>
      <c r="DB236" s="451">
        <v>0</v>
      </c>
      <c r="DC236" s="451">
        <v>0</v>
      </c>
      <c r="DD236" s="451">
        <v>0</v>
      </c>
      <c r="DE236" s="451">
        <v>0</v>
      </c>
      <c r="DF236" s="451">
        <v>0</v>
      </c>
      <c r="DG236" s="451">
        <v>0</v>
      </c>
      <c r="DH236" s="451">
        <v>0</v>
      </c>
      <c r="DI236" s="451">
        <v>0</v>
      </c>
      <c r="DJ236" s="451">
        <v>0</v>
      </c>
      <c r="DK236" s="451">
        <v>0</v>
      </c>
      <c r="DL236" s="451">
        <v>0</v>
      </c>
      <c r="DM236" s="451">
        <v>0</v>
      </c>
      <c r="DN236" s="451">
        <v>0</v>
      </c>
      <c r="DO236" s="451">
        <v>0</v>
      </c>
      <c r="DP236" s="451">
        <v>55000</v>
      </c>
      <c r="DQ236" s="451">
        <v>55000</v>
      </c>
      <c r="DR236" s="451">
        <v>0</v>
      </c>
      <c r="DS236" s="451">
        <v>0</v>
      </c>
      <c r="DT236" s="451">
        <v>0</v>
      </c>
      <c r="DU236" s="451">
        <v>0</v>
      </c>
      <c r="DV236" s="451">
        <v>55000</v>
      </c>
      <c r="DW236" s="451">
        <v>0</v>
      </c>
      <c r="DX236" s="451">
        <v>0</v>
      </c>
      <c r="DY236" s="451">
        <v>0</v>
      </c>
      <c r="DZ236" s="451">
        <v>0</v>
      </c>
      <c r="EA236" s="451">
        <v>0</v>
      </c>
      <c r="EB236" s="451">
        <v>0</v>
      </c>
      <c r="EC236" s="451">
        <v>0</v>
      </c>
      <c r="ED236" s="451">
        <v>0</v>
      </c>
      <c r="EE236" s="451">
        <v>0</v>
      </c>
      <c r="EF236" s="451">
        <v>0</v>
      </c>
      <c r="EG236" s="451">
        <v>0</v>
      </c>
      <c r="EH236" s="451">
        <v>0</v>
      </c>
      <c r="EI236" s="451">
        <v>0</v>
      </c>
      <c r="EJ236" s="451">
        <v>0</v>
      </c>
      <c r="EK236" s="451">
        <v>0</v>
      </c>
      <c r="EL236" s="451">
        <v>0</v>
      </c>
      <c r="EM236" s="451">
        <v>0</v>
      </c>
    </row>
    <row r="237" spans="1:143" ht="12.75" x14ac:dyDescent="0.2">
      <c r="A237" s="446">
        <v>231</v>
      </c>
      <c r="B237" s="447" t="s">
        <v>345</v>
      </c>
      <c r="C237" s="448" t="s">
        <v>1093</v>
      </c>
      <c r="D237" s="449" t="s">
        <v>1094</v>
      </c>
      <c r="E237" s="450" t="s">
        <v>344</v>
      </c>
      <c r="F237" s="451">
        <v>78721</v>
      </c>
      <c r="G237" s="451">
        <v>0</v>
      </c>
      <c r="H237" s="451">
        <v>0</v>
      </c>
      <c r="I237" s="451">
        <v>78721</v>
      </c>
      <c r="J237" s="451">
        <v>-92545</v>
      </c>
      <c r="K237" s="451">
        <v>0</v>
      </c>
      <c r="L237" s="451">
        <v>0</v>
      </c>
      <c r="M237" s="451">
        <v>-92545</v>
      </c>
      <c r="N237" s="451">
        <v>211236</v>
      </c>
      <c r="O237" s="451">
        <v>0</v>
      </c>
      <c r="P237" s="451">
        <v>0</v>
      </c>
      <c r="Q237" s="451">
        <v>211236</v>
      </c>
      <c r="R237" s="451">
        <v>-6853</v>
      </c>
      <c r="S237" s="451">
        <v>0</v>
      </c>
      <c r="T237" s="451">
        <v>0</v>
      </c>
      <c r="U237" s="451">
        <v>-6853</v>
      </c>
      <c r="V237" s="451">
        <v>2456621</v>
      </c>
      <c r="W237" s="451">
        <v>0</v>
      </c>
      <c r="X237" s="451">
        <v>0</v>
      </c>
      <c r="Y237" s="451">
        <v>2456621</v>
      </c>
      <c r="Z237" s="451">
        <v>153426</v>
      </c>
      <c r="AA237" s="451">
        <v>0</v>
      </c>
      <c r="AB237" s="451">
        <v>0</v>
      </c>
      <c r="AC237" s="451">
        <v>153426</v>
      </c>
      <c r="AD237" s="451">
        <v>545291</v>
      </c>
      <c r="AE237" s="451">
        <v>0</v>
      </c>
      <c r="AF237" s="451">
        <v>0</v>
      </c>
      <c r="AG237" s="451">
        <v>545291</v>
      </c>
      <c r="AH237" s="451">
        <v>16467</v>
      </c>
      <c r="AI237" s="451">
        <v>0</v>
      </c>
      <c r="AJ237" s="451">
        <v>0</v>
      </c>
      <c r="AK237" s="451">
        <v>16467</v>
      </c>
      <c r="AL237" s="451">
        <v>2239881</v>
      </c>
      <c r="AM237" s="451">
        <v>0</v>
      </c>
      <c r="AN237" s="451">
        <v>0</v>
      </c>
      <c r="AO237" s="451">
        <v>2239881</v>
      </c>
      <c r="AP237" s="451">
        <v>23767</v>
      </c>
      <c r="AQ237" s="451">
        <v>0</v>
      </c>
      <c r="AR237" s="451">
        <v>0</v>
      </c>
      <c r="AS237" s="451">
        <v>23767</v>
      </c>
      <c r="AT237" s="451">
        <v>90978</v>
      </c>
      <c r="AU237" s="451">
        <v>0</v>
      </c>
      <c r="AV237" s="451">
        <v>0</v>
      </c>
      <c r="AW237" s="451">
        <v>90978</v>
      </c>
      <c r="AX237" s="451">
        <v>-1536</v>
      </c>
      <c r="AY237" s="451">
        <v>0</v>
      </c>
      <c r="AZ237" s="451">
        <v>0</v>
      </c>
      <c r="BA237" s="451">
        <v>-1536</v>
      </c>
      <c r="BB237" s="451">
        <v>22218</v>
      </c>
      <c r="BC237" s="451">
        <v>0</v>
      </c>
      <c r="BD237" s="451">
        <v>0</v>
      </c>
      <c r="BE237" s="451">
        <v>22218</v>
      </c>
      <c r="BF237" s="451">
        <v>0</v>
      </c>
      <c r="BG237" s="451">
        <v>0</v>
      </c>
      <c r="BH237" s="451">
        <v>0</v>
      </c>
      <c r="BI237" s="451">
        <v>0</v>
      </c>
      <c r="BJ237" s="451">
        <v>174786</v>
      </c>
      <c r="BK237" s="451">
        <v>0</v>
      </c>
      <c r="BL237" s="451">
        <v>0</v>
      </c>
      <c r="BM237" s="451">
        <v>174786</v>
      </c>
      <c r="BN237" s="451">
        <v>8055</v>
      </c>
      <c r="BO237" s="451">
        <v>0</v>
      </c>
      <c r="BP237" s="451">
        <v>0</v>
      </c>
      <c r="BQ237" s="451">
        <v>8055</v>
      </c>
      <c r="BR237" s="451">
        <v>1188697</v>
      </c>
      <c r="BS237" s="451">
        <v>0</v>
      </c>
      <c r="BT237" s="451">
        <v>0</v>
      </c>
      <c r="BU237" s="451">
        <v>1188697</v>
      </c>
      <c r="BV237" s="451">
        <v>78162</v>
      </c>
      <c r="BW237" s="451">
        <v>0</v>
      </c>
      <c r="BX237" s="451">
        <v>0</v>
      </c>
      <c r="BY237" s="451">
        <v>78162</v>
      </c>
      <c r="BZ237" s="451">
        <v>66975</v>
      </c>
      <c r="CA237" s="451">
        <v>0</v>
      </c>
      <c r="CB237" s="451">
        <v>0</v>
      </c>
      <c r="CC237" s="451">
        <v>66975</v>
      </c>
      <c r="CD237" s="451">
        <v>123</v>
      </c>
      <c r="CE237" s="451">
        <v>0</v>
      </c>
      <c r="CF237" s="451">
        <v>0</v>
      </c>
      <c r="CG237" s="451">
        <v>123</v>
      </c>
      <c r="CH237" s="451">
        <v>1922</v>
      </c>
      <c r="CI237" s="451">
        <v>0</v>
      </c>
      <c r="CJ237" s="451">
        <v>0</v>
      </c>
      <c r="CK237" s="451">
        <v>1922</v>
      </c>
      <c r="CL237" s="451">
        <v>0</v>
      </c>
      <c r="CM237" s="451">
        <v>0</v>
      </c>
      <c r="CN237" s="451">
        <v>0</v>
      </c>
      <c r="CO237" s="451">
        <v>0</v>
      </c>
      <c r="CP237" s="451">
        <v>1773</v>
      </c>
      <c r="CQ237" s="451">
        <v>0</v>
      </c>
      <c r="CR237" s="451">
        <v>0</v>
      </c>
      <c r="CS237" s="451">
        <v>1773</v>
      </c>
      <c r="CT237" s="451">
        <v>-106</v>
      </c>
      <c r="CU237" s="451">
        <v>0</v>
      </c>
      <c r="CV237" s="451">
        <v>0</v>
      </c>
      <c r="CW237" s="451">
        <v>-106</v>
      </c>
      <c r="CX237" s="451">
        <v>0</v>
      </c>
      <c r="CY237" s="451">
        <v>0</v>
      </c>
      <c r="CZ237" s="451">
        <v>0</v>
      </c>
      <c r="DA237" s="451">
        <v>0</v>
      </c>
      <c r="DB237" s="451">
        <v>0</v>
      </c>
      <c r="DC237" s="451">
        <v>0</v>
      </c>
      <c r="DD237" s="451">
        <v>0</v>
      </c>
      <c r="DE237" s="451">
        <v>0</v>
      </c>
      <c r="DF237" s="451">
        <v>0</v>
      </c>
      <c r="DG237" s="451">
        <v>0</v>
      </c>
      <c r="DH237" s="451">
        <v>0</v>
      </c>
      <c r="DI237" s="451">
        <v>0</v>
      </c>
      <c r="DJ237" s="451">
        <v>0</v>
      </c>
      <c r="DK237" s="451">
        <v>0</v>
      </c>
      <c r="DL237" s="451">
        <v>0</v>
      </c>
      <c r="DM237" s="451">
        <v>0</v>
      </c>
      <c r="DN237" s="451">
        <v>120497</v>
      </c>
      <c r="DO237" s="451">
        <v>0</v>
      </c>
      <c r="DP237" s="451">
        <v>0</v>
      </c>
      <c r="DQ237" s="451">
        <v>120497</v>
      </c>
      <c r="DR237" s="451">
        <v>0</v>
      </c>
      <c r="DS237" s="451">
        <v>0</v>
      </c>
      <c r="DT237" s="451">
        <v>0</v>
      </c>
      <c r="DU237" s="451">
        <v>0</v>
      </c>
      <c r="DV237" s="451">
        <v>0</v>
      </c>
      <c r="DW237" s="451">
        <v>0</v>
      </c>
      <c r="DX237" s="451">
        <v>0</v>
      </c>
      <c r="DY237" s="451">
        <v>0</v>
      </c>
      <c r="DZ237" s="451">
        <v>0</v>
      </c>
      <c r="EA237" s="451">
        <v>0</v>
      </c>
      <c r="EB237" s="451">
        <v>0</v>
      </c>
      <c r="EC237" s="451">
        <v>0</v>
      </c>
      <c r="ED237" s="451">
        <v>0</v>
      </c>
      <c r="EE237" s="451">
        <v>0</v>
      </c>
      <c r="EF237" s="451">
        <v>20119</v>
      </c>
      <c r="EG237" s="451">
        <v>0</v>
      </c>
      <c r="EH237" s="451">
        <v>0</v>
      </c>
      <c r="EI237" s="451">
        <v>20119</v>
      </c>
      <c r="EJ237" s="451">
        <v>4820</v>
      </c>
      <c r="EK237" s="451">
        <v>0</v>
      </c>
      <c r="EL237" s="451">
        <v>0</v>
      </c>
      <c r="EM237" s="451">
        <v>4820</v>
      </c>
    </row>
    <row r="238" spans="1:143" ht="12.75" x14ac:dyDescent="0.2">
      <c r="A238" s="446">
        <v>232</v>
      </c>
      <c r="B238" s="447" t="s">
        <v>347</v>
      </c>
      <c r="C238" s="448" t="s">
        <v>794</v>
      </c>
      <c r="D238" s="449" t="s">
        <v>1103</v>
      </c>
      <c r="E238" s="450" t="s">
        <v>346</v>
      </c>
      <c r="F238" s="451">
        <v>312547</v>
      </c>
      <c r="G238" s="451">
        <v>0</v>
      </c>
      <c r="H238" s="451">
        <v>0</v>
      </c>
      <c r="I238" s="451">
        <v>312547</v>
      </c>
      <c r="J238" s="451">
        <v>-140563</v>
      </c>
      <c r="K238" s="451">
        <v>0</v>
      </c>
      <c r="L238" s="451">
        <v>0</v>
      </c>
      <c r="M238" s="451">
        <v>-140563</v>
      </c>
      <c r="N238" s="451">
        <v>92173</v>
      </c>
      <c r="O238" s="451">
        <v>0</v>
      </c>
      <c r="P238" s="451">
        <v>0</v>
      </c>
      <c r="Q238" s="451">
        <v>92173</v>
      </c>
      <c r="R238" s="451">
        <v>128191</v>
      </c>
      <c r="S238" s="451">
        <v>0</v>
      </c>
      <c r="T238" s="451">
        <v>0</v>
      </c>
      <c r="U238" s="451">
        <v>128191</v>
      </c>
      <c r="V238" s="451">
        <v>7464009</v>
      </c>
      <c r="W238" s="451">
        <v>0</v>
      </c>
      <c r="X238" s="451">
        <v>0</v>
      </c>
      <c r="Y238" s="451">
        <v>7464009</v>
      </c>
      <c r="Z238" s="451">
        <v>278596</v>
      </c>
      <c r="AA238" s="451">
        <v>0</v>
      </c>
      <c r="AB238" s="451">
        <v>0</v>
      </c>
      <c r="AC238" s="451">
        <v>278596</v>
      </c>
      <c r="AD238" s="451">
        <v>1399449</v>
      </c>
      <c r="AE238" s="451">
        <v>0</v>
      </c>
      <c r="AF238" s="451">
        <v>0</v>
      </c>
      <c r="AG238" s="451">
        <v>1399449</v>
      </c>
      <c r="AH238" s="451">
        <v>25423</v>
      </c>
      <c r="AI238" s="451">
        <v>0</v>
      </c>
      <c r="AJ238" s="451">
        <v>0</v>
      </c>
      <c r="AK238" s="451">
        <v>25423</v>
      </c>
      <c r="AL238" s="451">
        <v>5610850</v>
      </c>
      <c r="AM238" s="451">
        <v>0</v>
      </c>
      <c r="AN238" s="451">
        <v>0</v>
      </c>
      <c r="AO238" s="451">
        <v>5610850</v>
      </c>
      <c r="AP238" s="451">
        <v>-70750</v>
      </c>
      <c r="AQ238" s="451">
        <v>0</v>
      </c>
      <c r="AR238" s="451">
        <v>0</v>
      </c>
      <c r="AS238" s="451">
        <v>-70750</v>
      </c>
      <c r="AT238" s="451">
        <v>162723</v>
      </c>
      <c r="AU238" s="451">
        <v>0</v>
      </c>
      <c r="AV238" s="451">
        <v>0</v>
      </c>
      <c r="AW238" s="451">
        <v>162723</v>
      </c>
      <c r="AX238" s="451">
        <v>4209</v>
      </c>
      <c r="AY238" s="451">
        <v>0</v>
      </c>
      <c r="AZ238" s="451">
        <v>0</v>
      </c>
      <c r="BA238" s="451">
        <v>4209</v>
      </c>
      <c r="BB238" s="451">
        <v>107454</v>
      </c>
      <c r="BC238" s="451">
        <v>0</v>
      </c>
      <c r="BD238" s="451">
        <v>0</v>
      </c>
      <c r="BE238" s="451">
        <v>107454</v>
      </c>
      <c r="BF238" s="451">
        <v>-1618</v>
      </c>
      <c r="BG238" s="451">
        <v>0</v>
      </c>
      <c r="BH238" s="451">
        <v>0</v>
      </c>
      <c r="BI238" s="451">
        <v>-1618</v>
      </c>
      <c r="BJ238" s="451">
        <v>78563</v>
      </c>
      <c r="BK238" s="451">
        <v>0</v>
      </c>
      <c r="BL238" s="451">
        <v>0</v>
      </c>
      <c r="BM238" s="451">
        <v>78563</v>
      </c>
      <c r="BN238" s="451">
        <v>36304</v>
      </c>
      <c r="BO238" s="451">
        <v>0</v>
      </c>
      <c r="BP238" s="451">
        <v>0</v>
      </c>
      <c r="BQ238" s="451">
        <v>36304</v>
      </c>
      <c r="BR238" s="451">
        <v>2974582</v>
      </c>
      <c r="BS238" s="451">
        <v>0</v>
      </c>
      <c r="BT238" s="451">
        <v>0</v>
      </c>
      <c r="BU238" s="451">
        <v>2974582</v>
      </c>
      <c r="BV238" s="451">
        <v>-125597</v>
      </c>
      <c r="BW238" s="451">
        <v>0</v>
      </c>
      <c r="BX238" s="451">
        <v>0</v>
      </c>
      <c r="BY238" s="451">
        <v>-125597</v>
      </c>
      <c r="BZ238" s="451">
        <v>415425</v>
      </c>
      <c r="CA238" s="451">
        <v>0</v>
      </c>
      <c r="CB238" s="451">
        <v>0</v>
      </c>
      <c r="CC238" s="451">
        <v>415425</v>
      </c>
      <c r="CD238" s="451">
        <v>-15270</v>
      </c>
      <c r="CE238" s="451">
        <v>0</v>
      </c>
      <c r="CF238" s="451">
        <v>0</v>
      </c>
      <c r="CG238" s="451">
        <v>-15270</v>
      </c>
      <c r="CH238" s="451">
        <v>260280</v>
      </c>
      <c r="CI238" s="451">
        <v>0</v>
      </c>
      <c r="CJ238" s="451">
        <v>0</v>
      </c>
      <c r="CK238" s="451">
        <v>260280</v>
      </c>
      <c r="CL238" s="451">
        <v>-4234</v>
      </c>
      <c r="CM238" s="451">
        <v>0</v>
      </c>
      <c r="CN238" s="451">
        <v>0</v>
      </c>
      <c r="CO238" s="451">
        <v>-4234</v>
      </c>
      <c r="CP238" s="451">
        <v>29426</v>
      </c>
      <c r="CQ238" s="451">
        <v>0</v>
      </c>
      <c r="CR238" s="451">
        <v>0</v>
      </c>
      <c r="CS238" s="451">
        <v>29426</v>
      </c>
      <c r="CT238" s="451">
        <v>1559</v>
      </c>
      <c r="CU238" s="451">
        <v>0</v>
      </c>
      <c r="CV238" s="451">
        <v>0</v>
      </c>
      <c r="CW238" s="451">
        <v>1559</v>
      </c>
      <c r="CX238" s="451">
        <v>8223</v>
      </c>
      <c r="CY238" s="451">
        <v>0</v>
      </c>
      <c r="CZ238" s="451">
        <v>0</v>
      </c>
      <c r="DA238" s="451">
        <v>8223</v>
      </c>
      <c r="DB238" s="451">
        <v>0</v>
      </c>
      <c r="DC238" s="451">
        <v>0</v>
      </c>
      <c r="DD238" s="451">
        <v>0</v>
      </c>
      <c r="DE238" s="451">
        <v>0</v>
      </c>
      <c r="DF238" s="451">
        <v>0</v>
      </c>
      <c r="DG238" s="451">
        <v>0</v>
      </c>
      <c r="DH238" s="451">
        <v>0</v>
      </c>
      <c r="DI238" s="451">
        <v>0</v>
      </c>
      <c r="DJ238" s="451">
        <v>0</v>
      </c>
      <c r="DK238" s="451">
        <v>0</v>
      </c>
      <c r="DL238" s="451">
        <v>0</v>
      </c>
      <c r="DM238" s="451">
        <v>0</v>
      </c>
      <c r="DN238" s="451">
        <v>0</v>
      </c>
      <c r="DO238" s="451">
        <v>0</v>
      </c>
      <c r="DP238" s="451">
        <v>0</v>
      </c>
      <c r="DQ238" s="451">
        <v>0</v>
      </c>
      <c r="DR238" s="451">
        <v>0</v>
      </c>
      <c r="DS238" s="451">
        <v>0</v>
      </c>
      <c r="DT238" s="451">
        <v>0</v>
      </c>
      <c r="DU238" s="451">
        <v>0</v>
      </c>
      <c r="DV238" s="451">
        <v>0</v>
      </c>
      <c r="DW238" s="451">
        <v>0</v>
      </c>
      <c r="DX238" s="451">
        <v>4591</v>
      </c>
      <c r="DY238" s="451">
        <v>0</v>
      </c>
      <c r="DZ238" s="451">
        <v>0</v>
      </c>
      <c r="EA238" s="451">
        <v>4591</v>
      </c>
      <c r="EB238" s="451">
        <v>0</v>
      </c>
      <c r="EC238" s="451">
        <v>0</v>
      </c>
      <c r="ED238" s="451">
        <v>0</v>
      </c>
      <c r="EE238" s="451">
        <v>0</v>
      </c>
      <c r="EF238" s="451">
        <v>0</v>
      </c>
      <c r="EG238" s="451">
        <v>0</v>
      </c>
      <c r="EH238" s="451">
        <v>0</v>
      </c>
      <c r="EI238" s="451">
        <v>0</v>
      </c>
      <c r="EJ238" s="451">
        <v>0</v>
      </c>
      <c r="EK238" s="451">
        <v>0</v>
      </c>
      <c r="EL238" s="451">
        <v>0</v>
      </c>
      <c r="EM238" s="451">
        <v>0</v>
      </c>
    </row>
    <row r="239" spans="1:143" ht="12.75" x14ac:dyDescent="0.2">
      <c r="A239" s="446">
        <v>233</v>
      </c>
      <c r="B239" s="447" t="s">
        <v>349</v>
      </c>
      <c r="C239" s="448" t="s">
        <v>794</v>
      </c>
      <c r="D239" s="449" t="s">
        <v>1094</v>
      </c>
      <c r="E239" s="450" t="s">
        <v>743</v>
      </c>
      <c r="F239" s="451">
        <v>143559</v>
      </c>
      <c r="G239" s="451">
        <v>0</v>
      </c>
      <c r="H239" s="451">
        <v>0</v>
      </c>
      <c r="I239" s="451">
        <v>143559</v>
      </c>
      <c r="J239" s="451">
        <v>-102748</v>
      </c>
      <c r="K239" s="451">
        <v>0</v>
      </c>
      <c r="L239" s="451">
        <v>0</v>
      </c>
      <c r="M239" s="451">
        <v>-102748</v>
      </c>
      <c r="N239" s="451">
        <v>575552</v>
      </c>
      <c r="O239" s="451">
        <v>0</v>
      </c>
      <c r="P239" s="451">
        <v>0</v>
      </c>
      <c r="Q239" s="451">
        <v>575552</v>
      </c>
      <c r="R239" s="451">
        <v>441399</v>
      </c>
      <c r="S239" s="451">
        <v>0</v>
      </c>
      <c r="T239" s="451">
        <v>0</v>
      </c>
      <c r="U239" s="451">
        <v>441399</v>
      </c>
      <c r="V239" s="451">
        <v>1066887</v>
      </c>
      <c r="W239" s="451">
        <v>0</v>
      </c>
      <c r="X239" s="451">
        <v>0</v>
      </c>
      <c r="Y239" s="451">
        <v>1066887</v>
      </c>
      <c r="Z239" s="451">
        <v>89011</v>
      </c>
      <c r="AA239" s="451">
        <v>0</v>
      </c>
      <c r="AB239" s="451">
        <v>0</v>
      </c>
      <c r="AC239" s="451">
        <v>89011</v>
      </c>
      <c r="AD239" s="451">
        <v>1892804</v>
      </c>
      <c r="AE239" s="451">
        <v>0</v>
      </c>
      <c r="AF239" s="451">
        <v>0</v>
      </c>
      <c r="AG239" s="451">
        <v>1892804</v>
      </c>
      <c r="AH239" s="451">
        <v>-29240</v>
      </c>
      <c r="AI239" s="451">
        <v>0</v>
      </c>
      <c r="AJ239" s="451">
        <v>0</v>
      </c>
      <c r="AK239" s="451">
        <v>-29240</v>
      </c>
      <c r="AL239" s="451">
        <v>3054811</v>
      </c>
      <c r="AM239" s="451">
        <v>0</v>
      </c>
      <c r="AN239" s="451">
        <v>0</v>
      </c>
      <c r="AO239" s="451">
        <v>3054811</v>
      </c>
      <c r="AP239" s="451">
        <v>-1382668</v>
      </c>
      <c r="AQ239" s="451">
        <v>0</v>
      </c>
      <c r="AR239" s="451">
        <v>0</v>
      </c>
      <c r="AS239" s="451">
        <v>-1382668</v>
      </c>
      <c r="AT239" s="451">
        <v>0</v>
      </c>
      <c r="AU239" s="451">
        <v>0</v>
      </c>
      <c r="AV239" s="451">
        <v>0</v>
      </c>
      <c r="AW239" s="451">
        <v>0</v>
      </c>
      <c r="AX239" s="451">
        <v>0</v>
      </c>
      <c r="AY239" s="451">
        <v>0</v>
      </c>
      <c r="AZ239" s="451">
        <v>0</v>
      </c>
      <c r="BA239" s="451">
        <v>0</v>
      </c>
      <c r="BB239" s="451">
        <v>0</v>
      </c>
      <c r="BC239" s="451">
        <v>0</v>
      </c>
      <c r="BD239" s="451">
        <v>0</v>
      </c>
      <c r="BE239" s="451">
        <v>0</v>
      </c>
      <c r="BF239" s="451">
        <v>0</v>
      </c>
      <c r="BG239" s="451">
        <v>0</v>
      </c>
      <c r="BH239" s="451">
        <v>0</v>
      </c>
      <c r="BI239" s="451">
        <v>0</v>
      </c>
      <c r="BJ239" s="451">
        <v>80195</v>
      </c>
      <c r="BK239" s="451">
        <v>0</v>
      </c>
      <c r="BL239" s="451">
        <v>0</v>
      </c>
      <c r="BM239" s="451">
        <v>80195</v>
      </c>
      <c r="BN239" s="451">
        <v>25515</v>
      </c>
      <c r="BO239" s="451">
        <v>0</v>
      </c>
      <c r="BP239" s="451">
        <v>0</v>
      </c>
      <c r="BQ239" s="451">
        <v>25515</v>
      </c>
      <c r="BR239" s="451">
        <v>4348888</v>
      </c>
      <c r="BS239" s="451">
        <v>0</v>
      </c>
      <c r="BT239" s="451">
        <v>0</v>
      </c>
      <c r="BU239" s="451">
        <v>4348888</v>
      </c>
      <c r="BV239" s="451">
        <v>-47371</v>
      </c>
      <c r="BW239" s="451">
        <v>0</v>
      </c>
      <c r="BX239" s="451">
        <v>0</v>
      </c>
      <c r="BY239" s="451">
        <v>-47371</v>
      </c>
      <c r="BZ239" s="451">
        <v>260102</v>
      </c>
      <c r="CA239" s="451">
        <v>0</v>
      </c>
      <c r="CB239" s="451">
        <v>0</v>
      </c>
      <c r="CC239" s="451">
        <v>260102</v>
      </c>
      <c r="CD239" s="451">
        <v>-198256</v>
      </c>
      <c r="CE239" s="451">
        <v>0</v>
      </c>
      <c r="CF239" s="451">
        <v>0</v>
      </c>
      <c r="CG239" s="451">
        <v>-198256</v>
      </c>
      <c r="CH239" s="451">
        <v>98332</v>
      </c>
      <c r="CI239" s="451">
        <v>0</v>
      </c>
      <c r="CJ239" s="451">
        <v>0</v>
      </c>
      <c r="CK239" s="451">
        <v>98332</v>
      </c>
      <c r="CL239" s="451">
        <v>8627</v>
      </c>
      <c r="CM239" s="451">
        <v>0</v>
      </c>
      <c r="CN239" s="451">
        <v>0</v>
      </c>
      <c r="CO239" s="451">
        <v>8627</v>
      </c>
      <c r="CP239" s="451">
        <v>0</v>
      </c>
      <c r="CQ239" s="451">
        <v>0</v>
      </c>
      <c r="CR239" s="451">
        <v>0</v>
      </c>
      <c r="CS239" s="451">
        <v>0</v>
      </c>
      <c r="CT239" s="451">
        <v>0</v>
      </c>
      <c r="CU239" s="451">
        <v>0</v>
      </c>
      <c r="CV239" s="451">
        <v>0</v>
      </c>
      <c r="CW239" s="451">
        <v>0</v>
      </c>
      <c r="CX239" s="451">
        <v>0</v>
      </c>
      <c r="CY239" s="451">
        <v>0</v>
      </c>
      <c r="CZ239" s="451">
        <v>0</v>
      </c>
      <c r="DA239" s="451">
        <v>0</v>
      </c>
      <c r="DB239" s="451">
        <v>0</v>
      </c>
      <c r="DC239" s="451">
        <v>0</v>
      </c>
      <c r="DD239" s="451">
        <v>0</v>
      </c>
      <c r="DE239" s="451">
        <v>0</v>
      </c>
      <c r="DF239" s="451">
        <v>0</v>
      </c>
      <c r="DG239" s="451">
        <v>0</v>
      </c>
      <c r="DH239" s="451">
        <v>0</v>
      </c>
      <c r="DI239" s="451">
        <v>0</v>
      </c>
      <c r="DJ239" s="451">
        <v>0</v>
      </c>
      <c r="DK239" s="451">
        <v>0</v>
      </c>
      <c r="DL239" s="451">
        <v>0</v>
      </c>
      <c r="DM239" s="451">
        <v>0</v>
      </c>
      <c r="DN239" s="451">
        <v>0</v>
      </c>
      <c r="DO239" s="451">
        <v>0</v>
      </c>
      <c r="DP239" s="451">
        <v>0</v>
      </c>
      <c r="DQ239" s="451">
        <v>0</v>
      </c>
      <c r="DR239" s="451">
        <v>11365</v>
      </c>
      <c r="DS239" s="451">
        <v>0</v>
      </c>
      <c r="DT239" s="451">
        <v>0</v>
      </c>
      <c r="DU239" s="451">
        <v>11365</v>
      </c>
      <c r="DV239" s="451">
        <v>0</v>
      </c>
      <c r="DW239" s="451">
        <v>0</v>
      </c>
      <c r="DX239" s="451">
        <v>0</v>
      </c>
      <c r="DY239" s="451">
        <v>0</v>
      </c>
      <c r="DZ239" s="451">
        <v>0</v>
      </c>
      <c r="EA239" s="451">
        <v>0</v>
      </c>
      <c r="EB239" s="451">
        <v>0</v>
      </c>
      <c r="EC239" s="451">
        <v>0</v>
      </c>
      <c r="ED239" s="451">
        <v>0</v>
      </c>
      <c r="EE239" s="451">
        <v>0</v>
      </c>
      <c r="EF239" s="451">
        <v>0</v>
      </c>
      <c r="EG239" s="451">
        <v>0</v>
      </c>
      <c r="EH239" s="451">
        <v>0</v>
      </c>
      <c r="EI239" s="451">
        <v>0</v>
      </c>
      <c r="EJ239" s="451">
        <v>0</v>
      </c>
      <c r="EK239" s="451">
        <v>0</v>
      </c>
      <c r="EL239" s="451">
        <v>0</v>
      </c>
      <c r="EM239" s="451">
        <v>0</v>
      </c>
    </row>
    <row r="240" spans="1:143" ht="12.75" x14ac:dyDescent="0.2">
      <c r="A240" s="446">
        <v>234</v>
      </c>
      <c r="B240" s="447" t="s">
        <v>351</v>
      </c>
      <c r="C240" s="448" t="s">
        <v>1100</v>
      </c>
      <c r="D240" s="449" t="s">
        <v>1103</v>
      </c>
      <c r="E240" s="450" t="s">
        <v>350</v>
      </c>
      <c r="F240" s="451">
        <v>96248</v>
      </c>
      <c r="G240" s="451">
        <v>0</v>
      </c>
      <c r="H240" s="451">
        <v>0</v>
      </c>
      <c r="I240" s="451">
        <v>96248</v>
      </c>
      <c r="J240" s="451">
        <v>-305440</v>
      </c>
      <c r="K240" s="451">
        <v>0</v>
      </c>
      <c r="L240" s="451">
        <v>0</v>
      </c>
      <c r="M240" s="451">
        <v>-305440</v>
      </c>
      <c r="N240" s="451">
        <v>23336</v>
      </c>
      <c r="O240" s="451">
        <v>0</v>
      </c>
      <c r="P240" s="451">
        <v>0</v>
      </c>
      <c r="Q240" s="451">
        <v>23336</v>
      </c>
      <c r="R240" s="451">
        <v>637319</v>
      </c>
      <c r="S240" s="451">
        <v>0</v>
      </c>
      <c r="T240" s="451">
        <v>0</v>
      </c>
      <c r="U240" s="451">
        <v>637319</v>
      </c>
      <c r="V240" s="451">
        <v>2035978</v>
      </c>
      <c r="W240" s="451">
        <v>0</v>
      </c>
      <c r="X240" s="451">
        <v>0</v>
      </c>
      <c r="Y240" s="451">
        <v>2035978</v>
      </c>
      <c r="Z240" s="451">
        <v>117492</v>
      </c>
      <c r="AA240" s="451">
        <v>0</v>
      </c>
      <c r="AB240" s="451">
        <v>0</v>
      </c>
      <c r="AC240" s="451">
        <v>117492</v>
      </c>
      <c r="AD240" s="451">
        <v>2148440</v>
      </c>
      <c r="AE240" s="451">
        <v>0</v>
      </c>
      <c r="AF240" s="451">
        <v>0</v>
      </c>
      <c r="AG240" s="451">
        <v>2148440</v>
      </c>
      <c r="AH240" s="451">
        <v>-27324</v>
      </c>
      <c r="AI240" s="451">
        <v>0</v>
      </c>
      <c r="AJ240" s="451">
        <v>0</v>
      </c>
      <c r="AK240" s="451">
        <v>-27324</v>
      </c>
      <c r="AL240" s="451">
        <v>3808256</v>
      </c>
      <c r="AM240" s="451">
        <v>0</v>
      </c>
      <c r="AN240" s="451">
        <v>0</v>
      </c>
      <c r="AO240" s="451">
        <v>3808256</v>
      </c>
      <c r="AP240" s="451">
        <v>-416248</v>
      </c>
      <c r="AQ240" s="451">
        <v>0</v>
      </c>
      <c r="AR240" s="451">
        <v>0</v>
      </c>
      <c r="AS240" s="451">
        <v>-416248</v>
      </c>
      <c r="AT240" s="451">
        <v>78541</v>
      </c>
      <c r="AU240" s="451">
        <v>0</v>
      </c>
      <c r="AV240" s="451">
        <v>0</v>
      </c>
      <c r="AW240" s="451">
        <v>78541</v>
      </c>
      <c r="AX240" s="451">
        <v>0</v>
      </c>
      <c r="AY240" s="451">
        <v>0</v>
      </c>
      <c r="AZ240" s="451">
        <v>0</v>
      </c>
      <c r="BA240" s="451">
        <v>0</v>
      </c>
      <c r="BB240" s="451">
        <v>942</v>
      </c>
      <c r="BC240" s="451">
        <v>0</v>
      </c>
      <c r="BD240" s="451">
        <v>0</v>
      </c>
      <c r="BE240" s="451">
        <v>942</v>
      </c>
      <c r="BF240" s="451">
        <v>0</v>
      </c>
      <c r="BG240" s="451">
        <v>0</v>
      </c>
      <c r="BH240" s="451">
        <v>0</v>
      </c>
      <c r="BI240" s="451">
        <v>0</v>
      </c>
      <c r="BJ240" s="451">
        <v>213779</v>
      </c>
      <c r="BK240" s="451">
        <v>0</v>
      </c>
      <c r="BL240" s="451">
        <v>0</v>
      </c>
      <c r="BM240" s="451">
        <v>213779</v>
      </c>
      <c r="BN240" s="451">
        <v>80565</v>
      </c>
      <c r="BO240" s="451">
        <v>0</v>
      </c>
      <c r="BP240" s="451">
        <v>0</v>
      </c>
      <c r="BQ240" s="451">
        <v>80565</v>
      </c>
      <c r="BR240" s="451">
        <v>4740232</v>
      </c>
      <c r="BS240" s="451">
        <v>0</v>
      </c>
      <c r="BT240" s="451">
        <v>0</v>
      </c>
      <c r="BU240" s="451">
        <v>4740232</v>
      </c>
      <c r="BV240" s="451">
        <v>-201702</v>
      </c>
      <c r="BW240" s="451">
        <v>0</v>
      </c>
      <c r="BX240" s="451">
        <v>0</v>
      </c>
      <c r="BY240" s="451">
        <v>-201702</v>
      </c>
      <c r="BZ240" s="451">
        <v>47112</v>
      </c>
      <c r="CA240" s="451">
        <v>0</v>
      </c>
      <c r="CB240" s="451">
        <v>0</v>
      </c>
      <c r="CC240" s="451">
        <v>47112</v>
      </c>
      <c r="CD240" s="451">
        <v>-5589</v>
      </c>
      <c r="CE240" s="451">
        <v>0</v>
      </c>
      <c r="CF240" s="451">
        <v>0</v>
      </c>
      <c r="CG240" s="451">
        <v>-5589</v>
      </c>
      <c r="CH240" s="451">
        <v>315343</v>
      </c>
      <c r="CI240" s="451">
        <v>0</v>
      </c>
      <c r="CJ240" s="451">
        <v>0</v>
      </c>
      <c r="CK240" s="451">
        <v>315343</v>
      </c>
      <c r="CL240" s="451">
        <v>-11823</v>
      </c>
      <c r="CM240" s="451">
        <v>0</v>
      </c>
      <c r="CN240" s="451">
        <v>0</v>
      </c>
      <c r="CO240" s="451">
        <v>-11823</v>
      </c>
      <c r="CP240" s="451">
        <v>0</v>
      </c>
      <c r="CQ240" s="451">
        <v>0</v>
      </c>
      <c r="CR240" s="451">
        <v>0</v>
      </c>
      <c r="CS240" s="451">
        <v>0</v>
      </c>
      <c r="CT240" s="451">
        <v>0</v>
      </c>
      <c r="CU240" s="451">
        <v>0</v>
      </c>
      <c r="CV240" s="451">
        <v>0</v>
      </c>
      <c r="CW240" s="451">
        <v>0</v>
      </c>
      <c r="CX240" s="451">
        <v>0</v>
      </c>
      <c r="CY240" s="451">
        <v>0</v>
      </c>
      <c r="CZ240" s="451">
        <v>0</v>
      </c>
      <c r="DA240" s="451">
        <v>0</v>
      </c>
      <c r="DB240" s="451">
        <v>0</v>
      </c>
      <c r="DC240" s="451">
        <v>0</v>
      </c>
      <c r="DD240" s="451">
        <v>0</v>
      </c>
      <c r="DE240" s="451">
        <v>0</v>
      </c>
      <c r="DF240" s="451">
        <v>0</v>
      </c>
      <c r="DG240" s="451">
        <v>0</v>
      </c>
      <c r="DH240" s="451">
        <v>0</v>
      </c>
      <c r="DI240" s="451">
        <v>0</v>
      </c>
      <c r="DJ240" s="451">
        <v>0</v>
      </c>
      <c r="DK240" s="451">
        <v>0</v>
      </c>
      <c r="DL240" s="451">
        <v>0</v>
      </c>
      <c r="DM240" s="451">
        <v>0</v>
      </c>
      <c r="DN240" s="451">
        <v>0</v>
      </c>
      <c r="DO240" s="451">
        <v>0</v>
      </c>
      <c r="DP240" s="451">
        <v>0</v>
      </c>
      <c r="DQ240" s="451">
        <v>0</v>
      </c>
      <c r="DR240" s="451">
        <v>0</v>
      </c>
      <c r="DS240" s="451">
        <v>0</v>
      </c>
      <c r="DT240" s="451">
        <v>0</v>
      </c>
      <c r="DU240" s="451">
        <v>0</v>
      </c>
      <c r="DV240" s="451">
        <v>0</v>
      </c>
      <c r="DW240" s="451">
        <v>0</v>
      </c>
      <c r="DX240" s="451">
        <v>0</v>
      </c>
      <c r="DY240" s="451">
        <v>0</v>
      </c>
      <c r="DZ240" s="451">
        <v>0</v>
      </c>
      <c r="EA240" s="451">
        <v>0</v>
      </c>
      <c r="EB240" s="451">
        <v>0</v>
      </c>
      <c r="EC240" s="451">
        <v>0</v>
      </c>
      <c r="ED240" s="451">
        <v>0</v>
      </c>
      <c r="EE240" s="451">
        <v>0</v>
      </c>
      <c r="EF240" s="451">
        <v>0</v>
      </c>
      <c r="EG240" s="451">
        <v>0</v>
      </c>
      <c r="EH240" s="451">
        <v>0</v>
      </c>
      <c r="EI240" s="451">
        <v>0</v>
      </c>
      <c r="EJ240" s="451">
        <v>0</v>
      </c>
      <c r="EK240" s="451">
        <v>0</v>
      </c>
      <c r="EL240" s="451">
        <v>0</v>
      </c>
      <c r="EM240" s="451">
        <v>0</v>
      </c>
    </row>
    <row r="241" spans="1:143" ht="12.75" x14ac:dyDescent="0.2">
      <c r="A241" s="446">
        <v>235</v>
      </c>
      <c r="B241" s="447" t="s">
        <v>353</v>
      </c>
      <c r="C241" s="448" t="s">
        <v>1093</v>
      </c>
      <c r="D241" s="449" t="s">
        <v>1094</v>
      </c>
      <c r="E241" s="450" t="s">
        <v>352</v>
      </c>
      <c r="F241" s="451">
        <v>133190</v>
      </c>
      <c r="G241" s="451">
        <v>0</v>
      </c>
      <c r="H241" s="451">
        <v>0</v>
      </c>
      <c r="I241" s="451">
        <v>133190</v>
      </c>
      <c r="J241" s="451">
        <v>-211973</v>
      </c>
      <c r="K241" s="451">
        <v>0</v>
      </c>
      <c r="L241" s="451">
        <v>0</v>
      </c>
      <c r="M241" s="451">
        <v>-211973</v>
      </c>
      <c r="N241" s="451">
        <v>20846</v>
      </c>
      <c r="O241" s="451">
        <v>0</v>
      </c>
      <c r="P241" s="451">
        <v>0</v>
      </c>
      <c r="Q241" s="451">
        <v>20846</v>
      </c>
      <c r="R241" s="451">
        <v>-68614</v>
      </c>
      <c r="S241" s="451">
        <v>0</v>
      </c>
      <c r="T241" s="451">
        <v>0</v>
      </c>
      <c r="U241" s="451">
        <v>-68614</v>
      </c>
      <c r="V241" s="451">
        <v>854017</v>
      </c>
      <c r="W241" s="451">
        <v>0</v>
      </c>
      <c r="X241" s="451">
        <v>0</v>
      </c>
      <c r="Y241" s="451">
        <v>854017</v>
      </c>
      <c r="Z241" s="451">
        <v>37785</v>
      </c>
      <c r="AA241" s="451">
        <v>0</v>
      </c>
      <c r="AB241" s="451">
        <v>0</v>
      </c>
      <c r="AC241" s="451">
        <v>37785</v>
      </c>
      <c r="AD241" s="451">
        <v>585419</v>
      </c>
      <c r="AE241" s="451">
        <v>0</v>
      </c>
      <c r="AF241" s="451">
        <v>0</v>
      </c>
      <c r="AG241" s="451">
        <v>585419</v>
      </c>
      <c r="AH241" s="451">
        <v>-18351</v>
      </c>
      <c r="AI241" s="451">
        <v>0</v>
      </c>
      <c r="AJ241" s="451">
        <v>0</v>
      </c>
      <c r="AK241" s="451">
        <v>-18351</v>
      </c>
      <c r="AL241" s="451">
        <v>1755797.81</v>
      </c>
      <c r="AM241" s="451">
        <v>0</v>
      </c>
      <c r="AN241" s="451">
        <v>0</v>
      </c>
      <c r="AO241" s="451">
        <v>1755797.81</v>
      </c>
      <c r="AP241" s="451">
        <v>-143461</v>
      </c>
      <c r="AQ241" s="451">
        <v>0</v>
      </c>
      <c r="AR241" s="451">
        <v>0</v>
      </c>
      <c r="AS241" s="451">
        <v>-143461</v>
      </c>
      <c r="AT241" s="451">
        <v>57085</v>
      </c>
      <c r="AU241" s="451">
        <v>0</v>
      </c>
      <c r="AV241" s="451">
        <v>0</v>
      </c>
      <c r="AW241" s="451">
        <v>57085</v>
      </c>
      <c r="AX241" s="451">
        <v>0</v>
      </c>
      <c r="AY241" s="451">
        <v>0</v>
      </c>
      <c r="AZ241" s="451">
        <v>0</v>
      </c>
      <c r="BA241" s="451">
        <v>0</v>
      </c>
      <c r="BB241" s="451">
        <v>1392</v>
      </c>
      <c r="BC241" s="451">
        <v>0</v>
      </c>
      <c r="BD241" s="451">
        <v>0</v>
      </c>
      <c r="BE241" s="451">
        <v>1392</v>
      </c>
      <c r="BF241" s="451">
        <v>0</v>
      </c>
      <c r="BG241" s="451">
        <v>0</v>
      </c>
      <c r="BH241" s="451">
        <v>0</v>
      </c>
      <c r="BI241" s="451">
        <v>0</v>
      </c>
      <c r="BJ241" s="451">
        <v>0</v>
      </c>
      <c r="BK241" s="451">
        <v>0</v>
      </c>
      <c r="BL241" s="451">
        <v>0</v>
      </c>
      <c r="BM241" s="451">
        <v>0</v>
      </c>
      <c r="BN241" s="451">
        <v>16552</v>
      </c>
      <c r="BO241" s="451">
        <v>0</v>
      </c>
      <c r="BP241" s="451">
        <v>0</v>
      </c>
      <c r="BQ241" s="451">
        <v>16552</v>
      </c>
      <c r="BR241" s="451">
        <v>1560518</v>
      </c>
      <c r="BS241" s="451">
        <v>0</v>
      </c>
      <c r="BT241" s="451">
        <v>0</v>
      </c>
      <c r="BU241" s="451">
        <v>1560518</v>
      </c>
      <c r="BV241" s="451">
        <v>-256978</v>
      </c>
      <c r="BW241" s="451">
        <v>0</v>
      </c>
      <c r="BX241" s="451">
        <v>0</v>
      </c>
      <c r="BY241" s="451">
        <v>-256978</v>
      </c>
      <c r="BZ241" s="451">
        <v>16512.3</v>
      </c>
      <c r="CA241" s="451">
        <v>0</v>
      </c>
      <c r="CB241" s="451">
        <v>0</v>
      </c>
      <c r="CC241" s="451">
        <v>16512.3</v>
      </c>
      <c r="CD241" s="451">
        <v>0</v>
      </c>
      <c r="CE241" s="451">
        <v>0</v>
      </c>
      <c r="CF241" s="451">
        <v>0</v>
      </c>
      <c r="CG241" s="451">
        <v>0</v>
      </c>
      <c r="CH241" s="451">
        <v>26376</v>
      </c>
      <c r="CI241" s="451">
        <v>0</v>
      </c>
      <c r="CJ241" s="451">
        <v>0</v>
      </c>
      <c r="CK241" s="451">
        <v>26376</v>
      </c>
      <c r="CL241" s="451">
        <v>0</v>
      </c>
      <c r="CM241" s="451">
        <v>0</v>
      </c>
      <c r="CN241" s="451">
        <v>0</v>
      </c>
      <c r="CO241" s="451">
        <v>0</v>
      </c>
      <c r="CP241" s="451">
        <v>249.63</v>
      </c>
      <c r="CQ241" s="451">
        <v>0</v>
      </c>
      <c r="CR241" s="451">
        <v>0</v>
      </c>
      <c r="CS241" s="451">
        <v>249.63</v>
      </c>
      <c r="CT241" s="451">
        <v>0</v>
      </c>
      <c r="CU241" s="451">
        <v>0</v>
      </c>
      <c r="CV241" s="451">
        <v>0</v>
      </c>
      <c r="CW241" s="451">
        <v>0</v>
      </c>
      <c r="CX241" s="451">
        <v>0</v>
      </c>
      <c r="CY241" s="451">
        <v>0</v>
      </c>
      <c r="CZ241" s="451">
        <v>0</v>
      </c>
      <c r="DA241" s="451">
        <v>0</v>
      </c>
      <c r="DB241" s="451">
        <v>0</v>
      </c>
      <c r="DC241" s="451">
        <v>0</v>
      </c>
      <c r="DD241" s="451">
        <v>0</v>
      </c>
      <c r="DE241" s="451">
        <v>0</v>
      </c>
      <c r="DF241" s="451">
        <v>0</v>
      </c>
      <c r="DG241" s="451">
        <v>0</v>
      </c>
      <c r="DH241" s="451">
        <v>0</v>
      </c>
      <c r="DI241" s="451">
        <v>0</v>
      </c>
      <c r="DJ241" s="451">
        <v>0</v>
      </c>
      <c r="DK241" s="451">
        <v>0</v>
      </c>
      <c r="DL241" s="451">
        <v>0</v>
      </c>
      <c r="DM241" s="451">
        <v>0</v>
      </c>
      <c r="DN241" s="451">
        <v>0</v>
      </c>
      <c r="DO241" s="451">
        <v>0</v>
      </c>
      <c r="DP241" s="451">
        <v>0</v>
      </c>
      <c r="DQ241" s="451">
        <v>0</v>
      </c>
      <c r="DR241" s="451">
        <v>0</v>
      </c>
      <c r="DS241" s="451">
        <v>0</v>
      </c>
      <c r="DT241" s="451">
        <v>0</v>
      </c>
      <c r="DU241" s="451">
        <v>0</v>
      </c>
      <c r="DV241" s="451">
        <v>0</v>
      </c>
      <c r="DW241" s="451">
        <v>0</v>
      </c>
      <c r="DX241" s="451">
        <v>0</v>
      </c>
      <c r="DY241" s="451">
        <v>0</v>
      </c>
      <c r="DZ241" s="451">
        <v>0</v>
      </c>
      <c r="EA241" s="451">
        <v>0</v>
      </c>
      <c r="EB241" s="451">
        <v>0</v>
      </c>
      <c r="EC241" s="451">
        <v>0</v>
      </c>
      <c r="ED241" s="451">
        <v>0</v>
      </c>
      <c r="EE241" s="451">
        <v>0</v>
      </c>
      <c r="EF241" s="451">
        <v>0</v>
      </c>
      <c r="EG241" s="451">
        <v>0</v>
      </c>
      <c r="EH241" s="451">
        <v>0</v>
      </c>
      <c r="EI241" s="451">
        <v>0</v>
      </c>
      <c r="EJ241" s="451">
        <v>2503</v>
      </c>
      <c r="EK241" s="451">
        <v>0</v>
      </c>
      <c r="EL241" s="451">
        <v>0</v>
      </c>
      <c r="EM241" s="451">
        <v>2503</v>
      </c>
    </row>
    <row r="242" spans="1:143" ht="12.75" x14ac:dyDescent="0.2">
      <c r="A242" s="446">
        <v>236</v>
      </c>
      <c r="B242" s="447" t="s">
        <v>355</v>
      </c>
      <c r="C242" s="448" t="s">
        <v>1093</v>
      </c>
      <c r="D242" s="449" t="s">
        <v>1097</v>
      </c>
      <c r="E242" s="450" t="s">
        <v>354</v>
      </c>
      <c r="F242" s="451">
        <v>118627</v>
      </c>
      <c r="G242" s="451">
        <v>0</v>
      </c>
      <c r="H242" s="451">
        <v>0</v>
      </c>
      <c r="I242" s="451">
        <v>118627</v>
      </c>
      <c r="J242" s="451">
        <v>-119241</v>
      </c>
      <c r="K242" s="451">
        <v>0</v>
      </c>
      <c r="L242" s="451">
        <v>0</v>
      </c>
      <c r="M242" s="451">
        <v>-119241</v>
      </c>
      <c r="N242" s="451">
        <v>46919</v>
      </c>
      <c r="O242" s="451">
        <v>0</v>
      </c>
      <c r="P242" s="451">
        <v>0</v>
      </c>
      <c r="Q242" s="451">
        <v>46919</v>
      </c>
      <c r="R242" s="451">
        <v>153846</v>
      </c>
      <c r="S242" s="451">
        <v>0</v>
      </c>
      <c r="T242" s="451">
        <v>0</v>
      </c>
      <c r="U242" s="451">
        <v>153846</v>
      </c>
      <c r="V242" s="451">
        <v>2269832</v>
      </c>
      <c r="W242" s="451">
        <v>0</v>
      </c>
      <c r="X242" s="451">
        <v>0</v>
      </c>
      <c r="Y242" s="451">
        <v>2269832</v>
      </c>
      <c r="Z242" s="451">
        <v>255091</v>
      </c>
      <c r="AA242" s="451">
        <v>0</v>
      </c>
      <c r="AB242" s="451">
        <v>0</v>
      </c>
      <c r="AC242" s="451">
        <v>255091</v>
      </c>
      <c r="AD242" s="451">
        <v>1407533</v>
      </c>
      <c r="AE242" s="451">
        <v>0</v>
      </c>
      <c r="AF242" s="451">
        <v>0</v>
      </c>
      <c r="AG242" s="451">
        <v>1407533</v>
      </c>
      <c r="AH242" s="451">
        <v>-42612</v>
      </c>
      <c r="AI242" s="451">
        <v>0</v>
      </c>
      <c r="AJ242" s="451">
        <v>0</v>
      </c>
      <c r="AK242" s="451">
        <v>-42612</v>
      </c>
      <c r="AL242" s="451">
        <v>8277328</v>
      </c>
      <c r="AM242" s="451">
        <v>0</v>
      </c>
      <c r="AN242" s="451">
        <v>0</v>
      </c>
      <c r="AO242" s="451">
        <v>8277328</v>
      </c>
      <c r="AP242" s="451">
        <v>-292225</v>
      </c>
      <c r="AQ242" s="451">
        <v>0</v>
      </c>
      <c r="AR242" s="451">
        <v>0</v>
      </c>
      <c r="AS242" s="451">
        <v>-292225</v>
      </c>
      <c r="AT242" s="451">
        <v>36697</v>
      </c>
      <c r="AU242" s="451">
        <v>0</v>
      </c>
      <c r="AV242" s="451">
        <v>0</v>
      </c>
      <c r="AW242" s="451">
        <v>36697</v>
      </c>
      <c r="AX242" s="451">
        <v>0</v>
      </c>
      <c r="AY242" s="451">
        <v>0</v>
      </c>
      <c r="AZ242" s="451">
        <v>0</v>
      </c>
      <c r="BA242" s="451">
        <v>0</v>
      </c>
      <c r="BB242" s="451">
        <v>80922</v>
      </c>
      <c r="BC242" s="451">
        <v>0</v>
      </c>
      <c r="BD242" s="451">
        <v>0</v>
      </c>
      <c r="BE242" s="451">
        <v>80922</v>
      </c>
      <c r="BF242" s="451">
        <v>3715</v>
      </c>
      <c r="BG242" s="451">
        <v>0</v>
      </c>
      <c r="BH242" s="451">
        <v>0</v>
      </c>
      <c r="BI242" s="451">
        <v>3715</v>
      </c>
      <c r="BJ242" s="451">
        <v>33355.18</v>
      </c>
      <c r="BK242" s="451">
        <v>0</v>
      </c>
      <c r="BL242" s="451">
        <v>0</v>
      </c>
      <c r="BM242" s="451">
        <v>33355.18</v>
      </c>
      <c r="BN242" s="451">
        <v>58600</v>
      </c>
      <c r="BO242" s="451">
        <v>0</v>
      </c>
      <c r="BP242" s="451">
        <v>0</v>
      </c>
      <c r="BQ242" s="451">
        <v>58600</v>
      </c>
      <c r="BR242" s="451">
        <v>1472281</v>
      </c>
      <c r="BS242" s="451">
        <v>0</v>
      </c>
      <c r="BT242" s="451">
        <v>0</v>
      </c>
      <c r="BU242" s="451">
        <v>1472281</v>
      </c>
      <c r="BV242" s="451">
        <v>-657</v>
      </c>
      <c r="BW242" s="451">
        <v>0</v>
      </c>
      <c r="BX242" s="451">
        <v>0</v>
      </c>
      <c r="BY242" s="451">
        <v>-657</v>
      </c>
      <c r="BZ242" s="451">
        <v>104293</v>
      </c>
      <c r="CA242" s="451">
        <v>0</v>
      </c>
      <c r="CB242" s="451">
        <v>0</v>
      </c>
      <c r="CC242" s="451">
        <v>104293</v>
      </c>
      <c r="CD242" s="451">
        <v>433</v>
      </c>
      <c r="CE242" s="451">
        <v>0</v>
      </c>
      <c r="CF242" s="451">
        <v>0</v>
      </c>
      <c r="CG242" s="451">
        <v>433</v>
      </c>
      <c r="CH242" s="451">
        <v>53640</v>
      </c>
      <c r="CI242" s="451">
        <v>0</v>
      </c>
      <c r="CJ242" s="451">
        <v>0</v>
      </c>
      <c r="CK242" s="451">
        <v>53640</v>
      </c>
      <c r="CL242" s="451">
        <v>220</v>
      </c>
      <c r="CM242" s="451">
        <v>0</v>
      </c>
      <c r="CN242" s="451">
        <v>0</v>
      </c>
      <c r="CO242" s="451">
        <v>220</v>
      </c>
      <c r="CP242" s="451">
        <v>0</v>
      </c>
      <c r="CQ242" s="451">
        <v>0</v>
      </c>
      <c r="CR242" s="451">
        <v>0</v>
      </c>
      <c r="CS242" s="451">
        <v>0</v>
      </c>
      <c r="CT242" s="451">
        <v>0</v>
      </c>
      <c r="CU242" s="451">
        <v>0</v>
      </c>
      <c r="CV242" s="451">
        <v>0</v>
      </c>
      <c r="CW242" s="451">
        <v>0</v>
      </c>
      <c r="CX242" s="451">
        <v>82373</v>
      </c>
      <c r="CY242" s="451">
        <v>0</v>
      </c>
      <c r="CZ242" s="451">
        <v>0</v>
      </c>
      <c r="DA242" s="451">
        <v>82373</v>
      </c>
      <c r="DB242" s="451">
        <v>0</v>
      </c>
      <c r="DC242" s="451">
        <v>0</v>
      </c>
      <c r="DD242" s="451">
        <v>0</v>
      </c>
      <c r="DE242" s="451">
        <v>0</v>
      </c>
      <c r="DF242" s="451">
        <v>48305</v>
      </c>
      <c r="DG242" s="451">
        <v>0</v>
      </c>
      <c r="DH242" s="451">
        <v>0</v>
      </c>
      <c r="DI242" s="451">
        <v>48305</v>
      </c>
      <c r="DJ242" s="451">
        <v>3754</v>
      </c>
      <c r="DK242" s="451">
        <v>0</v>
      </c>
      <c r="DL242" s="451">
        <v>0</v>
      </c>
      <c r="DM242" s="451">
        <v>3754</v>
      </c>
      <c r="DN242" s="451">
        <v>0</v>
      </c>
      <c r="DO242" s="451">
        <v>0</v>
      </c>
      <c r="DP242" s="451">
        <v>0</v>
      </c>
      <c r="DQ242" s="451">
        <v>0</v>
      </c>
      <c r="DR242" s="451">
        <v>0</v>
      </c>
      <c r="DS242" s="451">
        <v>0</v>
      </c>
      <c r="DT242" s="451">
        <v>0</v>
      </c>
      <c r="DU242" s="451">
        <v>0</v>
      </c>
      <c r="DV242" s="451">
        <v>0</v>
      </c>
      <c r="DW242" s="451">
        <v>0</v>
      </c>
      <c r="DX242" s="451">
        <v>182271</v>
      </c>
      <c r="DY242" s="451">
        <v>0</v>
      </c>
      <c r="DZ242" s="451">
        <v>0</v>
      </c>
      <c r="EA242" s="451">
        <v>182271</v>
      </c>
      <c r="EB242" s="451">
        <v>0</v>
      </c>
      <c r="EC242" s="451">
        <v>0</v>
      </c>
      <c r="ED242" s="451">
        <v>0</v>
      </c>
      <c r="EE242" s="451">
        <v>0</v>
      </c>
      <c r="EF242" s="451">
        <v>0</v>
      </c>
      <c r="EG242" s="451">
        <v>0</v>
      </c>
      <c r="EH242" s="451">
        <v>0</v>
      </c>
      <c r="EI242" s="451">
        <v>0</v>
      </c>
      <c r="EJ242" s="451">
        <v>5030</v>
      </c>
      <c r="EK242" s="451">
        <v>0</v>
      </c>
      <c r="EL242" s="451">
        <v>0</v>
      </c>
      <c r="EM242" s="451">
        <v>5030</v>
      </c>
    </row>
    <row r="243" spans="1:143" ht="12.75" x14ac:dyDescent="0.2">
      <c r="A243" s="446">
        <v>237</v>
      </c>
      <c r="B243" s="447" t="s">
        <v>357</v>
      </c>
      <c r="C243" s="448" t="s">
        <v>1093</v>
      </c>
      <c r="D243" s="449" t="s">
        <v>1096</v>
      </c>
      <c r="E243" s="450" t="s">
        <v>356</v>
      </c>
      <c r="F243" s="451">
        <v>49740</v>
      </c>
      <c r="G243" s="451">
        <v>0</v>
      </c>
      <c r="H243" s="451">
        <v>0</v>
      </c>
      <c r="I243" s="451">
        <v>49740</v>
      </c>
      <c r="J243" s="451">
        <v>180602</v>
      </c>
      <c r="K243" s="451">
        <v>0</v>
      </c>
      <c r="L243" s="451">
        <v>0</v>
      </c>
      <c r="M243" s="451">
        <v>180602</v>
      </c>
      <c r="N243" s="451">
        <v>96146</v>
      </c>
      <c r="O243" s="451">
        <v>0</v>
      </c>
      <c r="P243" s="451">
        <v>0</v>
      </c>
      <c r="Q243" s="451">
        <v>96146</v>
      </c>
      <c r="R243" s="451">
        <v>18928</v>
      </c>
      <c r="S243" s="451">
        <v>0</v>
      </c>
      <c r="T243" s="451">
        <v>0</v>
      </c>
      <c r="U243" s="451">
        <v>18928</v>
      </c>
      <c r="V243" s="451">
        <v>1302877</v>
      </c>
      <c r="W243" s="451">
        <v>0</v>
      </c>
      <c r="X243" s="451">
        <v>0</v>
      </c>
      <c r="Y243" s="451">
        <v>1302877</v>
      </c>
      <c r="Z243" s="451">
        <v>36007</v>
      </c>
      <c r="AA243" s="451">
        <v>0</v>
      </c>
      <c r="AB243" s="451">
        <v>0</v>
      </c>
      <c r="AC243" s="451">
        <v>36007</v>
      </c>
      <c r="AD243" s="451">
        <v>415292</v>
      </c>
      <c r="AE243" s="451">
        <v>0</v>
      </c>
      <c r="AF243" s="451">
        <v>0</v>
      </c>
      <c r="AG243" s="451">
        <v>415292</v>
      </c>
      <c r="AH243" s="451">
        <v>3588</v>
      </c>
      <c r="AI243" s="451">
        <v>0</v>
      </c>
      <c r="AJ243" s="451">
        <v>0</v>
      </c>
      <c r="AK243" s="451">
        <v>3588</v>
      </c>
      <c r="AL243" s="451">
        <v>1018643</v>
      </c>
      <c r="AM243" s="451">
        <v>0</v>
      </c>
      <c r="AN243" s="451">
        <v>0</v>
      </c>
      <c r="AO243" s="451">
        <v>1018643</v>
      </c>
      <c r="AP243" s="451">
        <v>33045</v>
      </c>
      <c r="AQ243" s="451">
        <v>0</v>
      </c>
      <c r="AR243" s="451">
        <v>0</v>
      </c>
      <c r="AS243" s="451">
        <v>33045</v>
      </c>
      <c r="AT243" s="451">
        <v>32678</v>
      </c>
      <c r="AU243" s="451">
        <v>0</v>
      </c>
      <c r="AV243" s="451">
        <v>0</v>
      </c>
      <c r="AW243" s="451">
        <v>32678</v>
      </c>
      <c r="AX243" s="451">
        <v>0</v>
      </c>
      <c r="AY243" s="451">
        <v>0</v>
      </c>
      <c r="AZ243" s="451">
        <v>0</v>
      </c>
      <c r="BA243" s="451">
        <v>0</v>
      </c>
      <c r="BB243" s="451">
        <v>23299</v>
      </c>
      <c r="BC243" s="451">
        <v>0</v>
      </c>
      <c r="BD243" s="451">
        <v>0</v>
      </c>
      <c r="BE243" s="451">
        <v>23299</v>
      </c>
      <c r="BF243" s="451">
        <v>0</v>
      </c>
      <c r="BG243" s="451">
        <v>0</v>
      </c>
      <c r="BH243" s="451">
        <v>0</v>
      </c>
      <c r="BI243" s="451">
        <v>0</v>
      </c>
      <c r="BJ243" s="451">
        <v>295032</v>
      </c>
      <c r="BK243" s="451">
        <v>0</v>
      </c>
      <c r="BL243" s="451">
        <v>0</v>
      </c>
      <c r="BM243" s="451">
        <v>295032</v>
      </c>
      <c r="BN243" s="451">
        <v>133</v>
      </c>
      <c r="BO243" s="451">
        <v>0</v>
      </c>
      <c r="BP243" s="451">
        <v>0</v>
      </c>
      <c r="BQ243" s="451">
        <v>133</v>
      </c>
      <c r="BR243" s="451">
        <v>652125</v>
      </c>
      <c r="BS243" s="451">
        <v>0</v>
      </c>
      <c r="BT243" s="451">
        <v>0</v>
      </c>
      <c r="BU243" s="451">
        <v>652125</v>
      </c>
      <c r="BV243" s="451">
        <v>18131</v>
      </c>
      <c r="BW243" s="451">
        <v>0</v>
      </c>
      <c r="BX243" s="451">
        <v>0</v>
      </c>
      <c r="BY243" s="451">
        <v>18131</v>
      </c>
      <c r="BZ243" s="451">
        <v>36957</v>
      </c>
      <c r="CA243" s="451">
        <v>0</v>
      </c>
      <c r="CB243" s="451">
        <v>0</v>
      </c>
      <c r="CC243" s="451">
        <v>36957</v>
      </c>
      <c r="CD243" s="451">
        <v>0</v>
      </c>
      <c r="CE243" s="451">
        <v>0</v>
      </c>
      <c r="CF243" s="451">
        <v>0</v>
      </c>
      <c r="CG243" s="451">
        <v>0</v>
      </c>
      <c r="CH243" s="451">
        <v>8026</v>
      </c>
      <c r="CI243" s="451">
        <v>0</v>
      </c>
      <c r="CJ243" s="451">
        <v>0</v>
      </c>
      <c r="CK243" s="451">
        <v>8026</v>
      </c>
      <c r="CL243" s="451">
        <v>0</v>
      </c>
      <c r="CM243" s="451">
        <v>0</v>
      </c>
      <c r="CN243" s="451">
        <v>0</v>
      </c>
      <c r="CO243" s="451">
        <v>0</v>
      </c>
      <c r="CP243" s="451">
        <v>0</v>
      </c>
      <c r="CQ243" s="451">
        <v>0</v>
      </c>
      <c r="CR243" s="451">
        <v>0</v>
      </c>
      <c r="CS243" s="451">
        <v>0</v>
      </c>
      <c r="CT243" s="451">
        <v>0</v>
      </c>
      <c r="CU243" s="451">
        <v>0</v>
      </c>
      <c r="CV243" s="451">
        <v>0</v>
      </c>
      <c r="CW243" s="451">
        <v>0</v>
      </c>
      <c r="CX243" s="451">
        <v>0</v>
      </c>
      <c r="CY243" s="451">
        <v>0</v>
      </c>
      <c r="CZ243" s="451">
        <v>0</v>
      </c>
      <c r="DA243" s="451">
        <v>0</v>
      </c>
      <c r="DB243" s="451">
        <v>0</v>
      </c>
      <c r="DC243" s="451">
        <v>0</v>
      </c>
      <c r="DD243" s="451">
        <v>0</v>
      </c>
      <c r="DE243" s="451">
        <v>0</v>
      </c>
      <c r="DF243" s="451">
        <v>1603</v>
      </c>
      <c r="DG243" s="451">
        <v>0</v>
      </c>
      <c r="DH243" s="451">
        <v>0</v>
      </c>
      <c r="DI243" s="451">
        <v>1603</v>
      </c>
      <c r="DJ243" s="451">
        <v>0</v>
      </c>
      <c r="DK243" s="451">
        <v>0</v>
      </c>
      <c r="DL243" s="451">
        <v>0</v>
      </c>
      <c r="DM243" s="451">
        <v>0</v>
      </c>
      <c r="DN243" s="451">
        <v>0</v>
      </c>
      <c r="DO243" s="451">
        <v>0</v>
      </c>
      <c r="DP243" s="451">
        <v>0</v>
      </c>
      <c r="DQ243" s="451">
        <v>0</v>
      </c>
      <c r="DR243" s="451">
        <v>0</v>
      </c>
      <c r="DS243" s="451">
        <v>0</v>
      </c>
      <c r="DT243" s="451">
        <v>0</v>
      </c>
      <c r="DU243" s="451">
        <v>0</v>
      </c>
      <c r="DV243" s="451">
        <v>0</v>
      </c>
      <c r="DW243" s="451">
        <v>0</v>
      </c>
      <c r="DX243" s="451">
        <v>0</v>
      </c>
      <c r="DY243" s="451">
        <v>0</v>
      </c>
      <c r="DZ243" s="451">
        <v>0</v>
      </c>
      <c r="EA243" s="451">
        <v>0</v>
      </c>
      <c r="EB243" s="451">
        <v>0</v>
      </c>
      <c r="EC243" s="451">
        <v>0</v>
      </c>
      <c r="ED243" s="451">
        <v>0</v>
      </c>
      <c r="EE243" s="451">
        <v>0</v>
      </c>
      <c r="EF243" s="451">
        <v>5261</v>
      </c>
      <c r="EG243" s="451">
        <v>0</v>
      </c>
      <c r="EH243" s="451">
        <v>0</v>
      </c>
      <c r="EI243" s="451">
        <v>5261</v>
      </c>
      <c r="EJ243" s="451">
        <v>0</v>
      </c>
      <c r="EK243" s="451">
        <v>0</v>
      </c>
      <c r="EL243" s="451">
        <v>0</v>
      </c>
      <c r="EM243" s="451">
        <v>0</v>
      </c>
    </row>
    <row r="244" spans="1:143" ht="12.75" x14ac:dyDescent="0.2">
      <c r="A244" s="446">
        <v>238</v>
      </c>
      <c r="B244" s="447" t="s">
        <v>359</v>
      </c>
      <c r="C244" s="448" t="s">
        <v>794</v>
      </c>
      <c r="D244" s="449" t="s">
        <v>1102</v>
      </c>
      <c r="E244" s="450" t="s">
        <v>744</v>
      </c>
      <c r="F244" s="451">
        <v>542902.75</v>
      </c>
      <c r="G244" s="451">
        <v>0</v>
      </c>
      <c r="H244" s="451">
        <v>0</v>
      </c>
      <c r="I244" s="451">
        <v>542902.75</v>
      </c>
      <c r="J244" s="451">
        <v>-73424.14</v>
      </c>
      <c r="K244" s="451">
        <v>0</v>
      </c>
      <c r="L244" s="451">
        <v>0</v>
      </c>
      <c r="M244" s="451">
        <v>-73424.14</v>
      </c>
      <c r="N244" s="451">
        <v>32918.660000000003</v>
      </c>
      <c r="O244" s="451">
        <v>0</v>
      </c>
      <c r="P244" s="451">
        <v>0</v>
      </c>
      <c r="Q244" s="451">
        <v>32918.660000000003</v>
      </c>
      <c r="R244" s="451">
        <v>353378.05</v>
      </c>
      <c r="S244" s="451">
        <v>0</v>
      </c>
      <c r="T244" s="451">
        <v>0</v>
      </c>
      <c r="U244" s="451">
        <v>353378.05</v>
      </c>
      <c r="V244" s="451">
        <v>3292712.39</v>
      </c>
      <c r="W244" s="451">
        <v>0</v>
      </c>
      <c r="X244" s="451">
        <v>0</v>
      </c>
      <c r="Y244" s="451">
        <v>3292712.39</v>
      </c>
      <c r="Z244" s="451">
        <v>142038.96</v>
      </c>
      <c r="AA244" s="451">
        <v>0</v>
      </c>
      <c r="AB244" s="451">
        <v>0</v>
      </c>
      <c r="AC244" s="451">
        <v>142038.96</v>
      </c>
      <c r="AD244" s="451">
        <v>2626780.2000000002</v>
      </c>
      <c r="AE244" s="451">
        <v>0</v>
      </c>
      <c r="AF244" s="451">
        <v>0</v>
      </c>
      <c r="AG244" s="451">
        <v>2626780.2000000002</v>
      </c>
      <c r="AH244" s="451">
        <v>-23615.84</v>
      </c>
      <c r="AI244" s="451">
        <v>0</v>
      </c>
      <c r="AJ244" s="451">
        <v>0</v>
      </c>
      <c r="AK244" s="451">
        <v>-23615.84</v>
      </c>
      <c r="AL244" s="451">
        <v>5749987.04</v>
      </c>
      <c r="AM244" s="451">
        <v>0</v>
      </c>
      <c r="AN244" s="451">
        <v>0</v>
      </c>
      <c r="AO244" s="451">
        <v>5749987.04</v>
      </c>
      <c r="AP244" s="451">
        <v>-10385.83</v>
      </c>
      <c r="AQ244" s="451">
        <v>0</v>
      </c>
      <c r="AR244" s="451">
        <v>0</v>
      </c>
      <c r="AS244" s="451">
        <v>-10385.83</v>
      </c>
      <c r="AT244" s="451">
        <v>89471.16</v>
      </c>
      <c r="AU244" s="451">
        <v>0</v>
      </c>
      <c r="AV244" s="451">
        <v>0</v>
      </c>
      <c r="AW244" s="451">
        <v>89471.16</v>
      </c>
      <c r="AX244" s="451">
        <v>-2975.4</v>
      </c>
      <c r="AY244" s="451">
        <v>0</v>
      </c>
      <c r="AZ244" s="451">
        <v>0</v>
      </c>
      <c r="BA244" s="451">
        <v>-2975.4</v>
      </c>
      <c r="BB244" s="451">
        <v>27459.65</v>
      </c>
      <c r="BC244" s="451">
        <v>0</v>
      </c>
      <c r="BD244" s="451">
        <v>0</v>
      </c>
      <c r="BE244" s="451">
        <v>27459.65</v>
      </c>
      <c r="BF244" s="451">
        <v>-115.17</v>
      </c>
      <c r="BG244" s="451">
        <v>0</v>
      </c>
      <c r="BH244" s="451">
        <v>0</v>
      </c>
      <c r="BI244" s="451">
        <v>-115.17</v>
      </c>
      <c r="BJ244" s="451">
        <v>68670.539999999994</v>
      </c>
      <c r="BK244" s="451">
        <v>0</v>
      </c>
      <c r="BL244" s="451">
        <v>0</v>
      </c>
      <c r="BM244" s="451">
        <v>68670.539999999994</v>
      </c>
      <c r="BN244" s="451">
        <v>-6354.28</v>
      </c>
      <c r="BO244" s="451">
        <v>0</v>
      </c>
      <c r="BP244" s="451">
        <v>0</v>
      </c>
      <c r="BQ244" s="451">
        <v>-6354.28</v>
      </c>
      <c r="BR244" s="451">
        <v>5046127.03</v>
      </c>
      <c r="BS244" s="451">
        <v>0</v>
      </c>
      <c r="BT244" s="451">
        <v>0</v>
      </c>
      <c r="BU244" s="451">
        <v>5046127.03</v>
      </c>
      <c r="BV244" s="451">
        <v>152658.15</v>
      </c>
      <c r="BW244" s="451">
        <v>0</v>
      </c>
      <c r="BX244" s="451">
        <v>0</v>
      </c>
      <c r="BY244" s="451">
        <v>152658.15</v>
      </c>
      <c r="BZ244" s="451">
        <v>132798.49</v>
      </c>
      <c r="CA244" s="451">
        <v>0</v>
      </c>
      <c r="CB244" s="451">
        <v>0</v>
      </c>
      <c r="CC244" s="451">
        <v>132798.49</v>
      </c>
      <c r="CD244" s="451">
        <v>254.95</v>
      </c>
      <c r="CE244" s="451">
        <v>0</v>
      </c>
      <c r="CF244" s="451">
        <v>0</v>
      </c>
      <c r="CG244" s="451">
        <v>254.95</v>
      </c>
      <c r="CH244" s="451">
        <v>639659.13</v>
      </c>
      <c r="CI244" s="451">
        <v>0</v>
      </c>
      <c r="CJ244" s="451">
        <v>0</v>
      </c>
      <c r="CK244" s="451">
        <v>639659.13</v>
      </c>
      <c r="CL244" s="451">
        <v>0</v>
      </c>
      <c r="CM244" s="451">
        <v>0</v>
      </c>
      <c r="CN244" s="451">
        <v>0</v>
      </c>
      <c r="CO244" s="451">
        <v>0</v>
      </c>
      <c r="CP244" s="451">
        <v>0</v>
      </c>
      <c r="CQ244" s="451">
        <v>0</v>
      </c>
      <c r="CR244" s="451">
        <v>0</v>
      </c>
      <c r="CS244" s="451">
        <v>0</v>
      </c>
      <c r="CT244" s="451">
        <v>0</v>
      </c>
      <c r="CU244" s="451">
        <v>0</v>
      </c>
      <c r="CV244" s="451">
        <v>0</v>
      </c>
      <c r="CW244" s="451">
        <v>0</v>
      </c>
      <c r="CX244" s="451">
        <v>49196.59</v>
      </c>
      <c r="CY244" s="451">
        <v>0</v>
      </c>
      <c r="CZ244" s="451">
        <v>0</v>
      </c>
      <c r="DA244" s="451">
        <v>49196.59</v>
      </c>
      <c r="DB244" s="451">
        <v>11522</v>
      </c>
      <c r="DC244" s="451">
        <v>0</v>
      </c>
      <c r="DD244" s="451">
        <v>0</v>
      </c>
      <c r="DE244" s="451">
        <v>11522</v>
      </c>
      <c r="DF244" s="451">
        <v>0</v>
      </c>
      <c r="DG244" s="451">
        <v>0</v>
      </c>
      <c r="DH244" s="451">
        <v>0</v>
      </c>
      <c r="DI244" s="451">
        <v>0</v>
      </c>
      <c r="DJ244" s="451">
        <v>0</v>
      </c>
      <c r="DK244" s="451">
        <v>0</v>
      </c>
      <c r="DL244" s="451">
        <v>0</v>
      </c>
      <c r="DM244" s="451">
        <v>0</v>
      </c>
      <c r="DN244" s="451">
        <v>0</v>
      </c>
      <c r="DO244" s="451">
        <v>0</v>
      </c>
      <c r="DP244" s="451">
        <v>0</v>
      </c>
      <c r="DQ244" s="451">
        <v>0</v>
      </c>
      <c r="DR244" s="451">
        <v>0</v>
      </c>
      <c r="DS244" s="451">
        <v>0</v>
      </c>
      <c r="DT244" s="451">
        <v>0</v>
      </c>
      <c r="DU244" s="451">
        <v>0</v>
      </c>
      <c r="DV244" s="451">
        <v>0</v>
      </c>
      <c r="DW244" s="451">
        <v>0</v>
      </c>
      <c r="DX244" s="451">
        <v>0</v>
      </c>
      <c r="DY244" s="451">
        <v>0</v>
      </c>
      <c r="DZ244" s="451">
        <v>0</v>
      </c>
      <c r="EA244" s="451">
        <v>0</v>
      </c>
      <c r="EB244" s="451">
        <v>6567.54</v>
      </c>
      <c r="EC244" s="451">
        <v>0</v>
      </c>
      <c r="ED244" s="451">
        <v>0</v>
      </c>
      <c r="EE244" s="451">
        <v>6567.54</v>
      </c>
      <c r="EF244" s="451">
        <v>0</v>
      </c>
      <c r="EG244" s="451">
        <v>0</v>
      </c>
      <c r="EH244" s="451">
        <v>0</v>
      </c>
      <c r="EI244" s="451">
        <v>0</v>
      </c>
      <c r="EJ244" s="451">
        <v>0</v>
      </c>
      <c r="EK244" s="451">
        <v>0</v>
      </c>
      <c r="EL244" s="451">
        <v>0</v>
      </c>
      <c r="EM244" s="451">
        <v>0</v>
      </c>
    </row>
    <row r="245" spans="1:143" ht="12.75" x14ac:dyDescent="0.2">
      <c r="A245" s="446">
        <v>239</v>
      </c>
      <c r="B245" s="447" t="s">
        <v>361</v>
      </c>
      <c r="C245" s="448" t="s">
        <v>1093</v>
      </c>
      <c r="D245" s="449" t="s">
        <v>1102</v>
      </c>
      <c r="E245" s="450" t="s">
        <v>360</v>
      </c>
      <c r="F245" s="451">
        <v>2593358</v>
      </c>
      <c r="G245" s="451">
        <v>0</v>
      </c>
      <c r="H245" s="451">
        <v>0</v>
      </c>
      <c r="I245" s="451">
        <v>2593358</v>
      </c>
      <c r="J245" s="451">
        <v>-112041</v>
      </c>
      <c r="K245" s="451">
        <v>0</v>
      </c>
      <c r="L245" s="451">
        <v>0</v>
      </c>
      <c r="M245" s="451">
        <v>-112041</v>
      </c>
      <c r="N245" s="451">
        <v>7581</v>
      </c>
      <c r="O245" s="451">
        <v>0</v>
      </c>
      <c r="P245" s="451">
        <v>0</v>
      </c>
      <c r="Q245" s="451">
        <v>7581</v>
      </c>
      <c r="R245" s="451">
        <v>41424</v>
      </c>
      <c r="S245" s="451">
        <v>0</v>
      </c>
      <c r="T245" s="451">
        <v>0</v>
      </c>
      <c r="U245" s="451">
        <v>41424</v>
      </c>
      <c r="V245" s="451">
        <v>3564503</v>
      </c>
      <c r="W245" s="451">
        <v>0</v>
      </c>
      <c r="X245" s="451">
        <v>0</v>
      </c>
      <c r="Y245" s="451">
        <v>3564503</v>
      </c>
      <c r="Z245" s="451">
        <v>259970</v>
      </c>
      <c r="AA245" s="451">
        <v>0</v>
      </c>
      <c r="AB245" s="451">
        <v>0</v>
      </c>
      <c r="AC245" s="451">
        <v>259970</v>
      </c>
      <c r="AD245" s="451">
        <v>548037</v>
      </c>
      <c r="AE245" s="451">
        <v>0</v>
      </c>
      <c r="AF245" s="451">
        <v>0</v>
      </c>
      <c r="AG245" s="451">
        <v>548037</v>
      </c>
      <c r="AH245" s="451">
        <v>-4031</v>
      </c>
      <c r="AI245" s="451">
        <v>0</v>
      </c>
      <c r="AJ245" s="451">
        <v>0</v>
      </c>
      <c r="AK245" s="451">
        <v>-4031</v>
      </c>
      <c r="AL245" s="451">
        <v>1795128</v>
      </c>
      <c r="AM245" s="451">
        <v>0</v>
      </c>
      <c r="AN245" s="451">
        <v>0</v>
      </c>
      <c r="AO245" s="451">
        <v>1795128</v>
      </c>
      <c r="AP245" s="451">
        <v>-18002</v>
      </c>
      <c r="AQ245" s="451">
        <v>0</v>
      </c>
      <c r="AR245" s="451">
        <v>0</v>
      </c>
      <c r="AS245" s="451">
        <v>-18002</v>
      </c>
      <c r="AT245" s="451">
        <v>95771</v>
      </c>
      <c r="AU245" s="451">
        <v>0</v>
      </c>
      <c r="AV245" s="451">
        <v>0</v>
      </c>
      <c r="AW245" s="451">
        <v>95771</v>
      </c>
      <c r="AX245" s="451">
        <v>0</v>
      </c>
      <c r="AY245" s="451">
        <v>0</v>
      </c>
      <c r="AZ245" s="451">
        <v>0</v>
      </c>
      <c r="BA245" s="451">
        <v>0</v>
      </c>
      <c r="BB245" s="451">
        <v>55214</v>
      </c>
      <c r="BC245" s="451">
        <v>0</v>
      </c>
      <c r="BD245" s="451">
        <v>0</v>
      </c>
      <c r="BE245" s="451">
        <v>55214</v>
      </c>
      <c r="BF245" s="451">
        <v>1374</v>
      </c>
      <c r="BG245" s="451">
        <v>0</v>
      </c>
      <c r="BH245" s="451">
        <v>0</v>
      </c>
      <c r="BI245" s="451">
        <v>1374</v>
      </c>
      <c r="BJ245" s="451">
        <v>82466</v>
      </c>
      <c r="BK245" s="451">
        <v>0</v>
      </c>
      <c r="BL245" s="451">
        <v>0</v>
      </c>
      <c r="BM245" s="451">
        <v>82466</v>
      </c>
      <c r="BN245" s="451">
        <v>-1951</v>
      </c>
      <c r="BO245" s="451">
        <v>0</v>
      </c>
      <c r="BP245" s="451">
        <v>0</v>
      </c>
      <c r="BQ245" s="451">
        <v>-1951</v>
      </c>
      <c r="BR245" s="451">
        <v>863539</v>
      </c>
      <c r="BS245" s="451">
        <v>0</v>
      </c>
      <c r="BT245" s="451">
        <v>0</v>
      </c>
      <c r="BU245" s="451">
        <v>863539</v>
      </c>
      <c r="BV245" s="451">
        <v>28854</v>
      </c>
      <c r="BW245" s="451">
        <v>0</v>
      </c>
      <c r="BX245" s="451">
        <v>0</v>
      </c>
      <c r="BY245" s="451">
        <v>28854</v>
      </c>
      <c r="BZ245" s="451">
        <v>206424</v>
      </c>
      <c r="CA245" s="451">
        <v>0</v>
      </c>
      <c r="CB245" s="451">
        <v>0</v>
      </c>
      <c r="CC245" s="451">
        <v>206424</v>
      </c>
      <c r="CD245" s="451">
        <v>4497</v>
      </c>
      <c r="CE245" s="451">
        <v>0</v>
      </c>
      <c r="CF245" s="451">
        <v>0</v>
      </c>
      <c r="CG245" s="451">
        <v>4497</v>
      </c>
      <c r="CH245" s="451">
        <v>56872</v>
      </c>
      <c r="CI245" s="451">
        <v>0</v>
      </c>
      <c r="CJ245" s="451">
        <v>0</v>
      </c>
      <c r="CK245" s="451">
        <v>56872</v>
      </c>
      <c r="CL245" s="451">
        <v>-2738</v>
      </c>
      <c r="CM245" s="451">
        <v>0</v>
      </c>
      <c r="CN245" s="451">
        <v>0</v>
      </c>
      <c r="CO245" s="451">
        <v>-2738</v>
      </c>
      <c r="CP245" s="451">
        <v>155</v>
      </c>
      <c r="CQ245" s="451">
        <v>0</v>
      </c>
      <c r="CR245" s="451">
        <v>0</v>
      </c>
      <c r="CS245" s="451">
        <v>155</v>
      </c>
      <c r="CT245" s="451">
        <v>0</v>
      </c>
      <c r="CU245" s="451">
        <v>0</v>
      </c>
      <c r="CV245" s="451">
        <v>0</v>
      </c>
      <c r="CW245" s="451">
        <v>0</v>
      </c>
      <c r="CX245" s="451">
        <v>11455</v>
      </c>
      <c r="CY245" s="451">
        <v>0</v>
      </c>
      <c r="CZ245" s="451">
        <v>0</v>
      </c>
      <c r="DA245" s="451">
        <v>11455</v>
      </c>
      <c r="DB245" s="451">
        <v>-1459</v>
      </c>
      <c r="DC245" s="451">
        <v>0</v>
      </c>
      <c r="DD245" s="451">
        <v>0</v>
      </c>
      <c r="DE245" s="451">
        <v>-1459</v>
      </c>
      <c r="DF245" s="451">
        <v>0</v>
      </c>
      <c r="DG245" s="451">
        <v>0</v>
      </c>
      <c r="DH245" s="451">
        <v>0</v>
      </c>
      <c r="DI245" s="451">
        <v>0</v>
      </c>
      <c r="DJ245" s="451">
        <v>0</v>
      </c>
      <c r="DK245" s="451">
        <v>0</v>
      </c>
      <c r="DL245" s="451">
        <v>0</v>
      </c>
      <c r="DM245" s="451">
        <v>0</v>
      </c>
      <c r="DN245" s="451">
        <v>0</v>
      </c>
      <c r="DO245" s="451">
        <v>0</v>
      </c>
      <c r="DP245" s="451">
        <v>0</v>
      </c>
      <c r="DQ245" s="451">
        <v>0</v>
      </c>
      <c r="DR245" s="451">
        <v>0</v>
      </c>
      <c r="DS245" s="451">
        <v>0</v>
      </c>
      <c r="DT245" s="451">
        <v>0</v>
      </c>
      <c r="DU245" s="451">
        <v>0</v>
      </c>
      <c r="DV245" s="451">
        <v>0</v>
      </c>
      <c r="DW245" s="451">
        <v>0</v>
      </c>
      <c r="DX245" s="451">
        <v>0</v>
      </c>
      <c r="DY245" s="451">
        <v>0</v>
      </c>
      <c r="DZ245" s="451">
        <v>0</v>
      </c>
      <c r="EA245" s="451">
        <v>0</v>
      </c>
      <c r="EB245" s="451">
        <v>0</v>
      </c>
      <c r="EC245" s="451">
        <v>0</v>
      </c>
      <c r="ED245" s="451">
        <v>0</v>
      </c>
      <c r="EE245" s="451">
        <v>0</v>
      </c>
      <c r="EF245" s="451">
        <v>6736</v>
      </c>
      <c r="EG245" s="451">
        <v>0</v>
      </c>
      <c r="EH245" s="451">
        <v>0</v>
      </c>
      <c r="EI245" s="451">
        <v>6736</v>
      </c>
      <c r="EJ245" s="451">
        <v>478</v>
      </c>
      <c r="EK245" s="451">
        <v>0</v>
      </c>
      <c r="EL245" s="451">
        <v>0</v>
      </c>
      <c r="EM245" s="451">
        <v>478</v>
      </c>
    </row>
    <row r="246" spans="1:143" ht="12.75" x14ac:dyDescent="0.2">
      <c r="A246" s="446">
        <v>240</v>
      </c>
      <c r="B246" s="447" t="s">
        <v>363</v>
      </c>
      <c r="C246" s="448" t="s">
        <v>1093</v>
      </c>
      <c r="D246" s="449" t="s">
        <v>1096</v>
      </c>
      <c r="E246" s="450" t="s">
        <v>362</v>
      </c>
      <c r="F246" s="451">
        <v>1557854</v>
      </c>
      <c r="G246" s="451">
        <v>0</v>
      </c>
      <c r="H246" s="451">
        <v>0</v>
      </c>
      <c r="I246" s="451">
        <v>1557854</v>
      </c>
      <c r="J246" s="451">
        <v>-11751</v>
      </c>
      <c r="K246" s="451">
        <v>0</v>
      </c>
      <c r="L246" s="451">
        <v>0</v>
      </c>
      <c r="M246" s="451">
        <v>-11751</v>
      </c>
      <c r="N246" s="451">
        <v>10054</v>
      </c>
      <c r="O246" s="451">
        <v>0</v>
      </c>
      <c r="P246" s="451">
        <v>0</v>
      </c>
      <c r="Q246" s="451">
        <v>10054</v>
      </c>
      <c r="R246" s="451">
        <v>69743</v>
      </c>
      <c r="S246" s="451">
        <v>0</v>
      </c>
      <c r="T246" s="451">
        <v>0</v>
      </c>
      <c r="U246" s="451">
        <v>69743</v>
      </c>
      <c r="V246" s="451">
        <v>1706591</v>
      </c>
      <c r="W246" s="451">
        <v>0</v>
      </c>
      <c r="X246" s="451">
        <v>0</v>
      </c>
      <c r="Y246" s="451">
        <v>1706591</v>
      </c>
      <c r="Z246" s="451">
        <v>65116</v>
      </c>
      <c r="AA246" s="451">
        <v>0</v>
      </c>
      <c r="AB246" s="451">
        <v>0</v>
      </c>
      <c r="AC246" s="451">
        <v>65116</v>
      </c>
      <c r="AD246" s="451">
        <v>480495</v>
      </c>
      <c r="AE246" s="451">
        <v>0</v>
      </c>
      <c r="AF246" s="451">
        <v>0</v>
      </c>
      <c r="AG246" s="451">
        <v>480495</v>
      </c>
      <c r="AH246" s="451">
        <v>-6138</v>
      </c>
      <c r="AI246" s="451">
        <v>0</v>
      </c>
      <c r="AJ246" s="451">
        <v>0</v>
      </c>
      <c r="AK246" s="451">
        <v>-6138</v>
      </c>
      <c r="AL246" s="451">
        <v>978115</v>
      </c>
      <c r="AM246" s="451">
        <v>0</v>
      </c>
      <c r="AN246" s="451">
        <v>0</v>
      </c>
      <c r="AO246" s="451">
        <v>978115</v>
      </c>
      <c r="AP246" s="451">
        <v>23499</v>
      </c>
      <c r="AQ246" s="451">
        <v>0</v>
      </c>
      <c r="AR246" s="451">
        <v>0</v>
      </c>
      <c r="AS246" s="451">
        <v>23499</v>
      </c>
      <c r="AT246" s="451">
        <v>53605</v>
      </c>
      <c r="AU246" s="451">
        <v>0</v>
      </c>
      <c r="AV246" s="451">
        <v>0</v>
      </c>
      <c r="AW246" s="451">
        <v>53605</v>
      </c>
      <c r="AX246" s="451">
        <v>6985</v>
      </c>
      <c r="AY246" s="451">
        <v>0</v>
      </c>
      <c r="AZ246" s="451">
        <v>0</v>
      </c>
      <c r="BA246" s="451">
        <v>6985</v>
      </c>
      <c r="BB246" s="451">
        <v>32809</v>
      </c>
      <c r="BC246" s="451">
        <v>0</v>
      </c>
      <c r="BD246" s="451">
        <v>0</v>
      </c>
      <c r="BE246" s="451">
        <v>32809</v>
      </c>
      <c r="BF246" s="451">
        <v>0</v>
      </c>
      <c r="BG246" s="451">
        <v>0</v>
      </c>
      <c r="BH246" s="451">
        <v>0</v>
      </c>
      <c r="BI246" s="451">
        <v>0</v>
      </c>
      <c r="BJ246" s="451">
        <v>0</v>
      </c>
      <c r="BK246" s="451">
        <v>0</v>
      </c>
      <c r="BL246" s="451">
        <v>0</v>
      </c>
      <c r="BM246" s="451">
        <v>0</v>
      </c>
      <c r="BN246" s="451">
        <v>0</v>
      </c>
      <c r="BO246" s="451">
        <v>0</v>
      </c>
      <c r="BP246" s="451">
        <v>0</v>
      </c>
      <c r="BQ246" s="451">
        <v>0</v>
      </c>
      <c r="BR246" s="451">
        <v>463220</v>
      </c>
      <c r="BS246" s="451">
        <v>0</v>
      </c>
      <c r="BT246" s="451">
        <v>0</v>
      </c>
      <c r="BU246" s="451">
        <v>463220</v>
      </c>
      <c r="BV246" s="451">
        <v>-55283</v>
      </c>
      <c r="BW246" s="451">
        <v>0</v>
      </c>
      <c r="BX246" s="451">
        <v>0</v>
      </c>
      <c r="BY246" s="451">
        <v>-55283</v>
      </c>
      <c r="BZ246" s="451">
        <v>73527</v>
      </c>
      <c r="CA246" s="451">
        <v>0</v>
      </c>
      <c r="CB246" s="451">
        <v>0</v>
      </c>
      <c r="CC246" s="451">
        <v>73527</v>
      </c>
      <c r="CD246" s="451">
        <v>2432</v>
      </c>
      <c r="CE246" s="451">
        <v>0</v>
      </c>
      <c r="CF246" s="451">
        <v>0</v>
      </c>
      <c r="CG246" s="451">
        <v>2432</v>
      </c>
      <c r="CH246" s="451">
        <v>37444</v>
      </c>
      <c r="CI246" s="451">
        <v>0</v>
      </c>
      <c r="CJ246" s="451">
        <v>0</v>
      </c>
      <c r="CK246" s="451">
        <v>37444</v>
      </c>
      <c r="CL246" s="451">
        <v>0</v>
      </c>
      <c r="CM246" s="451">
        <v>0</v>
      </c>
      <c r="CN246" s="451">
        <v>0</v>
      </c>
      <c r="CO246" s="451">
        <v>0</v>
      </c>
      <c r="CP246" s="451">
        <v>7135</v>
      </c>
      <c r="CQ246" s="451">
        <v>0</v>
      </c>
      <c r="CR246" s="451">
        <v>0</v>
      </c>
      <c r="CS246" s="451">
        <v>7135</v>
      </c>
      <c r="CT246" s="451">
        <v>1746</v>
      </c>
      <c r="CU246" s="451">
        <v>0</v>
      </c>
      <c r="CV246" s="451">
        <v>0</v>
      </c>
      <c r="CW246" s="451">
        <v>1746</v>
      </c>
      <c r="CX246" s="451">
        <v>32809</v>
      </c>
      <c r="CY246" s="451">
        <v>0</v>
      </c>
      <c r="CZ246" s="451">
        <v>0</v>
      </c>
      <c r="DA246" s="451">
        <v>32809</v>
      </c>
      <c r="DB246" s="451">
        <v>0</v>
      </c>
      <c r="DC246" s="451">
        <v>0</v>
      </c>
      <c r="DD246" s="451">
        <v>0</v>
      </c>
      <c r="DE246" s="451">
        <v>0</v>
      </c>
      <c r="DF246" s="451">
        <v>0</v>
      </c>
      <c r="DG246" s="451">
        <v>0</v>
      </c>
      <c r="DH246" s="451">
        <v>0</v>
      </c>
      <c r="DI246" s="451">
        <v>0</v>
      </c>
      <c r="DJ246" s="451">
        <v>0</v>
      </c>
      <c r="DK246" s="451">
        <v>0</v>
      </c>
      <c r="DL246" s="451">
        <v>0</v>
      </c>
      <c r="DM246" s="451">
        <v>0</v>
      </c>
      <c r="DN246" s="451">
        <v>0</v>
      </c>
      <c r="DO246" s="451">
        <v>0</v>
      </c>
      <c r="DP246" s="451">
        <v>0</v>
      </c>
      <c r="DQ246" s="451">
        <v>0</v>
      </c>
      <c r="DR246" s="451">
        <v>0</v>
      </c>
      <c r="DS246" s="451">
        <v>0</v>
      </c>
      <c r="DT246" s="451">
        <v>0</v>
      </c>
      <c r="DU246" s="451">
        <v>0</v>
      </c>
      <c r="DV246" s="451">
        <v>0</v>
      </c>
      <c r="DW246" s="451">
        <v>0</v>
      </c>
      <c r="DX246" s="451">
        <v>0</v>
      </c>
      <c r="DY246" s="451">
        <v>0</v>
      </c>
      <c r="DZ246" s="451">
        <v>0</v>
      </c>
      <c r="EA246" s="451">
        <v>0</v>
      </c>
      <c r="EB246" s="451">
        <v>0</v>
      </c>
      <c r="EC246" s="451">
        <v>0</v>
      </c>
      <c r="ED246" s="451">
        <v>0</v>
      </c>
      <c r="EE246" s="451">
        <v>0</v>
      </c>
      <c r="EF246" s="451">
        <v>0</v>
      </c>
      <c r="EG246" s="451">
        <v>0</v>
      </c>
      <c r="EH246" s="451">
        <v>0</v>
      </c>
      <c r="EI246" s="451">
        <v>0</v>
      </c>
      <c r="EJ246" s="451">
        <v>0</v>
      </c>
      <c r="EK246" s="451">
        <v>0</v>
      </c>
      <c r="EL246" s="451">
        <v>0</v>
      </c>
      <c r="EM246" s="451">
        <v>0</v>
      </c>
    </row>
    <row r="247" spans="1:143" ht="12.75" x14ac:dyDescent="0.2">
      <c r="A247" s="446">
        <v>241</v>
      </c>
      <c r="B247" s="447" t="s">
        <v>365</v>
      </c>
      <c r="C247" s="448" t="s">
        <v>1093</v>
      </c>
      <c r="D247" s="449" t="s">
        <v>1096</v>
      </c>
      <c r="E247" s="450" t="s">
        <v>364</v>
      </c>
      <c r="F247" s="451">
        <v>114565</v>
      </c>
      <c r="G247" s="451">
        <v>0</v>
      </c>
      <c r="H247" s="451">
        <v>0</v>
      </c>
      <c r="I247" s="451">
        <v>114565</v>
      </c>
      <c r="J247" s="451">
        <v>-47314</v>
      </c>
      <c r="K247" s="451">
        <v>0</v>
      </c>
      <c r="L247" s="451">
        <v>0</v>
      </c>
      <c r="M247" s="451">
        <v>-47314</v>
      </c>
      <c r="N247" s="451">
        <v>28959</v>
      </c>
      <c r="O247" s="451">
        <v>0</v>
      </c>
      <c r="P247" s="451">
        <v>0</v>
      </c>
      <c r="Q247" s="451">
        <v>28959</v>
      </c>
      <c r="R247" s="451">
        <v>90228</v>
      </c>
      <c r="S247" s="451">
        <v>0</v>
      </c>
      <c r="T247" s="451">
        <v>0</v>
      </c>
      <c r="U247" s="451">
        <v>90228</v>
      </c>
      <c r="V247" s="451">
        <v>2476519</v>
      </c>
      <c r="W247" s="451">
        <v>0</v>
      </c>
      <c r="X247" s="451">
        <v>0</v>
      </c>
      <c r="Y247" s="451">
        <v>2476519</v>
      </c>
      <c r="Z247" s="451">
        <v>181672</v>
      </c>
      <c r="AA247" s="451">
        <v>0</v>
      </c>
      <c r="AB247" s="451">
        <v>0</v>
      </c>
      <c r="AC247" s="451">
        <v>181672</v>
      </c>
      <c r="AD247" s="451">
        <v>912989</v>
      </c>
      <c r="AE247" s="451">
        <v>0</v>
      </c>
      <c r="AF247" s="451">
        <v>0</v>
      </c>
      <c r="AG247" s="451">
        <v>912989</v>
      </c>
      <c r="AH247" s="451">
        <v>0</v>
      </c>
      <c r="AI247" s="451">
        <v>0</v>
      </c>
      <c r="AJ247" s="451">
        <v>0</v>
      </c>
      <c r="AK247" s="451">
        <v>0</v>
      </c>
      <c r="AL247" s="451">
        <v>2939857</v>
      </c>
      <c r="AM247" s="451">
        <v>0</v>
      </c>
      <c r="AN247" s="451">
        <v>0</v>
      </c>
      <c r="AO247" s="451">
        <v>2939857</v>
      </c>
      <c r="AP247" s="451">
        <v>-44963</v>
      </c>
      <c r="AQ247" s="451">
        <v>0</v>
      </c>
      <c r="AR247" s="451">
        <v>0</v>
      </c>
      <c r="AS247" s="451">
        <v>-44963</v>
      </c>
      <c r="AT247" s="451">
        <v>138397</v>
      </c>
      <c r="AU247" s="451">
        <v>0</v>
      </c>
      <c r="AV247" s="451">
        <v>0</v>
      </c>
      <c r="AW247" s="451">
        <v>138397</v>
      </c>
      <c r="AX247" s="451">
        <v>0</v>
      </c>
      <c r="AY247" s="451">
        <v>0</v>
      </c>
      <c r="AZ247" s="451">
        <v>0</v>
      </c>
      <c r="BA247" s="451">
        <v>0</v>
      </c>
      <c r="BB247" s="451">
        <v>50504</v>
      </c>
      <c r="BC247" s="451">
        <v>0</v>
      </c>
      <c r="BD247" s="451">
        <v>0</v>
      </c>
      <c r="BE247" s="451">
        <v>50504</v>
      </c>
      <c r="BF247" s="451">
        <v>7478</v>
      </c>
      <c r="BG247" s="451">
        <v>0</v>
      </c>
      <c r="BH247" s="451">
        <v>0</v>
      </c>
      <c r="BI247" s="451">
        <v>7478</v>
      </c>
      <c r="BJ247" s="451">
        <v>0</v>
      </c>
      <c r="BK247" s="451">
        <v>0</v>
      </c>
      <c r="BL247" s="451">
        <v>0</v>
      </c>
      <c r="BM247" s="451">
        <v>0</v>
      </c>
      <c r="BN247" s="451">
        <v>0</v>
      </c>
      <c r="BO247" s="451">
        <v>0</v>
      </c>
      <c r="BP247" s="451">
        <v>0</v>
      </c>
      <c r="BQ247" s="451">
        <v>0</v>
      </c>
      <c r="BR247" s="451">
        <v>1489841</v>
      </c>
      <c r="BS247" s="451">
        <v>0</v>
      </c>
      <c r="BT247" s="451">
        <v>0</v>
      </c>
      <c r="BU247" s="451">
        <v>1489841</v>
      </c>
      <c r="BV247" s="451">
        <v>-94057</v>
      </c>
      <c r="BW247" s="451">
        <v>0</v>
      </c>
      <c r="BX247" s="451">
        <v>0</v>
      </c>
      <c r="BY247" s="451">
        <v>-94057</v>
      </c>
      <c r="BZ247" s="451">
        <v>14330</v>
      </c>
      <c r="CA247" s="451">
        <v>0</v>
      </c>
      <c r="CB247" s="451">
        <v>0</v>
      </c>
      <c r="CC247" s="451">
        <v>14330</v>
      </c>
      <c r="CD247" s="451">
        <v>1901</v>
      </c>
      <c r="CE247" s="451">
        <v>0</v>
      </c>
      <c r="CF247" s="451">
        <v>0</v>
      </c>
      <c r="CG247" s="451">
        <v>1901</v>
      </c>
      <c r="CH247" s="451">
        <v>5470</v>
      </c>
      <c r="CI247" s="451">
        <v>0</v>
      </c>
      <c r="CJ247" s="451">
        <v>0</v>
      </c>
      <c r="CK247" s="451">
        <v>5470</v>
      </c>
      <c r="CL247" s="451">
        <v>-116020</v>
      </c>
      <c r="CM247" s="451">
        <v>0</v>
      </c>
      <c r="CN247" s="451">
        <v>0</v>
      </c>
      <c r="CO247" s="451">
        <v>-116020</v>
      </c>
      <c r="CP247" s="451">
        <v>0</v>
      </c>
      <c r="CQ247" s="451">
        <v>0</v>
      </c>
      <c r="CR247" s="451">
        <v>0</v>
      </c>
      <c r="CS247" s="451">
        <v>0</v>
      </c>
      <c r="CT247" s="451">
        <v>0</v>
      </c>
      <c r="CU247" s="451">
        <v>0</v>
      </c>
      <c r="CV247" s="451">
        <v>0</v>
      </c>
      <c r="CW247" s="451">
        <v>0</v>
      </c>
      <c r="CX247" s="451">
        <v>25167</v>
      </c>
      <c r="CY247" s="451">
        <v>0</v>
      </c>
      <c r="CZ247" s="451">
        <v>0</v>
      </c>
      <c r="DA247" s="451">
        <v>25167</v>
      </c>
      <c r="DB247" s="451">
        <v>2483</v>
      </c>
      <c r="DC247" s="451">
        <v>0</v>
      </c>
      <c r="DD247" s="451">
        <v>0</v>
      </c>
      <c r="DE247" s="451">
        <v>2483</v>
      </c>
      <c r="DF247" s="451">
        <v>50740</v>
      </c>
      <c r="DG247" s="451">
        <v>0</v>
      </c>
      <c r="DH247" s="451">
        <v>0</v>
      </c>
      <c r="DI247" s="451">
        <v>50740</v>
      </c>
      <c r="DJ247" s="451">
        <v>120043</v>
      </c>
      <c r="DK247" s="451">
        <v>0</v>
      </c>
      <c r="DL247" s="451">
        <v>0</v>
      </c>
      <c r="DM247" s="451">
        <v>120043</v>
      </c>
      <c r="DN247" s="451">
        <v>0</v>
      </c>
      <c r="DO247" s="451">
        <v>0</v>
      </c>
      <c r="DP247" s="451">
        <v>0</v>
      </c>
      <c r="DQ247" s="451">
        <v>0</v>
      </c>
      <c r="DR247" s="451">
        <v>0</v>
      </c>
      <c r="DS247" s="451">
        <v>0</v>
      </c>
      <c r="DT247" s="451">
        <v>0</v>
      </c>
      <c r="DU247" s="451">
        <v>0</v>
      </c>
      <c r="DV247" s="451">
        <v>0</v>
      </c>
      <c r="DW247" s="451">
        <v>0</v>
      </c>
      <c r="DX247" s="451">
        <v>0</v>
      </c>
      <c r="DY247" s="451">
        <v>0</v>
      </c>
      <c r="DZ247" s="451">
        <v>0</v>
      </c>
      <c r="EA247" s="451">
        <v>0</v>
      </c>
      <c r="EB247" s="451">
        <v>0</v>
      </c>
      <c r="EC247" s="451">
        <v>0</v>
      </c>
      <c r="ED247" s="451">
        <v>0</v>
      </c>
      <c r="EE247" s="451">
        <v>0</v>
      </c>
      <c r="EF247" s="451">
        <v>0</v>
      </c>
      <c r="EG247" s="451">
        <v>0</v>
      </c>
      <c r="EH247" s="451">
        <v>0</v>
      </c>
      <c r="EI247" s="451">
        <v>0</v>
      </c>
      <c r="EJ247" s="451">
        <v>4854</v>
      </c>
      <c r="EK247" s="451">
        <v>0</v>
      </c>
      <c r="EL247" s="451">
        <v>0</v>
      </c>
      <c r="EM247" s="451">
        <v>4854</v>
      </c>
    </row>
    <row r="248" spans="1:143" ht="12.75" x14ac:dyDescent="0.2">
      <c r="A248" s="446">
        <v>242</v>
      </c>
      <c r="B248" s="447" t="s">
        <v>367</v>
      </c>
      <c r="C248" s="448" t="s">
        <v>1093</v>
      </c>
      <c r="D248" s="449" t="s">
        <v>1095</v>
      </c>
      <c r="E248" s="450" t="s">
        <v>366</v>
      </c>
      <c r="F248" s="451">
        <v>117868.83</v>
      </c>
      <c r="G248" s="451">
        <v>0</v>
      </c>
      <c r="H248" s="451">
        <v>0</v>
      </c>
      <c r="I248" s="451">
        <v>117868.83</v>
      </c>
      <c r="J248" s="451">
        <v>-42783.95</v>
      </c>
      <c r="K248" s="451">
        <v>0</v>
      </c>
      <c r="L248" s="451">
        <v>0</v>
      </c>
      <c r="M248" s="451">
        <v>-42783.95</v>
      </c>
      <c r="N248" s="451">
        <v>30063.65</v>
      </c>
      <c r="O248" s="451">
        <v>0</v>
      </c>
      <c r="P248" s="451">
        <v>0</v>
      </c>
      <c r="Q248" s="451">
        <v>30063.65</v>
      </c>
      <c r="R248" s="451">
        <v>146278.91</v>
      </c>
      <c r="S248" s="451">
        <v>0</v>
      </c>
      <c r="T248" s="451">
        <v>0</v>
      </c>
      <c r="U248" s="451">
        <v>146278.91</v>
      </c>
      <c r="V248" s="451">
        <v>5467824.4900000002</v>
      </c>
      <c r="W248" s="451">
        <v>0</v>
      </c>
      <c r="X248" s="451">
        <v>0</v>
      </c>
      <c r="Y248" s="451">
        <v>5467824.4900000002</v>
      </c>
      <c r="Z248" s="451">
        <v>269274.45</v>
      </c>
      <c r="AA248" s="451">
        <v>0</v>
      </c>
      <c r="AB248" s="451">
        <v>0</v>
      </c>
      <c r="AC248" s="451">
        <v>269274.45</v>
      </c>
      <c r="AD248" s="451">
        <v>689102.2</v>
      </c>
      <c r="AE248" s="451">
        <v>0</v>
      </c>
      <c r="AF248" s="451">
        <v>0</v>
      </c>
      <c r="AG248" s="451">
        <v>689102.2</v>
      </c>
      <c r="AH248" s="451">
        <v>-9560.85</v>
      </c>
      <c r="AI248" s="451">
        <v>0</v>
      </c>
      <c r="AJ248" s="451">
        <v>0</v>
      </c>
      <c r="AK248" s="451">
        <v>-9560.85</v>
      </c>
      <c r="AL248" s="451">
        <v>2829237.5</v>
      </c>
      <c r="AM248" s="451">
        <v>0</v>
      </c>
      <c r="AN248" s="451">
        <v>0</v>
      </c>
      <c r="AO248" s="451">
        <v>2829237.5</v>
      </c>
      <c r="AP248" s="451">
        <v>24787.439999999999</v>
      </c>
      <c r="AQ248" s="451">
        <v>0</v>
      </c>
      <c r="AR248" s="451">
        <v>0</v>
      </c>
      <c r="AS248" s="451">
        <v>24787.439999999999</v>
      </c>
      <c r="AT248" s="451">
        <v>86838.2</v>
      </c>
      <c r="AU248" s="451">
        <v>0</v>
      </c>
      <c r="AV248" s="451">
        <v>0</v>
      </c>
      <c r="AW248" s="451">
        <v>86838.2</v>
      </c>
      <c r="AX248" s="451">
        <v>-1532.44</v>
      </c>
      <c r="AY248" s="451">
        <v>0</v>
      </c>
      <c r="AZ248" s="451">
        <v>0</v>
      </c>
      <c r="BA248" s="451">
        <v>-1532.44</v>
      </c>
      <c r="BB248" s="451">
        <v>26565.86</v>
      </c>
      <c r="BC248" s="451">
        <v>0</v>
      </c>
      <c r="BD248" s="451">
        <v>0</v>
      </c>
      <c r="BE248" s="451">
        <v>26565.86</v>
      </c>
      <c r="BF248" s="451">
        <v>2192.88</v>
      </c>
      <c r="BG248" s="451">
        <v>0</v>
      </c>
      <c r="BH248" s="451">
        <v>0</v>
      </c>
      <c r="BI248" s="451">
        <v>2192.88</v>
      </c>
      <c r="BJ248" s="451">
        <v>6588.5</v>
      </c>
      <c r="BK248" s="451">
        <v>0</v>
      </c>
      <c r="BL248" s="451">
        <v>0</v>
      </c>
      <c r="BM248" s="451">
        <v>6588.5</v>
      </c>
      <c r="BN248" s="451">
        <v>4052.11</v>
      </c>
      <c r="BO248" s="451">
        <v>0</v>
      </c>
      <c r="BP248" s="451">
        <v>0</v>
      </c>
      <c r="BQ248" s="451">
        <v>4052.11</v>
      </c>
      <c r="BR248" s="451">
        <v>909331.12</v>
      </c>
      <c r="BS248" s="451">
        <v>0</v>
      </c>
      <c r="BT248" s="451">
        <v>0</v>
      </c>
      <c r="BU248" s="451">
        <v>909331.12</v>
      </c>
      <c r="BV248" s="451">
        <v>76006.320000000007</v>
      </c>
      <c r="BW248" s="451">
        <v>0</v>
      </c>
      <c r="BX248" s="451">
        <v>0</v>
      </c>
      <c r="BY248" s="451">
        <v>76006.320000000007</v>
      </c>
      <c r="BZ248" s="451">
        <v>57313.919999999998</v>
      </c>
      <c r="CA248" s="451">
        <v>0</v>
      </c>
      <c r="CB248" s="451">
        <v>0</v>
      </c>
      <c r="CC248" s="451">
        <v>57313.919999999998</v>
      </c>
      <c r="CD248" s="451">
        <v>394.26</v>
      </c>
      <c r="CE248" s="451">
        <v>0</v>
      </c>
      <c r="CF248" s="451">
        <v>0</v>
      </c>
      <c r="CG248" s="451">
        <v>394.26</v>
      </c>
      <c r="CH248" s="451">
        <v>29965.83</v>
      </c>
      <c r="CI248" s="451">
        <v>0</v>
      </c>
      <c r="CJ248" s="451">
        <v>0</v>
      </c>
      <c r="CK248" s="451">
        <v>29965.83</v>
      </c>
      <c r="CL248" s="451">
        <v>447.96</v>
      </c>
      <c r="CM248" s="451">
        <v>0</v>
      </c>
      <c r="CN248" s="451">
        <v>0</v>
      </c>
      <c r="CO248" s="451">
        <v>447.96</v>
      </c>
      <c r="CP248" s="451">
        <v>10735.27</v>
      </c>
      <c r="CQ248" s="451">
        <v>0</v>
      </c>
      <c r="CR248" s="451">
        <v>0</v>
      </c>
      <c r="CS248" s="451">
        <v>10735.27</v>
      </c>
      <c r="CT248" s="451">
        <v>0</v>
      </c>
      <c r="CU248" s="451">
        <v>0</v>
      </c>
      <c r="CV248" s="451">
        <v>0</v>
      </c>
      <c r="CW248" s="451">
        <v>0</v>
      </c>
      <c r="CX248" s="451">
        <v>7605.49</v>
      </c>
      <c r="CY248" s="451">
        <v>0</v>
      </c>
      <c r="CZ248" s="451">
        <v>0</v>
      </c>
      <c r="DA248" s="451">
        <v>7605.49</v>
      </c>
      <c r="DB248" s="451">
        <v>-109.29</v>
      </c>
      <c r="DC248" s="451">
        <v>0</v>
      </c>
      <c r="DD248" s="451">
        <v>0</v>
      </c>
      <c r="DE248" s="451">
        <v>-109.29</v>
      </c>
      <c r="DF248" s="451">
        <v>10129.99</v>
      </c>
      <c r="DG248" s="451">
        <v>0</v>
      </c>
      <c r="DH248" s="451">
        <v>0</v>
      </c>
      <c r="DI248" s="451">
        <v>10129.99</v>
      </c>
      <c r="DJ248" s="451">
        <v>0</v>
      </c>
      <c r="DK248" s="451">
        <v>0</v>
      </c>
      <c r="DL248" s="451">
        <v>0</v>
      </c>
      <c r="DM248" s="451">
        <v>0</v>
      </c>
      <c r="DN248" s="451">
        <v>0</v>
      </c>
      <c r="DO248" s="451">
        <v>0</v>
      </c>
      <c r="DP248" s="451">
        <v>0</v>
      </c>
      <c r="DQ248" s="451">
        <v>0</v>
      </c>
      <c r="DR248" s="451">
        <v>0</v>
      </c>
      <c r="DS248" s="451">
        <v>0</v>
      </c>
      <c r="DT248" s="451">
        <v>0</v>
      </c>
      <c r="DU248" s="451">
        <v>0</v>
      </c>
      <c r="DV248" s="451">
        <v>0</v>
      </c>
      <c r="DW248" s="451">
        <v>0</v>
      </c>
      <c r="DX248" s="451">
        <v>0</v>
      </c>
      <c r="DY248" s="451">
        <v>0</v>
      </c>
      <c r="DZ248" s="451">
        <v>0</v>
      </c>
      <c r="EA248" s="451">
        <v>0</v>
      </c>
      <c r="EB248" s="451">
        <v>2848</v>
      </c>
      <c r="EC248" s="451">
        <v>0</v>
      </c>
      <c r="ED248" s="451">
        <v>0</v>
      </c>
      <c r="EE248" s="451">
        <v>2848</v>
      </c>
      <c r="EF248" s="451">
        <v>0</v>
      </c>
      <c r="EG248" s="451">
        <v>0</v>
      </c>
      <c r="EH248" s="451">
        <v>0</v>
      </c>
      <c r="EI248" s="451">
        <v>0</v>
      </c>
      <c r="EJ248" s="451">
        <v>0</v>
      </c>
      <c r="EK248" s="451">
        <v>0</v>
      </c>
      <c r="EL248" s="451">
        <v>0</v>
      </c>
      <c r="EM248" s="451">
        <v>0</v>
      </c>
    </row>
    <row r="249" spans="1:143" ht="12.75" x14ac:dyDescent="0.2">
      <c r="A249" s="446">
        <v>243</v>
      </c>
      <c r="B249" s="447" t="s">
        <v>369</v>
      </c>
      <c r="C249" s="448" t="s">
        <v>1093</v>
      </c>
      <c r="D249" s="449" t="s">
        <v>1097</v>
      </c>
      <c r="E249" s="450" t="s">
        <v>368</v>
      </c>
      <c r="F249" s="451">
        <v>144198</v>
      </c>
      <c r="G249" s="451">
        <v>0</v>
      </c>
      <c r="H249" s="451">
        <v>0</v>
      </c>
      <c r="I249" s="451">
        <v>144198</v>
      </c>
      <c r="J249" s="451">
        <v>-33724</v>
      </c>
      <c r="K249" s="451">
        <v>0</v>
      </c>
      <c r="L249" s="451">
        <v>0</v>
      </c>
      <c r="M249" s="451">
        <v>-33724</v>
      </c>
      <c r="N249" s="451">
        <v>8898</v>
      </c>
      <c r="O249" s="451">
        <v>0</v>
      </c>
      <c r="P249" s="451">
        <v>0</v>
      </c>
      <c r="Q249" s="451">
        <v>8898</v>
      </c>
      <c r="R249" s="451">
        <v>21422</v>
      </c>
      <c r="S249" s="451">
        <v>0</v>
      </c>
      <c r="T249" s="451">
        <v>0</v>
      </c>
      <c r="U249" s="451">
        <v>21422</v>
      </c>
      <c r="V249" s="451">
        <v>2276703</v>
      </c>
      <c r="W249" s="451">
        <v>0</v>
      </c>
      <c r="X249" s="451">
        <v>0</v>
      </c>
      <c r="Y249" s="451">
        <v>2276703</v>
      </c>
      <c r="Z249" s="451">
        <v>354842</v>
      </c>
      <c r="AA249" s="451">
        <v>0</v>
      </c>
      <c r="AB249" s="451">
        <v>0</v>
      </c>
      <c r="AC249" s="451">
        <v>354842</v>
      </c>
      <c r="AD249" s="451">
        <v>546754</v>
      </c>
      <c r="AE249" s="451">
        <v>0</v>
      </c>
      <c r="AF249" s="451">
        <v>0</v>
      </c>
      <c r="AG249" s="451">
        <v>546754</v>
      </c>
      <c r="AH249" s="451">
        <v>2497</v>
      </c>
      <c r="AI249" s="451">
        <v>0</v>
      </c>
      <c r="AJ249" s="451">
        <v>0</v>
      </c>
      <c r="AK249" s="451">
        <v>2497</v>
      </c>
      <c r="AL249" s="451">
        <v>3178888</v>
      </c>
      <c r="AM249" s="451">
        <v>0</v>
      </c>
      <c r="AN249" s="451">
        <v>0</v>
      </c>
      <c r="AO249" s="451">
        <v>3178888</v>
      </c>
      <c r="AP249" s="451">
        <v>121282</v>
      </c>
      <c r="AQ249" s="451">
        <v>0</v>
      </c>
      <c r="AR249" s="451">
        <v>0</v>
      </c>
      <c r="AS249" s="451">
        <v>121282</v>
      </c>
      <c r="AT249" s="451">
        <v>58781</v>
      </c>
      <c r="AU249" s="451">
        <v>0</v>
      </c>
      <c r="AV249" s="451">
        <v>0</v>
      </c>
      <c r="AW249" s="451">
        <v>58781</v>
      </c>
      <c r="AX249" s="451">
        <v>5236</v>
      </c>
      <c r="AY249" s="451">
        <v>0</v>
      </c>
      <c r="AZ249" s="451">
        <v>0</v>
      </c>
      <c r="BA249" s="451">
        <v>5236</v>
      </c>
      <c r="BB249" s="451">
        <v>83111</v>
      </c>
      <c r="BC249" s="451">
        <v>0</v>
      </c>
      <c r="BD249" s="451">
        <v>0</v>
      </c>
      <c r="BE249" s="451">
        <v>83111</v>
      </c>
      <c r="BF249" s="451">
        <v>-220</v>
      </c>
      <c r="BG249" s="451">
        <v>0</v>
      </c>
      <c r="BH249" s="451">
        <v>0</v>
      </c>
      <c r="BI249" s="451">
        <v>-220</v>
      </c>
      <c r="BJ249" s="451">
        <v>4158</v>
      </c>
      <c r="BK249" s="451">
        <v>0</v>
      </c>
      <c r="BL249" s="451">
        <v>0</v>
      </c>
      <c r="BM249" s="451">
        <v>4158</v>
      </c>
      <c r="BN249" s="451">
        <v>9856</v>
      </c>
      <c r="BO249" s="451">
        <v>0</v>
      </c>
      <c r="BP249" s="451">
        <v>0</v>
      </c>
      <c r="BQ249" s="451">
        <v>9856</v>
      </c>
      <c r="BR249" s="451">
        <v>1019406</v>
      </c>
      <c r="BS249" s="451">
        <v>0</v>
      </c>
      <c r="BT249" s="451">
        <v>0</v>
      </c>
      <c r="BU249" s="451">
        <v>1019406</v>
      </c>
      <c r="BV249" s="451">
        <v>13579</v>
      </c>
      <c r="BW249" s="451">
        <v>0</v>
      </c>
      <c r="BX249" s="451">
        <v>0</v>
      </c>
      <c r="BY249" s="451">
        <v>13579</v>
      </c>
      <c r="BZ249" s="451">
        <v>103742</v>
      </c>
      <c r="CA249" s="451">
        <v>0</v>
      </c>
      <c r="CB249" s="451">
        <v>0</v>
      </c>
      <c r="CC249" s="451">
        <v>103742</v>
      </c>
      <c r="CD249" s="451">
        <v>5480</v>
      </c>
      <c r="CE249" s="451">
        <v>0</v>
      </c>
      <c r="CF249" s="451">
        <v>0</v>
      </c>
      <c r="CG249" s="451">
        <v>5480</v>
      </c>
      <c r="CH249" s="451">
        <v>108522</v>
      </c>
      <c r="CI249" s="451">
        <v>0</v>
      </c>
      <c r="CJ249" s="451">
        <v>0</v>
      </c>
      <c r="CK249" s="451">
        <v>108522</v>
      </c>
      <c r="CL249" s="451">
        <v>1269</v>
      </c>
      <c r="CM249" s="451">
        <v>0</v>
      </c>
      <c r="CN249" s="451">
        <v>0</v>
      </c>
      <c r="CO249" s="451">
        <v>1269</v>
      </c>
      <c r="CP249" s="451">
        <v>4705</v>
      </c>
      <c r="CQ249" s="451">
        <v>0</v>
      </c>
      <c r="CR249" s="451">
        <v>0</v>
      </c>
      <c r="CS249" s="451">
        <v>4705</v>
      </c>
      <c r="CT249" s="451">
        <v>-2383</v>
      </c>
      <c r="CU249" s="451">
        <v>0</v>
      </c>
      <c r="CV249" s="451">
        <v>0</v>
      </c>
      <c r="CW249" s="451">
        <v>-2383</v>
      </c>
      <c r="CX249" s="451">
        <v>40134</v>
      </c>
      <c r="CY249" s="451">
        <v>0</v>
      </c>
      <c r="CZ249" s="451">
        <v>0</v>
      </c>
      <c r="DA249" s="451">
        <v>40134</v>
      </c>
      <c r="DB249" s="451">
        <v>-3079</v>
      </c>
      <c r="DC249" s="451">
        <v>0</v>
      </c>
      <c r="DD249" s="451">
        <v>0</v>
      </c>
      <c r="DE249" s="451">
        <v>-3079</v>
      </c>
      <c r="DF249" s="451">
        <v>20509</v>
      </c>
      <c r="DG249" s="451">
        <v>0</v>
      </c>
      <c r="DH249" s="451">
        <v>0</v>
      </c>
      <c r="DI249" s="451">
        <v>20509</v>
      </c>
      <c r="DJ249" s="451">
        <v>1010</v>
      </c>
      <c r="DK249" s="451">
        <v>0</v>
      </c>
      <c r="DL249" s="451">
        <v>0</v>
      </c>
      <c r="DM249" s="451">
        <v>1010</v>
      </c>
      <c r="DN249" s="451">
        <v>0</v>
      </c>
      <c r="DO249" s="451">
        <v>0</v>
      </c>
      <c r="DP249" s="451">
        <v>0</v>
      </c>
      <c r="DQ249" s="451">
        <v>0</v>
      </c>
      <c r="DR249" s="451">
        <v>0</v>
      </c>
      <c r="DS249" s="451">
        <v>0</v>
      </c>
      <c r="DT249" s="451">
        <v>0</v>
      </c>
      <c r="DU249" s="451">
        <v>0</v>
      </c>
      <c r="DV249" s="451">
        <v>0</v>
      </c>
      <c r="DW249" s="451">
        <v>0</v>
      </c>
      <c r="DX249" s="451">
        <v>0</v>
      </c>
      <c r="DY249" s="451">
        <v>0</v>
      </c>
      <c r="DZ249" s="451">
        <v>0</v>
      </c>
      <c r="EA249" s="451">
        <v>0</v>
      </c>
      <c r="EB249" s="451">
        <v>0</v>
      </c>
      <c r="EC249" s="451">
        <v>0</v>
      </c>
      <c r="ED249" s="451">
        <v>0</v>
      </c>
      <c r="EE249" s="451">
        <v>0</v>
      </c>
      <c r="EF249" s="451">
        <v>2180</v>
      </c>
      <c r="EG249" s="451">
        <v>0</v>
      </c>
      <c r="EH249" s="451">
        <v>0</v>
      </c>
      <c r="EI249" s="451">
        <v>2180</v>
      </c>
      <c r="EJ249" s="451">
        <v>830</v>
      </c>
      <c r="EK249" s="451">
        <v>0</v>
      </c>
      <c r="EL249" s="451">
        <v>0</v>
      </c>
      <c r="EM249" s="451">
        <v>830</v>
      </c>
    </row>
    <row r="250" spans="1:143" ht="12.75" x14ac:dyDescent="0.2">
      <c r="A250" s="446">
        <v>244</v>
      </c>
      <c r="B250" s="447" t="s">
        <v>371</v>
      </c>
      <c r="C250" s="448" t="s">
        <v>1093</v>
      </c>
      <c r="D250" s="449" t="s">
        <v>1096</v>
      </c>
      <c r="E250" s="450" t="s">
        <v>370</v>
      </c>
      <c r="F250" s="451">
        <v>46798</v>
      </c>
      <c r="G250" s="451">
        <v>0</v>
      </c>
      <c r="H250" s="451">
        <v>0</v>
      </c>
      <c r="I250" s="451">
        <v>46798</v>
      </c>
      <c r="J250" s="451">
        <v>-121242</v>
      </c>
      <c r="K250" s="451">
        <v>0</v>
      </c>
      <c r="L250" s="451">
        <v>0</v>
      </c>
      <c r="M250" s="451">
        <v>-121242</v>
      </c>
      <c r="N250" s="451">
        <v>25377</v>
      </c>
      <c r="O250" s="451">
        <v>0</v>
      </c>
      <c r="P250" s="451">
        <v>0</v>
      </c>
      <c r="Q250" s="451">
        <v>25377</v>
      </c>
      <c r="R250" s="451">
        <v>32152</v>
      </c>
      <c r="S250" s="451">
        <v>0</v>
      </c>
      <c r="T250" s="451">
        <v>0</v>
      </c>
      <c r="U250" s="451">
        <v>32152</v>
      </c>
      <c r="V250" s="451">
        <v>1633361</v>
      </c>
      <c r="W250" s="451">
        <v>0</v>
      </c>
      <c r="X250" s="451">
        <v>0</v>
      </c>
      <c r="Y250" s="451">
        <v>1633361</v>
      </c>
      <c r="Z250" s="451">
        <v>94215</v>
      </c>
      <c r="AA250" s="451">
        <v>0</v>
      </c>
      <c r="AB250" s="451">
        <v>0</v>
      </c>
      <c r="AC250" s="451">
        <v>94215</v>
      </c>
      <c r="AD250" s="451">
        <v>371333</v>
      </c>
      <c r="AE250" s="451">
        <v>0</v>
      </c>
      <c r="AF250" s="451">
        <v>0</v>
      </c>
      <c r="AG250" s="451">
        <v>371333</v>
      </c>
      <c r="AH250" s="451">
        <v>7194</v>
      </c>
      <c r="AI250" s="451">
        <v>0</v>
      </c>
      <c r="AJ250" s="451">
        <v>0</v>
      </c>
      <c r="AK250" s="451">
        <v>7194</v>
      </c>
      <c r="AL250" s="451">
        <v>1442008</v>
      </c>
      <c r="AM250" s="451">
        <v>0</v>
      </c>
      <c r="AN250" s="451">
        <v>0</v>
      </c>
      <c r="AO250" s="451">
        <v>1442008</v>
      </c>
      <c r="AP250" s="451">
        <v>19228</v>
      </c>
      <c r="AQ250" s="451">
        <v>0</v>
      </c>
      <c r="AR250" s="451">
        <v>0</v>
      </c>
      <c r="AS250" s="451">
        <v>19228</v>
      </c>
      <c r="AT250" s="451">
        <v>6048</v>
      </c>
      <c r="AU250" s="451">
        <v>0</v>
      </c>
      <c r="AV250" s="451">
        <v>0</v>
      </c>
      <c r="AW250" s="451">
        <v>6048</v>
      </c>
      <c r="AX250" s="451">
        <v>0</v>
      </c>
      <c r="AY250" s="451">
        <v>0</v>
      </c>
      <c r="AZ250" s="451">
        <v>0</v>
      </c>
      <c r="BA250" s="451">
        <v>0</v>
      </c>
      <c r="BB250" s="451">
        <v>61902</v>
      </c>
      <c r="BC250" s="451">
        <v>0</v>
      </c>
      <c r="BD250" s="451">
        <v>0</v>
      </c>
      <c r="BE250" s="451">
        <v>61902</v>
      </c>
      <c r="BF250" s="451">
        <v>25929</v>
      </c>
      <c r="BG250" s="451">
        <v>0</v>
      </c>
      <c r="BH250" s="451">
        <v>0</v>
      </c>
      <c r="BI250" s="451">
        <v>25929</v>
      </c>
      <c r="BJ250" s="451">
        <v>8476</v>
      </c>
      <c r="BK250" s="451">
        <v>0</v>
      </c>
      <c r="BL250" s="451">
        <v>0</v>
      </c>
      <c r="BM250" s="451">
        <v>8476</v>
      </c>
      <c r="BN250" s="451">
        <v>0</v>
      </c>
      <c r="BO250" s="451">
        <v>0</v>
      </c>
      <c r="BP250" s="451">
        <v>0</v>
      </c>
      <c r="BQ250" s="451">
        <v>0</v>
      </c>
      <c r="BR250" s="451">
        <v>798120</v>
      </c>
      <c r="BS250" s="451">
        <v>0</v>
      </c>
      <c r="BT250" s="451">
        <v>0</v>
      </c>
      <c r="BU250" s="451">
        <v>798120</v>
      </c>
      <c r="BV250" s="451">
        <v>5280</v>
      </c>
      <c r="BW250" s="451">
        <v>0</v>
      </c>
      <c r="BX250" s="451">
        <v>0</v>
      </c>
      <c r="BY250" s="451">
        <v>5280</v>
      </c>
      <c r="BZ250" s="451">
        <v>117781</v>
      </c>
      <c r="CA250" s="451">
        <v>0</v>
      </c>
      <c r="CB250" s="451">
        <v>0</v>
      </c>
      <c r="CC250" s="451">
        <v>117781</v>
      </c>
      <c r="CD250" s="451">
        <v>455</v>
      </c>
      <c r="CE250" s="451">
        <v>0</v>
      </c>
      <c r="CF250" s="451">
        <v>0</v>
      </c>
      <c r="CG250" s="451">
        <v>455</v>
      </c>
      <c r="CH250" s="451">
        <v>136261</v>
      </c>
      <c r="CI250" s="451">
        <v>0</v>
      </c>
      <c r="CJ250" s="451">
        <v>0</v>
      </c>
      <c r="CK250" s="451">
        <v>136261</v>
      </c>
      <c r="CL250" s="451">
        <v>-582</v>
      </c>
      <c r="CM250" s="451">
        <v>0</v>
      </c>
      <c r="CN250" s="451">
        <v>0</v>
      </c>
      <c r="CO250" s="451">
        <v>-582</v>
      </c>
      <c r="CP250" s="451">
        <v>1512</v>
      </c>
      <c r="CQ250" s="451">
        <v>0</v>
      </c>
      <c r="CR250" s="451">
        <v>0</v>
      </c>
      <c r="CS250" s="451">
        <v>1512</v>
      </c>
      <c r="CT250" s="451">
        <v>0</v>
      </c>
      <c r="CU250" s="451">
        <v>0</v>
      </c>
      <c r="CV250" s="451">
        <v>0</v>
      </c>
      <c r="CW250" s="451">
        <v>0</v>
      </c>
      <c r="CX250" s="451">
        <v>16716</v>
      </c>
      <c r="CY250" s="451">
        <v>0</v>
      </c>
      <c r="CZ250" s="451">
        <v>0</v>
      </c>
      <c r="DA250" s="451">
        <v>16716</v>
      </c>
      <c r="DB250" s="451">
        <v>0</v>
      </c>
      <c r="DC250" s="451">
        <v>0</v>
      </c>
      <c r="DD250" s="451">
        <v>0</v>
      </c>
      <c r="DE250" s="451">
        <v>0</v>
      </c>
      <c r="DF250" s="451">
        <v>3966</v>
      </c>
      <c r="DG250" s="451">
        <v>0</v>
      </c>
      <c r="DH250" s="451">
        <v>0</v>
      </c>
      <c r="DI250" s="451">
        <v>3966</v>
      </c>
      <c r="DJ250" s="451">
        <v>0</v>
      </c>
      <c r="DK250" s="451">
        <v>0</v>
      </c>
      <c r="DL250" s="451">
        <v>0</v>
      </c>
      <c r="DM250" s="451">
        <v>0</v>
      </c>
      <c r="DN250" s="451">
        <v>0</v>
      </c>
      <c r="DO250" s="451">
        <v>0</v>
      </c>
      <c r="DP250" s="451">
        <v>0</v>
      </c>
      <c r="DQ250" s="451">
        <v>0</v>
      </c>
      <c r="DR250" s="451">
        <v>0</v>
      </c>
      <c r="DS250" s="451">
        <v>0</v>
      </c>
      <c r="DT250" s="451">
        <v>0</v>
      </c>
      <c r="DU250" s="451">
        <v>0</v>
      </c>
      <c r="DV250" s="451">
        <v>0</v>
      </c>
      <c r="DW250" s="451">
        <v>0</v>
      </c>
      <c r="DX250" s="451">
        <v>0</v>
      </c>
      <c r="DY250" s="451">
        <v>0</v>
      </c>
      <c r="DZ250" s="451">
        <v>0</v>
      </c>
      <c r="EA250" s="451">
        <v>0</v>
      </c>
      <c r="EB250" s="451">
        <v>0</v>
      </c>
      <c r="EC250" s="451">
        <v>0</v>
      </c>
      <c r="ED250" s="451">
        <v>0</v>
      </c>
      <c r="EE250" s="451">
        <v>0</v>
      </c>
      <c r="EF250" s="451">
        <v>0</v>
      </c>
      <c r="EG250" s="451">
        <v>0</v>
      </c>
      <c r="EH250" s="451">
        <v>0</v>
      </c>
      <c r="EI250" s="451">
        <v>0</v>
      </c>
      <c r="EJ250" s="451">
        <v>0</v>
      </c>
      <c r="EK250" s="451">
        <v>0</v>
      </c>
      <c r="EL250" s="451">
        <v>0</v>
      </c>
      <c r="EM250" s="451">
        <v>0</v>
      </c>
    </row>
    <row r="251" spans="1:143" ht="12.75" x14ac:dyDescent="0.2">
      <c r="A251" s="446">
        <v>245</v>
      </c>
      <c r="B251" s="447" t="s">
        <v>373</v>
      </c>
      <c r="C251" s="448" t="s">
        <v>1093</v>
      </c>
      <c r="D251" s="449" t="s">
        <v>1094</v>
      </c>
      <c r="E251" s="450" t="s">
        <v>372</v>
      </c>
      <c r="F251" s="451">
        <v>90389</v>
      </c>
      <c r="G251" s="451">
        <v>0</v>
      </c>
      <c r="H251" s="451">
        <v>0</v>
      </c>
      <c r="I251" s="451">
        <v>90389</v>
      </c>
      <c r="J251" s="451">
        <v>-98992</v>
      </c>
      <c r="K251" s="451">
        <v>0</v>
      </c>
      <c r="L251" s="451">
        <v>0</v>
      </c>
      <c r="M251" s="451">
        <v>-98992</v>
      </c>
      <c r="N251" s="451">
        <v>54595</v>
      </c>
      <c r="O251" s="451">
        <v>0</v>
      </c>
      <c r="P251" s="451">
        <v>0</v>
      </c>
      <c r="Q251" s="451">
        <v>54595</v>
      </c>
      <c r="R251" s="451">
        <v>108585</v>
      </c>
      <c r="S251" s="451">
        <v>0</v>
      </c>
      <c r="T251" s="451">
        <v>0</v>
      </c>
      <c r="U251" s="451">
        <v>108585</v>
      </c>
      <c r="V251" s="451">
        <v>2325349</v>
      </c>
      <c r="W251" s="451">
        <v>0</v>
      </c>
      <c r="X251" s="451">
        <v>0</v>
      </c>
      <c r="Y251" s="451">
        <v>2325349</v>
      </c>
      <c r="Z251" s="451">
        <v>185178</v>
      </c>
      <c r="AA251" s="451">
        <v>0</v>
      </c>
      <c r="AB251" s="451">
        <v>0</v>
      </c>
      <c r="AC251" s="451">
        <v>185178</v>
      </c>
      <c r="AD251" s="451">
        <v>818804</v>
      </c>
      <c r="AE251" s="451">
        <v>0</v>
      </c>
      <c r="AF251" s="451">
        <v>0</v>
      </c>
      <c r="AG251" s="451">
        <v>818804</v>
      </c>
      <c r="AH251" s="451">
        <v>-17083</v>
      </c>
      <c r="AI251" s="451">
        <v>0</v>
      </c>
      <c r="AJ251" s="451">
        <v>0</v>
      </c>
      <c r="AK251" s="451">
        <v>-17083</v>
      </c>
      <c r="AL251" s="451">
        <v>3714869</v>
      </c>
      <c r="AM251" s="451">
        <v>0</v>
      </c>
      <c r="AN251" s="451">
        <v>0</v>
      </c>
      <c r="AO251" s="451">
        <v>3714869</v>
      </c>
      <c r="AP251" s="451">
        <v>-123966</v>
      </c>
      <c r="AQ251" s="451">
        <v>0</v>
      </c>
      <c r="AR251" s="451">
        <v>0</v>
      </c>
      <c r="AS251" s="451">
        <v>-123966</v>
      </c>
      <c r="AT251" s="451">
        <v>76327</v>
      </c>
      <c r="AU251" s="451">
        <v>0</v>
      </c>
      <c r="AV251" s="451">
        <v>0</v>
      </c>
      <c r="AW251" s="451">
        <v>76327</v>
      </c>
      <c r="AX251" s="451">
        <v>0</v>
      </c>
      <c r="AY251" s="451">
        <v>0</v>
      </c>
      <c r="AZ251" s="451">
        <v>0</v>
      </c>
      <c r="BA251" s="451">
        <v>0</v>
      </c>
      <c r="BB251" s="451">
        <v>43067</v>
      </c>
      <c r="BC251" s="451">
        <v>0</v>
      </c>
      <c r="BD251" s="451">
        <v>0</v>
      </c>
      <c r="BE251" s="451">
        <v>43067</v>
      </c>
      <c r="BF251" s="451">
        <v>-7411</v>
      </c>
      <c r="BG251" s="451">
        <v>0</v>
      </c>
      <c r="BH251" s="451">
        <v>0</v>
      </c>
      <c r="BI251" s="451">
        <v>-7411</v>
      </c>
      <c r="BJ251" s="451">
        <v>0</v>
      </c>
      <c r="BK251" s="451">
        <v>0</v>
      </c>
      <c r="BL251" s="451">
        <v>0</v>
      </c>
      <c r="BM251" s="451">
        <v>0</v>
      </c>
      <c r="BN251" s="451">
        <v>0</v>
      </c>
      <c r="BO251" s="451">
        <v>0</v>
      </c>
      <c r="BP251" s="451">
        <v>0</v>
      </c>
      <c r="BQ251" s="451">
        <v>0</v>
      </c>
      <c r="BR251" s="451">
        <v>1524137</v>
      </c>
      <c r="BS251" s="451">
        <v>0</v>
      </c>
      <c r="BT251" s="451">
        <v>0</v>
      </c>
      <c r="BU251" s="451">
        <v>1524137</v>
      </c>
      <c r="BV251" s="451">
        <v>-36638</v>
      </c>
      <c r="BW251" s="451">
        <v>0</v>
      </c>
      <c r="BX251" s="451">
        <v>0</v>
      </c>
      <c r="BY251" s="451">
        <v>-36638</v>
      </c>
      <c r="BZ251" s="451">
        <v>192283</v>
      </c>
      <c r="CA251" s="451">
        <v>0</v>
      </c>
      <c r="CB251" s="451">
        <v>0</v>
      </c>
      <c r="CC251" s="451">
        <v>192283</v>
      </c>
      <c r="CD251" s="451">
        <v>24</v>
      </c>
      <c r="CE251" s="451">
        <v>0</v>
      </c>
      <c r="CF251" s="451">
        <v>0</v>
      </c>
      <c r="CG251" s="451">
        <v>24</v>
      </c>
      <c r="CH251" s="451">
        <v>16345</v>
      </c>
      <c r="CI251" s="451">
        <v>0</v>
      </c>
      <c r="CJ251" s="451">
        <v>0</v>
      </c>
      <c r="CK251" s="451">
        <v>16345</v>
      </c>
      <c r="CL251" s="451">
        <v>0</v>
      </c>
      <c r="CM251" s="451">
        <v>0</v>
      </c>
      <c r="CN251" s="451">
        <v>0</v>
      </c>
      <c r="CO251" s="451">
        <v>0</v>
      </c>
      <c r="CP251" s="451">
        <v>9541</v>
      </c>
      <c r="CQ251" s="451">
        <v>0</v>
      </c>
      <c r="CR251" s="451">
        <v>0</v>
      </c>
      <c r="CS251" s="451">
        <v>9541</v>
      </c>
      <c r="CT251" s="451">
        <v>0</v>
      </c>
      <c r="CU251" s="451">
        <v>0</v>
      </c>
      <c r="CV251" s="451">
        <v>0</v>
      </c>
      <c r="CW251" s="451">
        <v>0</v>
      </c>
      <c r="CX251" s="451">
        <v>21531</v>
      </c>
      <c r="CY251" s="451">
        <v>0</v>
      </c>
      <c r="CZ251" s="451">
        <v>0</v>
      </c>
      <c r="DA251" s="451">
        <v>21531</v>
      </c>
      <c r="DB251" s="451">
        <v>-2909</v>
      </c>
      <c r="DC251" s="451">
        <v>0</v>
      </c>
      <c r="DD251" s="451">
        <v>0</v>
      </c>
      <c r="DE251" s="451">
        <v>-2909</v>
      </c>
      <c r="DF251" s="451">
        <v>0</v>
      </c>
      <c r="DG251" s="451">
        <v>0</v>
      </c>
      <c r="DH251" s="451">
        <v>0</v>
      </c>
      <c r="DI251" s="451">
        <v>0</v>
      </c>
      <c r="DJ251" s="451">
        <v>0</v>
      </c>
      <c r="DK251" s="451">
        <v>0</v>
      </c>
      <c r="DL251" s="451">
        <v>0</v>
      </c>
      <c r="DM251" s="451">
        <v>0</v>
      </c>
      <c r="DN251" s="451">
        <v>0</v>
      </c>
      <c r="DO251" s="451">
        <v>0</v>
      </c>
      <c r="DP251" s="451">
        <v>0</v>
      </c>
      <c r="DQ251" s="451">
        <v>0</v>
      </c>
      <c r="DR251" s="451">
        <v>0</v>
      </c>
      <c r="DS251" s="451">
        <v>0</v>
      </c>
      <c r="DT251" s="451">
        <v>0</v>
      </c>
      <c r="DU251" s="451">
        <v>0</v>
      </c>
      <c r="DV251" s="451">
        <v>0</v>
      </c>
      <c r="DW251" s="451">
        <v>0</v>
      </c>
      <c r="DX251" s="451">
        <v>0</v>
      </c>
      <c r="DY251" s="451">
        <v>0</v>
      </c>
      <c r="DZ251" s="451">
        <v>0</v>
      </c>
      <c r="EA251" s="451">
        <v>0</v>
      </c>
      <c r="EB251" s="451">
        <v>68979</v>
      </c>
      <c r="EC251" s="451">
        <v>0</v>
      </c>
      <c r="ED251" s="451">
        <v>0</v>
      </c>
      <c r="EE251" s="451">
        <v>68979</v>
      </c>
      <c r="EF251" s="451">
        <v>0</v>
      </c>
      <c r="EG251" s="451">
        <v>0</v>
      </c>
      <c r="EH251" s="451">
        <v>0</v>
      </c>
      <c r="EI251" s="451">
        <v>0</v>
      </c>
      <c r="EJ251" s="451">
        <v>0</v>
      </c>
      <c r="EK251" s="451">
        <v>0</v>
      </c>
      <c r="EL251" s="451">
        <v>0</v>
      </c>
      <c r="EM251" s="451">
        <v>0</v>
      </c>
    </row>
    <row r="252" spans="1:143" ht="12.75" x14ac:dyDescent="0.2">
      <c r="A252" s="446">
        <v>246</v>
      </c>
      <c r="B252" s="447" t="s">
        <v>375</v>
      </c>
      <c r="C252" s="448" t="s">
        <v>1093</v>
      </c>
      <c r="D252" s="449" t="s">
        <v>1095</v>
      </c>
      <c r="E252" s="450" t="s">
        <v>374</v>
      </c>
      <c r="F252" s="451">
        <v>82476.73</v>
      </c>
      <c r="G252" s="451">
        <v>0</v>
      </c>
      <c r="H252" s="451">
        <v>0</v>
      </c>
      <c r="I252" s="451">
        <v>82476.73</v>
      </c>
      <c r="J252" s="451">
        <v>-241062</v>
      </c>
      <c r="K252" s="451">
        <v>0</v>
      </c>
      <c r="L252" s="451">
        <v>0</v>
      </c>
      <c r="M252" s="451">
        <v>-241062</v>
      </c>
      <c r="N252" s="451">
        <v>32459</v>
      </c>
      <c r="O252" s="451">
        <v>0</v>
      </c>
      <c r="P252" s="451">
        <v>0</v>
      </c>
      <c r="Q252" s="451">
        <v>32459</v>
      </c>
      <c r="R252" s="451">
        <v>43157</v>
      </c>
      <c r="S252" s="451">
        <v>0</v>
      </c>
      <c r="T252" s="451">
        <v>0</v>
      </c>
      <c r="U252" s="451">
        <v>43157</v>
      </c>
      <c r="V252" s="451">
        <v>1967086</v>
      </c>
      <c r="W252" s="451">
        <v>0</v>
      </c>
      <c r="X252" s="451">
        <v>0</v>
      </c>
      <c r="Y252" s="451">
        <v>1967086</v>
      </c>
      <c r="Z252" s="451">
        <v>107591</v>
      </c>
      <c r="AA252" s="451">
        <v>0</v>
      </c>
      <c r="AB252" s="451">
        <v>0</v>
      </c>
      <c r="AC252" s="451">
        <v>107591</v>
      </c>
      <c r="AD252" s="451">
        <v>683013</v>
      </c>
      <c r="AE252" s="451">
        <v>0</v>
      </c>
      <c r="AF252" s="451">
        <v>0</v>
      </c>
      <c r="AG252" s="451">
        <v>683013</v>
      </c>
      <c r="AH252" s="451">
        <v>-26819</v>
      </c>
      <c r="AI252" s="451">
        <v>0</v>
      </c>
      <c r="AJ252" s="451">
        <v>0</v>
      </c>
      <c r="AK252" s="451">
        <v>-26819</v>
      </c>
      <c r="AL252" s="451">
        <v>1556194</v>
      </c>
      <c r="AM252" s="451">
        <v>0</v>
      </c>
      <c r="AN252" s="451">
        <v>0</v>
      </c>
      <c r="AO252" s="451">
        <v>1556194</v>
      </c>
      <c r="AP252" s="451">
        <v>-2005</v>
      </c>
      <c r="AQ252" s="451">
        <v>0</v>
      </c>
      <c r="AR252" s="451">
        <v>0</v>
      </c>
      <c r="AS252" s="451">
        <v>-2005</v>
      </c>
      <c r="AT252" s="451">
        <v>45386</v>
      </c>
      <c r="AU252" s="451">
        <v>0</v>
      </c>
      <c r="AV252" s="451">
        <v>0</v>
      </c>
      <c r="AW252" s="451">
        <v>45386</v>
      </c>
      <c r="AX252" s="451">
        <v>0</v>
      </c>
      <c r="AY252" s="451">
        <v>0</v>
      </c>
      <c r="AZ252" s="451">
        <v>0</v>
      </c>
      <c r="BA252" s="451">
        <v>0</v>
      </c>
      <c r="BB252" s="451">
        <v>4851</v>
      </c>
      <c r="BC252" s="451">
        <v>0</v>
      </c>
      <c r="BD252" s="451">
        <v>0</v>
      </c>
      <c r="BE252" s="451">
        <v>4851</v>
      </c>
      <c r="BF252" s="451">
        <v>0</v>
      </c>
      <c r="BG252" s="451">
        <v>0</v>
      </c>
      <c r="BH252" s="451">
        <v>0</v>
      </c>
      <c r="BI252" s="451">
        <v>0</v>
      </c>
      <c r="BJ252" s="451">
        <v>13381</v>
      </c>
      <c r="BK252" s="451">
        <v>0</v>
      </c>
      <c r="BL252" s="451">
        <v>0</v>
      </c>
      <c r="BM252" s="451">
        <v>13381</v>
      </c>
      <c r="BN252" s="451">
        <v>-10398</v>
      </c>
      <c r="BO252" s="451">
        <v>0</v>
      </c>
      <c r="BP252" s="451">
        <v>0</v>
      </c>
      <c r="BQ252" s="451">
        <v>-10398</v>
      </c>
      <c r="BR252" s="451">
        <v>977219</v>
      </c>
      <c r="BS252" s="451">
        <v>0</v>
      </c>
      <c r="BT252" s="451">
        <v>0</v>
      </c>
      <c r="BU252" s="451">
        <v>977219</v>
      </c>
      <c r="BV252" s="451">
        <v>-11628</v>
      </c>
      <c r="BW252" s="451">
        <v>0</v>
      </c>
      <c r="BX252" s="451">
        <v>0</v>
      </c>
      <c r="BY252" s="451">
        <v>-11628</v>
      </c>
      <c r="BZ252" s="451">
        <v>106299</v>
      </c>
      <c r="CA252" s="451">
        <v>0</v>
      </c>
      <c r="CB252" s="451">
        <v>0</v>
      </c>
      <c r="CC252" s="451">
        <v>106299</v>
      </c>
      <c r="CD252" s="451">
        <v>-476</v>
      </c>
      <c r="CE252" s="451">
        <v>0</v>
      </c>
      <c r="CF252" s="451">
        <v>0</v>
      </c>
      <c r="CG252" s="451">
        <v>-476</v>
      </c>
      <c r="CH252" s="451">
        <v>25959</v>
      </c>
      <c r="CI252" s="451">
        <v>0</v>
      </c>
      <c r="CJ252" s="451">
        <v>0</v>
      </c>
      <c r="CK252" s="451">
        <v>25959</v>
      </c>
      <c r="CL252" s="451">
        <v>-83</v>
      </c>
      <c r="CM252" s="451">
        <v>0</v>
      </c>
      <c r="CN252" s="451">
        <v>0</v>
      </c>
      <c r="CO252" s="451">
        <v>-83</v>
      </c>
      <c r="CP252" s="451">
        <v>429</v>
      </c>
      <c r="CQ252" s="451">
        <v>0</v>
      </c>
      <c r="CR252" s="451">
        <v>0</v>
      </c>
      <c r="CS252" s="451">
        <v>429</v>
      </c>
      <c r="CT252" s="451">
        <v>0</v>
      </c>
      <c r="CU252" s="451">
        <v>0</v>
      </c>
      <c r="CV252" s="451">
        <v>0</v>
      </c>
      <c r="CW252" s="451">
        <v>0</v>
      </c>
      <c r="CX252" s="451">
        <v>4851</v>
      </c>
      <c r="CY252" s="451">
        <v>0</v>
      </c>
      <c r="CZ252" s="451">
        <v>0</v>
      </c>
      <c r="DA252" s="451">
        <v>4851</v>
      </c>
      <c r="DB252" s="451">
        <v>0</v>
      </c>
      <c r="DC252" s="451">
        <v>0</v>
      </c>
      <c r="DD252" s="451">
        <v>0</v>
      </c>
      <c r="DE252" s="451">
        <v>0</v>
      </c>
      <c r="DF252" s="451">
        <v>0</v>
      </c>
      <c r="DG252" s="451">
        <v>0</v>
      </c>
      <c r="DH252" s="451">
        <v>0</v>
      </c>
      <c r="DI252" s="451">
        <v>0</v>
      </c>
      <c r="DJ252" s="451">
        <v>0</v>
      </c>
      <c r="DK252" s="451">
        <v>0</v>
      </c>
      <c r="DL252" s="451">
        <v>0</v>
      </c>
      <c r="DM252" s="451">
        <v>0</v>
      </c>
      <c r="DN252" s="451">
        <v>0</v>
      </c>
      <c r="DO252" s="451">
        <v>0</v>
      </c>
      <c r="DP252" s="451">
        <v>0</v>
      </c>
      <c r="DQ252" s="451">
        <v>0</v>
      </c>
      <c r="DR252" s="451">
        <v>0</v>
      </c>
      <c r="DS252" s="451">
        <v>0</v>
      </c>
      <c r="DT252" s="451">
        <v>0</v>
      </c>
      <c r="DU252" s="451">
        <v>0</v>
      </c>
      <c r="DV252" s="451">
        <v>0</v>
      </c>
      <c r="DW252" s="451">
        <v>0</v>
      </c>
      <c r="DX252" s="451">
        <v>0</v>
      </c>
      <c r="DY252" s="451">
        <v>0</v>
      </c>
      <c r="DZ252" s="451">
        <v>0</v>
      </c>
      <c r="EA252" s="451">
        <v>0</v>
      </c>
      <c r="EB252" s="451">
        <v>0</v>
      </c>
      <c r="EC252" s="451">
        <v>0</v>
      </c>
      <c r="ED252" s="451">
        <v>0</v>
      </c>
      <c r="EE252" s="451">
        <v>0</v>
      </c>
      <c r="EF252" s="451">
        <v>30337</v>
      </c>
      <c r="EG252" s="451">
        <v>0</v>
      </c>
      <c r="EH252" s="451">
        <v>0</v>
      </c>
      <c r="EI252" s="451">
        <v>30337</v>
      </c>
      <c r="EJ252" s="451">
        <v>0</v>
      </c>
      <c r="EK252" s="451">
        <v>0</v>
      </c>
      <c r="EL252" s="451">
        <v>0</v>
      </c>
      <c r="EM252" s="451">
        <v>0</v>
      </c>
    </row>
    <row r="253" spans="1:143" ht="12.75" x14ac:dyDescent="0.2">
      <c r="A253" s="446">
        <v>247</v>
      </c>
      <c r="B253" s="447" t="s">
        <v>377</v>
      </c>
      <c r="C253" s="448" t="s">
        <v>1093</v>
      </c>
      <c r="D253" s="449" t="s">
        <v>1102</v>
      </c>
      <c r="E253" s="450" t="s">
        <v>376</v>
      </c>
      <c r="F253" s="451">
        <v>292261</v>
      </c>
      <c r="G253" s="451">
        <v>0</v>
      </c>
      <c r="H253" s="451">
        <v>0</v>
      </c>
      <c r="I253" s="451">
        <v>292261</v>
      </c>
      <c r="J253" s="451">
        <v>-204732</v>
      </c>
      <c r="K253" s="451">
        <v>0</v>
      </c>
      <c r="L253" s="451">
        <v>0</v>
      </c>
      <c r="M253" s="451">
        <v>-204732</v>
      </c>
      <c r="N253" s="451">
        <v>20505</v>
      </c>
      <c r="O253" s="451">
        <v>0</v>
      </c>
      <c r="P253" s="451">
        <v>0</v>
      </c>
      <c r="Q253" s="451">
        <v>20505</v>
      </c>
      <c r="R253" s="451">
        <v>85928</v>
      </c>
      <c r="S253" s="451">
        <v>0</v>
      </c>
      <c r="T253" s="451">
        <v>0</v>
      </c>
      <c r="U253" s="451">
        <v>85928</v>
      </c>
      <c r="V253" s="451">
        <v>3458542</v>
      </c>
      <c r="W253" s="451">
        <v>0</v>
      </c>
      <c r="X253" s="451">
        <v>0</v>
      </c>
      <c r="Y253" s="451">
        <v>3458542</v>
      </c>
      <c r="Z253" s="451">
        <v>155614</v>
      </c>
      <c r="AA253" s="451">
        <v>0</v>
      </c>
      <c r="AB253" s="451">
        <v>0</v>
      </c>
      <c r="AC253" s="451">
        <v>155614</v>
      </c>
      <c r="AD253" s="451">
        <v>799252</v>
      </c>
      <c r="AE253" s="451">
        <v>0</v>
      </c>
      <c r="AF253" s="451">
        <v>0</v>
      </c>
      <c r="AG253" s="451">
        <v>799252</v>
      </c>
      <c r="AH253" s="451">
        <v>-14254</v>
      </c>
      <c r="AI253" s="451">
        <v>0</v>
      </c>
      <c r="AJ253" s="451">
        <v>0</v>
      </c>
      <c r="AK253" s="451">
        <v>-14254</v>
      </c>
      <c r="AL253" s="451">
        <v>3122129</v>
      </c>
      <c r="AM253" s="451">
        <v>0</v>
      </c>
      <c r="AN253" s="451">
        <v>0</v>
      </c>
      <c r="AO253" s="451">
        <v>3122129</v>
      </c>
      <c r="AP253" s="451">
        <v>3570</v>
      </c>
      <c r="AQ253" s="451">
        <v>0</v>
      </c>
      <c r="AR253" s="451">
        <v>0</v>
      </c>
      <c r="AS253" s="451">
        <v>3570</v>
      </c>
      <c r="AT253" s="451">
        <v>26969</v>
      </c>
      <c r="AU253" s="451">
        <v>0</v>
      </c>
      <c r="AV253" s="451">
        <v>0</v>
      </c>
      <c r="AW253" s="451">
        <v>26969</v>
      </c>
      <c r="AX253" s="451">
        <v>0</v>
      </c>
      <c r="AY253" s="451">
        <v>0</v>
      </c>
      <c r="AZ253" s="451">
        <v>0</v>
      </c>
      <c r="BA253" s="451">
        <v>0</v>
      </c>
      <c r="BB253" s="451">
        <v>89752</v>
      </c>
      <c r="BC253" s="451">
        <v>0</v>
      </c>
      <c r="BD253" s="451">
        <v>0</v>
      </c>
      <c r="BE253" s="451">
        <v>89752</v>
      </c>
      <c r="BF253" s="451">
        <v>-1569</v>
      </c>
      <c r="BG253" s="451">
        <v>0</v>
      </c>
      <c r="BH253" s="451">
        <v>0</v>
      </c>
      <c r="BI253" s="451">
        <v>-1569</v>
      </c>
      <c r="BJ253" s="451">
        <v>22832</v>
      </c>
      <c r="BK253" s="451">
        <v>0</v>
      </c>
      <c r="BL253" s="451">
        <v>0</v>
      </c>
      <c r="BM253" s="451">
        <v>22832</v>
      </c>
      <c r="BN253" s="451">
        <v>2644</v>
      </c>
      <c r="BO253" s="451">
        <v>0</v>
      </c>
      <c r="BP253" s="451">
        <v>0</v>
      </c>
      <c r="BQ253" s="451">
        <v>2644</v>
      </c>
      <c r="BR253" s="451">
        <v>1509703</v>
      </c>
      <c r="BS253" s="451">
        <v>0</v>
      </c>
      <c r="BT253" s="451">
        <v>0</v>
      </c>
      <c r="BU253" s="451">
        <v>1509703</v>
      </c>
      <c r="BV253" s="451">
        <v>48252</v>
      </c>
      <c r="BW253" s="451">
        <v>0</v>
      </c>
      <c r="BX253" s="451">
        <v>0</v>
      </c>
      <c r="BY253" s="451">
        <v>48252</v>
      </c>
      <c r="BZ253" s="451">
        <v>152159</v>
      </c>
      <c r="CA253" s="451">
        <v>0</v>
      </c>
      <c r="CB253" s="451">
        <v>0</v>
      </c>
      <c r="CC253" s="451">
        <v>152159</v>
      </c>
      <c r="CD253" s="451">
        <v>-1773</v>
      </c>
      <c r="CE253" s="451">
        <v>0</v>
      </c>
      <c r="CF253" s="451">
        <v>0</v>
      </c>
      <c r="CG253" s="451">
        <v>-1773</v>
      </c>
      <c r="CH253" s="451">
        <v>134086</v>
      </c>
      <c r="CI253" s="451">
        <v>0</v>
      </c>
      <c r="CJ253" s="451">
        <v>0</v>
      </c>
      <c r="CK253" s="451">
        <v>134086</v>
      </c>
      <c r="CL253" s="451">
        <v>0</v>
      </c>
      <c r="CM253" s="451">
        <v>0</v>
      </c>
      <c r="CN253" s="451">
        <v>0</v>
      </c>
      <c r="CO253" s="451">
        <v>0</v>
      </c>
      <c r="CP253" s="451">
        <v>3709</v>
      </c>
      <c r="CQ253" s="451">
        <v>0</v>
      </c>
      <c r="CR253" s="451">
        <v>0</v>
      </c>
      <c r="CS253" s="451">
        <v>3709</v>
      </c>
      <c r="CT253" s="451">
        <v>0</v>
      </c>
      <c r="CU253" s="451">
        <v>0</v>
      </c>
      <c r="CV253" s="451">
        <v>0</v>
      </c>
      <c r="CW253" s="451">
        <v>0</v>
      </c>
      <c r="CX253" s="451">
        <v>37720</v>
      </c>
      <c r="CY253" s="451">
        <v>0</v>
      </c>
      <c r="CZ253" s="451">
        <v>0</v>
      </c>
      <c r="DA253" s="451">
        <v>37720</v>
      </c>
      <c r="DB253" s="451">
        <v>-2363</v>
      </c>
      <c r="DC253" s="451">
        <v>0</v>
      </c>
      <c r="DD253" s="451">
        <v>0</v>
      </c>
      <c r="DE253" s="451">
        <v>-2363</v>
      </c>
      <c r="DF253" s="451">
        <v>44888</v>
      </c>
      <c r="DG253" s="451">
        <v>0</v>
      </c>
      <c r="DH253" s="451">
        <v>0</v>
      </c>
      <c r="DI253" s="451">
        <v>44888</v>
      </c>
      <c r="DJ253" s="451">
        <v>9247</v>
      </c>
      <c r="DK253" s="451">
        <v>0</v>
      </c>
      <c r="DL253" s="451">
        <v>0</v>
      </c>
      <c r="DM253" s="451">
        <v>9247</v>
      </c>
      <c r="DN253" s="451">
        <v>0</v>
      </c>
      <c r="DO253" s="451">
        <v>0</v>
      </c>
      <c r="DP253" s="451">
        <v>0</v>
      </c>
      <c r="DQ253" s="451">
        <v>0</v>
      </c>
      <c r="DR253" s="451">
        <v>0</v>
      </c>
      <c r="DS253" s="451">
        <v>0</v>
      </c>
      <c r="DT253" s="451">
        <v>0</v>
      </c>
      <c r="DU253" s="451">
        <v>0</v>
      </c>
      <c r="DV253" s="451">
        <v>0</v>
      </c>
      <c r="DW253" s="451">
        <v>0</v>
      </c>
      <c r="DX253" s="451">
        <v>0</v>
      </c>
      <c r="DY253" s="451">
        <v>0</v>
      </c>
      <c r="DZ253" s="451">
        <v>0</v>
      </c>
      <c r="EA253" s="451">
        <v>0</v>
      </c>
      <c r="EB253" s="451">
        <v>0</v>
      </c>
      <c r="EC253" s="451">
        <v>0</v>
      </c>
      <c r="ED253" s="451">
        <v>0</v>
      </c>
      <c r="EE253" s="451">
        <v>0</v>
      </c>
      <c r="EF253" s="451">
        <v>2719</v>
      </c>
      <c r="EG253" s="451">
        <v>0</v>
      </c>
      <c r="EH253" s="451">
        <v>0</v>
      </c>
      <c r="EI253" s="451">
        <v>2719</v>
      </c>
      <c r="EJ253" s="451">
        <v>2897</v>
      </c>
      <c r="EK253" s="451">
        <v>0</v>
      </c>
      <c r="EL253" s="451">
        <v>0</v>
      </c>
      <c r="EM253" s="451">
        <v>2897</v>
      </c>
    </row>
    <row r="254" spans="1:143" ht="12.75" x14ac:dyDescent="0.2">
      <c r="A254" s="446">
        <v>248</v>
      </c>
      <c r="B254" s="447" t="s">
        <v>379</v>
      </c>
      <c r="C254" s="448" t="s">
        <v>1093</v>
      </c>
      <c r="D254" s="449" t="s">
        <v>1103</v>
      </c>
      <c r="E254" s="450" t="s">
        <v>378</v>
      </c>
      <c r="F254" s="451">
        <v>122042</v>
      </c>
      <c r="G254" s="451">
        <v>0</v>
      </c>
      <c r="H254" s="451">
        <v>0</v>
      </c>
      <c r="I254" s="451">
        <v>122042</v>
      </c>
      <c r="J254" s="451">
        <v>33342</v>
      </c>
      <c r="K254" s="451">
        <v>0</v>
      </c>
      <c r="L254" s="451">
        <v>0</v>
      </c>
      <c r="M254" s="451">
        <v>33342</v>
      </c>
      <c r="N254" s="451">
        <v>2422</v>
      </c>
      <c r="O254" s="451">
        <v>0</v>
      </c>
      <c r="P254" s="451">
        <v>0</v>
      </c>
      <c r="Q254" s="451">
        <v>2422</v>
      </c>
      <c r="R254" s="451">
        <v>119685</v>
      </c>
      <c r="S254" s="451">
        <v>0</v>
      </c>
      <c r="T254" s="451">
        <v>0</v>
      </c>
      <c r="U254" s="451">
        <v>119685</v>
      </c>
      <c r="V254" s="451">
        <v>1885067</v>
      </c>
      <c r="W254" s="451">
        <v>0</v>
      </c>
      <c r="X254" s="451">
        <v>0</v>
      </c>
      <c r="Y254" s="451">
        <v>1885067</v>
      </c>
      <c r="Z254" s="451">
        <v>91583</v>
      </c>
      <c r="AA254" s="451">
        <v>0</v>
      </c>
      <c r="AB254" s="451">
        <v>0</v>
      </c>
      <c r="AC254" s="451">
        <v>91583</v>
      </c>
      <c r="AD254" s="451">
        <v>375215</v>
      </c>
      <c r="AE254" s="451">
        <v>0</v>
      </c>
      <c r="AF254" s="451">
        <v>11612</v>
      </c>
      <c r="AG254" s="451">
        <v>386827</v>
      </c>
      <c r="AH254" s="451">
        <v>-1605</v>
      </c>
      <c r="AI254" s="451">
        <v>0</v>
      </c>
      <c r="AJ254" s="451">
        <v>-946</v>
      </c>
      <c r="AK254" s="451">
        <v>-2551</v>
      </c>
      <c r="AL254" s="451">
        <v>486284</v>
      </c>
      <c r="AM254" s="451">
        <v>0</v>
      </c>
      <c r="AN254" s="451">
        <v>0</v>
      </c>
      <c r="AO254" s="451">
        <v>486284</v>
      </c>
      <c r="AP254" s="451">
        <v>-37196</v>
      </c>
      <c r="AQ254" s="451">
        <v>0</v>
      </c>
      <c r="AR254" s="451">
        <v>0</v>
      </c>
      <c r="AS254" s="451">
        <v>-37196</v>
      </c>
      <c r="AT254" s="451">
        <v>20234</v>
      </c>
      <c r="AU254" s="451">
        <v>0</v>
      </c>
      <c r="AV254" s="451">
        <v>0</v>
      </c>
      <c r="AW254" s="451">
        <v>20234</v>
      </c>
      <c r="AX254" s="451">
        <v>0</v>
      </c>
      <c r="AY254" s="451">
        <v>0</v>
      </c>
      <c r="AZ254" s="451">
        <v>0</v>
      </c>
      <c r="BA254" s="451">
        <v>0</v>
      </c>
      <c r="BB254" s="451">
        <v>10230</v>
      </c>
      <c r="BC254" s="451">
        <v>0</v>
      </c>
      <c r="BD254" s="451">
        <v>0</v>
      </c>
      <c r="BE254" s="451">
        <v>10230</v>
      </c>
      <c r="BF254" s="451">
        <v>0</v>
      </c>
      <c r="BG254" s="451">
        <v>0</v>
      </c>
      <c r="BH254" s="451">
        <v>0</v>
      </c>
      <c r="BI254" s="451">
        <v>0</v>
      </c>
      <c r="BJ254" s="451">
        <v>168127</v>
      </c>
      <c r="BK254" s="451">
        <v>0</v>
      </c>
      <c r="BL254" s="451">
        <v>5319</v>
      </c>
      <c r="BM254" s="451">
        <v>173446</v>
      </c>
      <c r="BN254" s="451">
        <v>-93268</v>
      </c>
      <c r="BO254" s="451">
        <v>0</v>
      </c>
      <c r="BP254" s="451">
        <v>0</v>
      </c>
      <c r="BQ254" s="451">
        <v>-93268</v>
      </c>
      <c r="BR254" s="451">
        <v>558676</v>
      </c>
      <c r="BS254" s="451">
        <v>0</v>
      </c>
      <c r="BT254" s="451">
        <v>0</v>
      </c>
      <c r="BU254" s="451">
        <v>558676</v>
      </c>
      <c r="BV254" s="451">
        <v>-9901</v>
      </c>
      <c r="BW254" s="451">
        <v>0</v>
      </c>
      <c r="BX254" s="451">
        <v>0</v>
      </c>
      <c r="BY254" s="451">
        <v>-9901</v>
      </c>
      <c r="BZ254" s="451">
        <v>34818</v>
      </c>
      <c r="CA254" s="451">
        <v>0</v>
      </c>
      <c r="CB254" s="451">
        <v>0</v>
      </c>
      <c r="CC254" s="451">
        <v>34818</v>
      </c>
      <c r="CD254" s="451">
        <v>0</v>
      </c>
      <c r="CE254" s="451">
        <v>0</v>
      </c>
      <c r="CF254" s="451">
        <v>0</v>
      </c>
      <c r="CG254" s="451">
        <v>0</v>
      </c>
      <c r="CH254" s="451">
        <v>222001</v>
      </c>
      <c r="CI254" s="451">
        <v>0</v>
      </c>
      <c r="CJ254" s="451">
        <v>0</v>
      </c>
      <c r="CK254" s="451">
        <v>222001</v>
      </c>
      <c r="CL254" s="451">
        <v>0</v>
      </c>
      <c r="CM254" s="451">
        <v>0</v>
      </c>
      <c r="CN254" s="451">
        <v>0</v>
      </c>
      <c r="CO254" s="451">
        <v>0</v>
      </c>
      <c r="CP254" s="451">
        <v>4022.33</v>
      </c>
      <c r="CQ254" s="451">
        <v>0</v>
      </c>
      <c r="CR254" s="451">
        <v>0</v>
      </c>
      <c r="CS254" s="451">
        <v>4022.33</v>
      </c>
      <c r="CT254" s="451">
        <v>0</v>
      </c>
      <c r="CU254" s="451">
        <v>0</v>
      </c>
      <c r="CV254" s="451">
        <v>0</v>
      </c>
      <c r="CW254" s="451">
        <v>0</v>
      </c>
      <c r="CX254" s="451">
        <v>5425.89</v>
      </c>
      <c r="CY254" s="451">
        <v>0</v>
      </c>
      <c r="CZ254" s="451">
        <v>0</v>
      </c>
      <c r="DA254" s="451">
        <v>5425.89</v>
      </c>
      <c r="DB254" s="451">
        <v>0</v>
      </c>
      <c r="DC254" s="451">
        <v>0</v>
      </c>
      <c r="DD254" s="451">
        <v>0</v>
      </c>
      <c r="DE254" s="451">
        <v>0</v>
      </c>
      <c r="DF254" s="451">
        <v>0</v>
      </c>
      <c r="DG254" s="451">
        <v>0</v>
      </c>
      <c r="DH254" s="451">
        <v>0</v>
      </c>
      <c r="DI254" s="451">
        <v>0</v>
      </c>
      <c r="DJ254" s="451">
        <v>0</v>
      </c>
      <c r="DK254" s="451">
        <v>0</v>
      </c>
      <c r="DL254" s="451">
        <v>0</v>
      </c>
      <c r="DM254" s="451">
        <v>0</v>
      </c>
      <c r="DN254" s="451">
        <v>0</v>
      </c>
      <c r="DO254" s="451">
        <v>0</v>
      </c>
      <c r="DP254" s="451">
        <v>54035.33</v>
      </c>
      <c r="DQ254" s="451">
        <v>54035.33</v>
      </c>
      <c r="DR254" s="451">
        <v>0</v>
      </c>
      <c r="DS254" s="451">
        <v>0</v>
      </c>
      <c r="DT254" s="451">
        <v>0</v>
      </c>
      <c r="DU254" s="451">
        <v>0</v>
      </c>
      <c r="DV254" s="451">
        <v>54035</v>
      </c>
      <c r="DW254" s="451">
        <v>0</v>
      </c>
      <c r="DX254" s="451">
        <v>0</v>
      </c>
      <c r="DY254" s="451">
        <v>0</v>
      </c>
      <c r="DZ254" s="451">
        <v>0</v>
      </c>
      <c r="EA254" s="451">
        <v>0</v>
      </c>
      <c r="EB254" s="451">
        <v>0</v>
      </c>
      <c r="EC254" s="451">
        <v>0</v>
      </c>
      <c r="ED254" s="451">
        <v>0</v>
      </c>
      <c r="EE254" s="451">
        <v>0</v>
      </c>
      <c r="EF254" s="451">
        <v>0</v>
      </c>
      <c r="EG254" s="451">
        <v>0</v>
      </c>
      <c r="EH254" s="451">
        <v>0</v>
      </c>
      <c r="EI254" s="451">
        <v>0</v>
      </c>
      <c r="EJ254" s="451">
        <v>0</v>
      </c>
      <c r="EK254" s="451">
        <v>0</v>
      </c>
      <c r="EL254" s="451">
        <v>0</v>
      </c>
      <c r="EM254" s="451">
        <v>0</v>
      </c>
    </row>
    <row r="255" spans="1:143" ht="12.75" x14ac:dyDescent="0.2">
      <c r="A255" s="446">
        <v>249</v>
      </c>
      <c r="B255" s="447" t="s">
        <v>381</v>
      </c>
      <c r="C255" s="448" t="s">
        <v>1100</v>
      </c>
      <c r="D255" s="449" t="s">
        <v>1105</v>
      </c>
      <c r="E255" s="450" t="s">
        <v>380</v>
      </c>
      <c r="F255" s="451">
        <v>144010</v>
      </c>
      <c r="G255" s="451">
        <v>0</v>
      </c>
      <c r="H255" s="451">
        <v>0</v>
      </c>
      <c r="I255" s="451">
        <v>144010</v>
      </c>
      <c r="J255" s="451">
        <v>-493150</v>
      </c>
      <c r="K255" s="451">
        <v>0</v>
      </c>
      <c r="L255" s="451">
        <v>0</v>
      </c>
      <c r="M255" s="451">
        <v>-493150</v>
      </c>
      <c r="N255" s="451">
        <v>23778</v>
      </c>
      <c r="O255" s="451">
        <v>0</v>
      </c>
      <c r="P255" s="451">
        <v>0</v>
      </c>
      <c r="Q255" s="451">
        <v>23778</v>
      </c>
      <c r="R255" s="451">
        <v>-50600</v>
      </c>
      <c r="S255" s="451">
        <v>0</v>
      </c>
      <c r="T255" s="451">
        <v>0</v>
      </c>
      <c r="U255" s="451">
        <v>-50600</v>
      </c>
      <c r="V255" s="451">
        <v>2354629</v>
      </c>
      <c r="W255" s="451">
        <v>0</v>
      </c>
      <c r="X255" s="451">
        <v>0</v>
      </c>
      <c r="Y255" s="451">
        <v>2354629</v>
      </c>
      <c r="Z255" s="451">
        <v>31115</v>
      </c>
      <c r="AA255" s="451">
        <v>0</v>
      </c>
      <c r="AB255" s="451">
        <v>0</v>
      </c>
      <c r="AC255" s="451">
        <v>31115</v>
      </c>
      <c r="AD255" s="451">
        <v>601167</v>
      </c>
      <c r="AE255" s="451">
        <v>0</v>
      </c>
      <c r="AF255" s="451">
        <v>0</v>
      </c>
      <c r="AG255" s="451">
        <v>601167</v>
      </c>
      <c r="AH255" s="451">
        <v>27467</v>
      </c>
      <c r="AI255" s="451">
        <v>0</v>
      </c>
      <c r="AJ255" s="451">
        <v>0</v>
      </c>
      <c r="AK255" s="451">
        <v>27467</v>
      </c>
      <c r="AL255" s="451">
        <v>1847611</v>
      </c>
      <c r="AM255" s="451">
        <v>0</v>
      </c>
      <c r="AN255" s="451">
        <v>0</v>
      </c>
      <c r="AO255" s="451">
        <v>1847611</v>
      </c>
      <c r="AP255" s="451">
        <v>-10974</v>
      </c>
      <c r="AQ255" s="451">
        <v>0</v>
      </c>
      <c r="AR255" s="451">
        <v>0</v>
      </c>
      <c r="AS255" s="451">
        <v>-10974</v>
      </c>
      <c r="AT255" s="451">
        <v>45769</v>
      </c>
      <c r="AU255" s="451">
        <v>0</v>
      </c>
      <c r="AV255" s="451">
        <v>0</v>
      </c>
      <c r="AW255" s="451">
        <v>45769</v>
      </c>
      <c r="AX255" s="451">
        <v>0</v>
      </c>
      <c r="AY255" s="451">
        <v>0</v>
      </c>
      <c r="AZ255" s="451">
        <v>0</v>
      </c>
      <c r="BA255" s="451">
        <v>0</v>
      </c>
      <c r="BB255" s="451">
        <v>0</v>
      </c>
      <c r="BC255" s="451">
        <v>0</v>
      </c>
      <c r="BD255" s="451">
        <v>0</v>
      </c>
      <c r="BE255" s="451">
        <v>0</v>
      </c>
      <c r="BF255" s="451">
        <v>0</v>
      </c>
      <c r="BG255" s="451">
        <v>0</v>
      </c>
      <c r="BH255" s="451">
        <v>0</v>
      </c>
      <c r="BI255" s="451">
        <v>0</v>
      </c>
      <c r="BJ255" s="451">
        <v>22243</v>
      </c>
      <c r="BK255" s="451">
        <v>0</v>
      </c>
      <c r="BL255" s="451">
        <v>0</v>
      </c>
      <c r="BM255" s="451">
        <v>22243</v>
      </c>
      <c r="BN255" s="451">
        <v>1953</v>
      </c>
      <c r="BO255" s="451">
        <v>0</v>
      </c>
      <c r="BP255" s="451">
        <v>0</v>
      </c>
      <c r="BQ255" s="451">
        <v>1953</v>
      </c>
      <c r="BR255" s="451">
        <v>1356475</v>
      </c>
      <c r="BS255" s="451">
        <v>0</v>
      </c>
      <c r="BT255" s="451">
        <v>0</v>
      </c>
      <c r="BU255" s="451">
        <v>1356475</v>
      </c>
      <c r="BV255" s="451">
        <v>12923</v>
      </c>
      <c r="BW255" s="451">
        <v>0</v>
      </c>
      <c r="BX255" s="451">
        <v>0</v>
      </c>
      <c r="BY255" s="451">
        <v>12923</v>
      </c>
      <c r="BZ255" s="451">
        <v>295731</v>
      </c>
      <c r="CA255" s="451">
        <v>0</v>
      </c>
      <c r="CB255" s="451">
        <v>0</v>
      </c>
      <c r="CC255" s="451">
        <v>295731</v>
      </c>
      <c r="CD255" s="451">
        <v>-7585</v>
      </c>
      <c r="CE255" s="451">
        <v>0</v>
      </c>
      <c r="CF255" s="451">
        <v>0</v>
      </c>
      <c r="CG255" s="451">
        <v>-7585</v>
      </c>
      <c r="CH255" s="451">
        <v>272340</v>
      </c>
      <c r="CI255" s="451">
        <v>0</v>
      </c>
      <c r="CJ255" s="451">
        <v>0</v>
      </c>
      <c r="CK255" s="451">
        <v>272340</v>
      </c>
      <c r="CL255" s="451">
        <v>-1021</v>
      </c>
      <c r="CM255" s="451">
        <v>0</v>
      </c>
      <c r="CN255" s="451">
        <v>0</v>
      </c>
      <c r="CO255" s="451">
        <v>-1021</v>
      </c>
      <c r="CP255" s="451">
        <v>331</v>
      </c>
      <c r="CQ255" s="451">
        <v>0</v>
      </c>
      <c r="CR255" s="451">
        <v>0</v>
      </c>
      <c r="CS255" s="451">
        <v>331</v>
      </c>
      <c r="CT255" s="451">
        <v>0</v>
      </c>
      <c r="CU255" s="451">
        <v>0</v>
      </c>
      <c r="CV255" s="451">
        <v>0</v>
      </c>
      <c r="CW255" s="451">
        <v>0</v>
      </c>
      <c r="CX255" s="451">
        <v>0</v>
      </c>
      <c r="CY255" s="451">
        <v>0</v>
      </c>
      <c r="CZ255" s="451">
        <v>0</v>
      </c>
      <c r="DA255" s="451">
        <v>0</v>
      </c>
      <c r="DB255" s="451">
        <v>0</v>
      </c>
      <c r="DC255" s="451">
        <v>0</v>
      </c>
      <c r="DD255" s="451">
        <v>0</v>
      </c>
      <c r="DE255" s="451">
        <v>0</v>
      </c>
      <c r="DF255" s="451">
        <v>0</v>
      </c>
      <c r="DG255" s="451">
        <v>0</v>
      </c>
      <c r="DH255" s="451">
        <v>0</v>
      </c>
      <c r="DI255" s="451">
        <v>0</v>
      </c>
      <c r="DJ255" s="451">
        <v>0</v>
      </c>
      <c r="DK255" s="451">
        <v>0</v>
      </c>
      <c r="DL255" s="451">
        <v>0</v>
      </c>
      <c r="DM255" s="451">
        <v>0</v>
      </c>
      <c r="DN255" s="451">
        <v>0</v>
      </c>
      <c r="DO255" s="451">
        <v>0</v>
      </c>
      <c r="DP255" s="451">
        <v>0</v>
      </c>
      <c r="DQ255" s="451">
        <v>0</v>
      </c>
      <c r="DR255" s="451">
        <v>0</v>
      </c>
      <c r="DS255" s="451">
        <v>0</v>
      </c>
      <c r="DT255" s="451">
        <v>0</v>
      </c>
      <c r="DU255" s="451">
        <v>0</v>
      </c>
      <c r="DV255" s="451">
        <v>0</v>
      </c>
      <c r="DW255" s="451">
        <v>0</v>
      </c>
      <c r="DX255" s="451">
        <v>0</v>
      </c>
      <c r="DY255" s="451">
        <v>0</v>
      </c>
      <c r="DZ255" s="451">
        <v>0</v>
      </c>
      <c r="EA255" s="451">
        <v>0</v>
      </c>
      <c r="EB255" s="451">
        <v>0</v>
      </c>
      <c r="EC255" s="451">
        <v>0</v>
      </c>
      <c r="ED255" s="451">
        <v>0</v>
      </c>
      <c r="EE255" s="451">
        <v>0</v>
      </c>
      <c r="EF255" s="451">
        <v>0</v>
      </c>
      <c r="EG255" s="451">
        <v>0</v>
      </c>
      <c r="EH255" s="451">
        <v>0</v>
      </c>
      <c r="EI255" s="451">
        <v>0</v>
      </c>
      <c r="EJ255" s="451">
        <v>0</v>
      </c>
      <c r="EK255" s="451">
        <v>0</v>
      </c>
      <c r="EL255" s="451">
        <v>0</v>
      </c>
      <c r="EM255" s="451">
        <v>0</v>
      </c>
    </row>
    <row r="256" spans="1:143" ht="12.75" x14ac:dyDescent="0.2">
      <c r="A256" s="446">
        <v>250</v>
      </c>
      <c r="B256" s="447" t="s">
        <v>383</v>
      </c>
      <c r="C256" s="448" t="s">
        <v>794</v>
      </c>
      <c r="D256" s="449" t="s">
        <v>1094</v>
      </c>
      <c r="E256" s="450" t="s">
        <v>745</v>
      </c>
      <c r="F256" s="451">
        <v>388544</v>
      </c>
      <c r="G256" s="451">
        <v>0</v>
      </c>
      <c r="H256" s="451">
        <v>0</v>
      </c>
      <c r="I256" s="451">
        <v>388544</v>
      </c>
      <c r="J256" s="451">
        <v>-426206</v>
      </c>
      <c r="K256" s="451">
        <v>0</v>
      </c>
      <c r="L256" s="451">
        <v>0</v>
      </c>
      <c r="M256" s="451">
        <v>-426206</v>
      </c>
      <c r="N256" s="451">
        <v>349353</v>
      </c>
      <c r="O256" s="451">
        <v>0</v>
      </c>
      <c r="P256" s="451">
        <v>0</v>
      </c>
      <c r="Q256" s="451">
        <v>349353</v>
      </c>
      <c r="R256" s="451">
        <v>755888</v>
      </c>
      <c r="S256" s="451">
        <v>0</v>
      </c>
      <c r="T256" s="451">
        <v>0</v>
      </c>
      <c r="U256" s="451">
        <v>755888</v>
      </c>
      <c r="V256" s="451">
        <v>3138526</v>
      </c>
      <c r="W256" s="451">
        <v>0</v>
      </c>
      <c r="X256" s="451">
        <v>0</v>
      </c>
      <c r="Y256" s="451">
        <v>3138526</v>
      </c>
      <c r="Z256" s="451">
        <v>112893</v>
      </c>
      <c r="AA256" s="451">
        <v>0</v>
      </c>
      <c r="AB256" s="451">
        <v>0</v>
      </c>
      <c r="AC256" s="451">
        <v>112893</v>
      </c>
      <c r="AD256" s="451">
        <v>2060440</v>
      </c>
      <c r="AE256" s="451">
        <v>0</v>
      </c>
      <c r="AF256" s="451">
        <v>0</v>
      </c>
      <c r="AG256" s="451">
        <v>2060440</v>
      </c>
      <c r="AH256" s="451">
        <v>-107702</v>
      </c>
      <c r="AI256" s="451">
        <v>0</v>
      </c>
      <c r="AJ256" s="451">
        <v>0</v>
      </c>
      <c r="AK256" s="451">
        <v>-107702</v>
      </c>
      <c r="AL256" s="451">
        <v>7909370</v>
      </c>
      <c r="AM256" s="451">
        <v>0</v>
      </c>
      <c r="AN256" s="451">
        <v>0</v>
      </c>
      <c r="AO256" s="451">
        <v>7909370</v>
      </c>
      <c r="AP256" s="451">
        <v>-1391204</v>
      </c>
      <c r="AQ256" s="451">
        <v>0</v>
      </c>
      <c r="AR256" s="451">
        <v>0</v>
      </c>
      <c r="AS256" s="451">
        <v>-1391204</v>
      </c>
      <c r="AT256" s="451">
        <v>49544</v>
      </c>
      <c r="AU256" s="451">
        <v>0</v>
      </c>
      <c r="AV256" s="451">
        <v>0</v>
      </c>
      <c r="AW256" s="451">
        <v>49544</v>
      </c>
      <c r="AX256" s="451">
        <v>0</v>
      </c>
      <c r="AY256" s="451">
        <v>0</v>
      </c>
      <c r="AZ256" s="451">
        <v>0</v>
      </c>
      <c r="BA256" s="451">
        <v>0</v>
      </c>
      <c r="BB256" s="451">
        <v>0</v>
      </c>
      <c r="BC256" s="451">
        <v>0</v>
      </c>
      <c r="BD256" s="451">
        <v>0</v>
      </c>
      <c r="BE256" s="451">
        <v>0</v>
      </c>
      <c r="BF256" s="451">
        <v>0</v>
      </c>
      <c r="BG256" s="451">
        <v>0</v>
      </c>
      <c r="BH256" s="451">
        <v>0</v>
      </c>
      <c r="BI256" s="451">
        <v>0</v>
      </c>
      <c r="BJ256" s="451">
        <v>137201</v>
      </c>
      <c r="BK256" s="451">
        <v>0</v>
      </c>
      <c r="BL256" s="451">
        <v>0</v>
      </c>
      <c r="BM256" s="451">
        <v>137201</v>
      </c>
      <c r="BN256" s="451">
        <v>-196280</v>
      </c>
      <c r="BO256" s="451">
        <v>0</v>
      </c>
      <c r="BP256" s="451">
        <v>0</v>
      </c>
      <c r="BQ256" s="451">
        <v>-196280</v>
      </c>
      <c r="BR256" s="451">
        <v>4101821</v>
      </c>
      <c r="BS256" s="451">
        <v>0</v>
      </c>
      <c r="BT256" s="451">
        <v>0</v>
      </c>
      <c r="BU256" s="451">
        <v>4101821</v>
      </c>
      <c r="BV256" s="451">
        <v>-50085</v>
      </c>
      <c r="BW256" s="451">
        <v>0</v>
      </c>
      <c r="BX256" s="451">
        <v>0</v>
      </c>
      <c r="BY256" s="451">
        <v>-50085</v>
      </c>
      <c r="BZ256" s="451">
        <v>0</v>
      </c>
      <c r="CA256" s="451">
        <v>0</v>
      </c>
      <c r="CB256" s="451">
        <v>0</v>
      </c>
      <c r="CC256" s="451">
        <v>0</v>
      </c>
      <c r="CD256" s="451">
        <v>0</v>
      </c>
      <c r="CE256" s="451">
        <v>0</v>
      </c>
      <c r="CF256" s="451">
        <v>0</v>
      </c>
      <c r="CG256" s="451">
        <v>0</v>
      </c>
      <c r="CH256" s="451">
        <v>81321</v>
      </c>
      <c r="CI256" s="451">
        <v>0</v>
      </c>
      <c r="CJ256" s="451">
        <v>0</v>
      </c>
      <c r="CK256" s="451">
        <v>81321</v>
      </c>
      <c r="CL256" s="451">
        <v>-711</v>
      </c>
      <c r="CM256" s="451">
        <v>0</v>
      </c>
      <c r="CN256" s="451">
        <v>0</v>
      </c>
      <c r="CO256" s="451">
        <v>-711</v>
      </c>
      <c r="CP256" s="451">
        <v>0</v>
      </c>
      <c r="CQ256" s="451">
        <v>0</v>
      </c>
      <c r="CR256" s="451">
        <v>0</v>
      </c>
      <c r="CS256" s="451">
        <v>0</v>
      </c>
      <c r="CT256" s="451">
        <v>0</v>
      </c>
      <c r="CU256" s="451">
        <v>0</v>
      </c>
      <c r="CV256" s="451">
        <v>0</v>
      </c>
      <c r="CW256" s="451">
        <v>0</v>
      </c>
      <c r="CX256" s="451">
        <v>0</v>
      </c>
      <c r="CY256" s="451">
        <v>0</v>
      </c>
      <c r="CZ256" s="451">
        <v>0</v>
      </c>
      <c r="DA256" s="451">
        <v>0</v>
      </c>
      <c r="DB256" s="451">
        <v>0</v>
      </c>
      <c r="DC256" s="451">
        <v>0</v>
      </c>
      <c r="DD256" s="451">
        <v>0</v>
      </c>
      <c r="DE256" s="451">
        <v>0</v>
      </c>
      <c r="DF256" s="451">
        <v>0</v>
      </c>
      <c r="DG256" s="451">
        <v>0</v>
      </c>
      <c r="DH256" s="451">
        <v>0</v>
      </c>
      <c r="DI256" s="451">
        <v>0</v>
      </c>
      <c r="DJ256" s="451">
        <v>0</v>
      </c>
      <c r="DK256" s="451">
        <v>0</v>
      </c>
      <c r="DL256" s="451">
        <v>0</v>
      </c>
      <c r="DM256" s="451">
        <v>0</v>
      </c>
      <c r="DN256" s="451">
        <v>0</v>
      </c>
      <c r="DO256" s="451">
        <v>0</v>
      </c>
      <c r="DP256" s="451">
        <v>0</v>
      </c>
      <c r="DQ256" s="451">
        <v>0</v>
      </c>
      <c r="DR256" s="451">
        <v>0</v>
      </c>
      <c r="DS256" s="451">
        <v>0</v>
      </c>
      <c r="DT256" s="451">
        <v>0</v>
      </c>
      <c r="DU256" s="451">
        <v>0</v>
      </c>
      <c r="DV256" s="451">
        <v>0</v>
      </c>
      <c r="DW256" s="451">
        <v>0</v>
      </c>
      <c r="DX256" s="451">
        <v>0</v>
      </c>
      <c r="DY256" s="451">
        <v>0</v>
      </c>
      <c r="DZ256" s="451">
        <v>0</v>
      </c>
      <c r="EA256" s="451">
        <v>0</v>
      </c>
      <c r="EB256" s="451">
        <v>15796</v>
      </c>
      <c r="EC256" s="451">
        <v>0</v>
      </c>
      <c r="ED256" s="451">
        <v>0</v>
      </c>
      <c r="EE256" s="451">
        <v>15796</v>
      </c>
      <c r="EF256" s="451">
        <v>0</v>
      </c>
      <c r="EG256" s="451">
        <v>0</v>
      </c>
      <c r="EH256" s="451">
        <v>0</v>
      </c>
      <c r="EI256" s="451">
        <v>0</v>
      </c>
      <c r="EJ256" s="451">
        <v>0</v>
      </c>
      <c r="EK256" s="451">
        <v>0</v>
      </c>
      <c r="EL256" s="451">
        <v>0</v>
      </c>
      <c r="EM256" s="451">
        <v>0</v>
      </c>
    </row>
    <row r="257" spans="1:144" ht="12.75" x14ac:dyDescent="0.2">
      <c r="A257" s="446">
        <v>251</v>
      </c>
      <c r="B257" s="447" t="s">
        <v>385</v>
      </c>
      <c r="C257" s="448" t="s">
        <v>794</v>
      </c>
      <c r="D257" s="449" t="s">
        <v>1097</v>
      </c>
      <c r="E257" s="450" t="s">
        <v>746</v>
      </c>
      <c r="F257" s="451">
        <v>112912</v>
      </c>
      <c r="G257" s="451">
        <v>0</v>
      </c>
      <c r="H257" s="451">
        <v>0</v>
      </c>
      <c r="I257" s="451">
        <v>112912</v>
      </c>
      <c r="J257" s="451">
        <v>-19702.03</v>
      </c>
      <c r="K257" s="451">
        <v>0</v>
      </c>
      <c r="L257" s="451">
        <v>0</v>
      </c>
      <c r="M257" s="451">
        <v>-19702.03</v>
      </c>
      <c r="N257" s="451">
        <v>19483</v>
      </c>
      <c r="O257" s="451">
        <v>0</v>
      </c>
      <c r="P257" s="451">
        <v>0</v>
      </c>
      <c r="Q257" s="451">
        <v>19483</v>
      </c>
      <c r="R257" s="451">
        <v>23546</v>
      </c>
      <c r="S257" s="451">
        <v>0</v>
      </c>
      <c r="T257" s="451">
        <v>0</v>
      </c>
      <c r="U257" s="451">
        <v>23546</v>
      </c>
      <c r="V257" s="451">
        <v>4546703.29</v>
      </c>
      <c r="W257" s="451">
        <v>0</v>
      </c>
      <c r="X257" s="451">
        <v>0</v>
      </c>
      <c r="Y257" s="451">
        <v>4546703.29</v>
      </c>
      <c r="Z257" s="451">
        <v>119057.34</v>
      </c>
      <c r="AA257" s="451">
        <v>0</v>
      </c>
      <c r="AB257" s="451">
        <v>0</v>
      </c>
      <c r="AC257" s="451">
        <v>119057.34</v>
      </c>
      <c r="AD257" s="451">
        <v>863103.55</v>
      </c>
      <c r="AE257" s="451">
        <v>0</v>
      </c>
      <c r="AF257" s="451">
        <v>0</v>
      </c>
      <c r="AG257" s="451">
        <v>863103.55</v>
      </c>
      <c r="AH257" s="451">
        <v>23576.54</v>
      </c>
      <c r="AI257" s="451">
        <v>0</v>
      </c>
      <c r="AJ257" s="451">
        <v>0</v>
      </c>
      <c r="AK257" s="451">
        <v>23576.54</v>
      </c>
      <c r="AL257" s="451">
        <v>3449036.35</v>
      </c>
      <c r="AM257" s="451">
        <v>0</v>
      </c>
      <c r="AN257" s="451">
        <v>0</v>
      </c>
      <c r="AO257" s="451">
        <v>3449036.35</v>
      </c>
      <c r="AP257" s="451">
        <v>25072</v>
      </c>
      <c r="AQ257" s="451">
        <v>0</v>
      </c>
      <c r="AR257" s="451">
        <v>0</v>
      </c>
      <c r="AS257" s="451">
        <v>25072</v>
      </c>
      <c r="AT257" s="451">
        <v>40636</v>
      </c>
      <c r="AU257" s="451">
        <v>0</v>
      </c>
      <c r="AV257" s="451">
        <v>0</v>
      </c>
      <c r="AW257" s="451">
        <v>40636</v>
      </c>
      <c r="AX257" s="451">
        <v>0</v>
      </c>
      <c r="AY257" s="451">
        <v>0</v>
      </c>
      <c r="AZ257" s="451">
        <v>0</v>
      </c>
      <c r="BA257" s="451">
        <v>0</v>
      </c>
      <c r="BB257" s="451">
        <v>0</v>
      </c>
      <c r="BC257" s="451">
        <v>0</v>
      </c>
      <c r="BD257" s="451">
        <v>0</v>
      </c>
      <c r="BE257" s="451">
        <v>0</v>
      </c>
      <c r="BF257" s="451">
        <v>0</v>
      </c>
      <c r="BG257" s="451">
        <v>0</v>
      </c>
      <c r="BH257" s="451">
        <v>0</v>
      </c>
      <c r="BI257" s="451">
        <v>0</v>
      </c>
      <c r="BJ257" s="451">
        <v>9218.2199999999993</v>
      </c>
      <c r="BK257" s="451">
        <v>0</v>
      </c>
      <c r="BL257" s="451">
        <v>0</v>
      </c>
      <c r="BM257" s="451">
        <v>9218.2199999999993</v>
      </c>
      <c r="BN257" s="451">
        <v>14639.43</v>
      </c>
      <c r="BO257" s="451">
        <v>0</v>
      </c>
      <c r="BP257" s="451">
        <v>0</v>
      </c>
      <c r="BQ257" s="451">
        <v>14639.43</v>
      </c>
      <c r="BR257" s="451">
        <v>1609184.11</v>
      </c>
      <c r="BS257" s="451">
        <v>0</v>
      </c>
      <c r="BT257" s="451">
        <v>0</v>
      </c>
      <c r="BU257" s="451">
        <v>1609184.11</v>
      </c>
      <c r="BV257" s="451">
        <v>-34410.28</v>
      </c>
      <c r="BW257" s="451">
        <v>0</v>
      </c>
      <c r="BX257" s="451">
        <v>0</v>
      </c>
      <c r="BY257" s="451">
        <v>-34410.28</v>
      </c>
      <c r="BZ257" s="451">
        <v>69916.45</v>
      </c>
      <c r="CA257" s="451">
        <v>0</v>
      </c>
      <c r="CB257" s="451">
        <v>0</v>
      </c>
      <c r="CC257" s="451">
        <v>69916.45</v>
      </c>
      <c r="CD257" s="451">
        <v>1318.96</v>
      </c>
      <c r="CE257" s="451">
        <v>0</v>
      </c>
      <c r="CF257" s="451">
        <v>0</v>
      </c>
      <c r="CG257" s="451">
        <v>1318.96</v>
      </c>
      <c r="CH257" s="451">
        <v>847.37</v>
      </c>
      <c r="CI257" s="451">
        <v>0</v>
      </c>
      <c r="CJ257" s="451">
        <v>0</v>
      </c>
      <c r="CK257" s="451">
        <v>847.37</v>
      </c>
      <c r="CL257" s="451">
        <v>0</v>
      </c>
      <c r="CM257" s="451">
        <v>0</v>
      </c>
      <c r="CN257" s="451">
        <v>0</v>
      </c>
      <c r="CO257" s="451">
        <v>0</v>
      </c>
      <c r="CP257" s="451">
        <v>3626.7</v>
      </c>
      <c r="CQ257" s="451">
        <v>0</v>
      </c>
      <c r="CR257" s="451">
        <v>0</v>
      </c>
      <c r="CS257" s="451">
        <v>3626.7</v>
      </c>
      <c r="CT257" s="451">
        <v>0</v>
      </c>
      <c r="CU257" s="451">
        <v>0</v>
      </c>
      <c r="CV257" s="451">
        <v>0</v>
      </c>
      <c r="CW257" s="451">
        <v>0</v>
      </c>
      <c r="CX257" s="451">
        <v>0</v>
      </c>
      <c r="CY257" s="451">
        <v>0</v>
      </c>
      <c r="CZ257" s="451">
        <v>0</v>
      </c>
      <c r="DA257" s="451">
        <v>0</v>
      </c>
      <c r="DB257" s="451">
        <v>0</v>
      </c>
      <c r="DC257" s="451">
        <v>0</v>
      </c>
      <c r="DD257" s="451">
        <v>0</v>
      </c>
      <c r="DE257" s="451">
        <v>0</v>
      </c>
      <c r="DF257" s="451">
        <v>0</v>
      </c>
      <c r="DG257" s="451">
        <v>0</v>
      </c>
      <c r="DH257" s="451">
        <v>0</v>
      </c>
      <c r="DI257" s="451">
        <v>0</v>
      </c>
      <c r="DJ257" s="451">
        <v>0</v>
      </c>
      <c r="DK257" s="451">
        <v>0</v>
      </c>
      <c r="DL257" s="451">
        <v>0</v>
      </c>
      <c r="DM257" s="451">
        <v>0</v>
      </c>
      <c r="DN257" s="451">
        <v>0</v>
      </c>
      <c r="DO257" s="451">
        <v>0</v>
      </c>
      <c r="DP257" s="451">
        <v>0</v>
      </c>
      <c r="DQ257" s="451">
        <v>0</v>
      </c>
      <c r="DR257" s="451">
        <v>0</v>
      </c>
      <c r="DS257" s="451">
        <v>0</v>
      </c>
      <c r="DT257" s="451">
        <v>0</v>
      </c>
      <c r="DU257" s="451">
        <v>0</v>
      </c>
      <c r="DV257" s="451">
        <v>0</v>
      </c>
      <c r="DW257" s="451">
        <v>0</v>
      </c>
      <c r="DX257" s="451">
        <v>0</v>
      </c>
      <c r="DY257" s="451">
        <v>0</v>
      </c>
      <c r="DZ257" s="451">
        <v>0</v>
      </c>
      <c r="EA257" s="451">
        <v>0</v>
      </c>
      <c r="EB257" s="451">
        <v>0</v>
      </c>
      <c r="EC257" s="451">
        <v>0</v>
      </c>
      <c r="ED257" s="451">
        <v>0</v>
      </c>
      <c r="EE257" s="451">
        <v>0</v>
      </c>
      <c r="EF257" s="451">
        <v>0</v>
      </c>
      <c r="EG257" s="451">
        <v>0</v>
      </c>
      <c r="EH257" s="451">
        <v>0</v>
      </c>
      <c r="EI257" s="451">
        <v>0</v>
      </c>
      <c r="EJ257" s="451">
        <v>0</v>
      </c>
      <c r="EK257" s="451">
        <v>0</v>
      </c>
      <c r="EL257" s="451">
        <v>0</v>
      </c>
      <c r="EM257" s="451">
        <v>0</v>
      </c>
    </row>
    <row r="258" spans="1:144" ht="12.75" x14ac:dyDescent="0.2">
      <c r="A258" s="446">
        <v>252</v>
      </c>
      <c r="B258" s="447" t="s">
        <v>387</v>
      </c>
      <c r="C258" s="448" t="s">
        <v>1104</v>
      </c>
      <c r="D258" s="449" t="s">
        <v>1099</v>
      </c>
      <c r="E258" s="450" t="s">
        <v>386</v>
      </c>
      <c r="F258" s="451">
        <v>530415</v>
      </c>
      <c r="G258" s="451">
        <v>0</v>
      </c>
      <c r="H258" s="451">
        <v>0</v>
      </c>
      <c r="I258" s="451">
        <v>530415</v>
      </c>
      <c r="J258" s="451">
        <v>-1139307</v>
      </c>
      <c r="K258" s="451">
        <v>0</v>
      </c>
      <c r="L258" s="451">
        <v>0</v>
      </c>
      <c r="M258" s="451">
        <v>-1139307</v>
      </c>
      <c r="N258" s="451">
        <v>135269</v>
      </c>
      <c r="O258" s="451">
        <v>0</v>
      </c>
      <c r="P258" s="451">
        <v>0</v>
      </c>
      <c r="Q258" s="451">
        <v>135269</v>
      </c>
      <c r="R258" s="451">
        <v>577327</v>
      </c>
      <c r="S258" s="451">
        <v>0</v>
      </c>
      <c r="T258" s="451">
        <v>0</v>
      </c>
      <c r="U258" s="451">
        <v>577327</v>
      </c>
      <c r="V258" s="451">
        <v>5173509</v>
      </c>
      <c r="W258" s="451">
        <v>0</v>
      </c>
      <c r="X258" s="451">
        <v>0</v>
      </c>
      <c r="Y258" s="451">
        <v>5173509</v>
      </c>
      <c r="Z258" s="451">
        <v>497430</v>
      </c>
      <c r="AA258" s="451">
        <v>0</v>
      </c>
      <c r="AB258" s="451">
        <v>0</v>
      </c>
      <c r="AC258" s="451">
        <v>497430</v>
      </c>
      <c r="AD258" s="451">
        <v>4090419</v>
      </c>
      <c r="AE258" s="451">
        <v>0</v>
      </c>
      <c r="AF258" s="451">
        <v>0</v>
      </c>
      <c r="AG258" s="451">
        <v>4090419</v>
      </c>
      <c r="AH258" s="451">
        <v>12470</v>
      </c>
      <c r="AI258" s="451">
        <v>0</v>
      </c>
      <c r="AJ258" s="451">
        <v>0</v>
      </c>
      <c r="AK258" s="451">
        <v>12470</v>
      </c>
      <c r="AL258" s="451">
        <v>23290702</v>
      </c>
      <c r="AM258" s="451">
        <v>0</v>
      </c>
      <c r="AN258" s="451">
        <v>0</v>
      </c>
      <c r="AO258" s="451">
        <v>23290702</v>
      </c>
      <c r="AP258" s="451">
        <v>46173</v>
      </c>
      <c r="AQ258" s="451">
        <v>0</v>
      </c>
      <c r="AR258" s="451">
        <v>0</v>
      </c>
      <c r="AS258" s="451">
        <v>46173</v>
      </c>
      <c r="AT258" s="451">
        <v>51865</v>
      </c>
      <c r="AU258" s="451">
        <v>0</v>
      </c>
      <c r="AV258" s="451">
        <v>0</v>
      </c>
      <c r="AW258" s="451">
        <v>51865</v>
      </c>
      <c r="AX258" s="451">
        <v>0</v>
      </c>
      <c r="AY258" s="451">
        <v>0</v>
      </c>
      <c r="AZ258" s="451">
        <v>0</v>
      </c>
      <c r="BA258" s="451">
        <v>0</v>
      </c>
      <c r="BB258" s="451">
        <v>0</v>
      </c>
      <c r="BC258" s="451">
        <v>0</v>
      </c>
      <c r="BD258" s="451">
        <v>0</v>
      </c>
      <c r="BE258" s="451">
        <v>0</v>
      </c>
      <c r="BF258" s="451">
        <v>0</v>
      </c>
      <c r="BG258" s="451">
        <v>0</v>
      </c>
      <c r="BH258" s="451">
        <v>0</v>
      </c>
      <c r="BI258" s="451">
        <v>0</v>
      </c>
      <c r="BJ258" s="451">
        <v>237883</v>
      </c>
      <c r="BK258" s="451">
        <v>0</v>
      </c>
      <c r="BL258" s="451">
        <v>0</v>
      </c>
      <c r="BM258" s="451">
        <v>237883</v>
      </c>
      <c r="BN258" s="451">
        <v>323458</v>
      </c>
      <c r="BO258" s="451">
        <v>0</v>
      </c>
      <c r="BP258" s="451">
        <v>0</v>
      </c>
      <c r="BQ258" s="451">
        <v>323458</v>
      </c>
      <c r="BR258" s="451">
        <v>7147940</v>
      </c>
      <c r="BS258" s="451">
        <v>0</v>
      </c>
      <c r="BT258" s="451">
        <v>0</v>
      </c>
      <c r="BU258" s="451">
        <v>7147940</v>
      </c>
      <c r="BV258" s="451">
        <v>834468</v>
      </c>
      <c r="BW258" s="451">
        <v>0</v>
      </c>
      <c r="BX258" s="451">
        <v>0</v>
      </c>
      <c r="BY258" s="451">
        <v>834468</v>
      </c>
      <c r="BZ258" s="451">
        <v>373660</v>
      </c>
      <c r="CA258" s="451">
        <v>0</v>
      </c>
      <c r="CB258" s="451">
        <v>0</v>
      </c>
      <c r="CC258" s="451">
        <v>373660</v>
      </c>
      <c r="CD258" s="451">
        <v>13808</v>
      </c>
      <c r="CE258" s="451">
        <v>0</v>
      </c>
      <c r="CF258" s="451">
        <v>0</v>
      </c>
      <c r="CG258" s="451">
        <v>13808</v>
      </c>
      <c r="CH258" s="451">
        <v>45916</v>
      </c>
      <c r="CI258" s="451">
        <v>0</v>
      </c>
      <c r="CJ258" s="451">
        <v>0</v>
      </c>
      <c r="CK258" s="451">
        <v>45916</v>
      </c>
      <c r="CL258" s="451">
        <v>5501</v>
      </c>
      <c r="CM258" s="451">
        <v>0</v>
      </c>
      <c r="CN258" s="451">
        <v>0</v>
      </c>
      <c r="CO258" s="451">
        <v>5501</v>
      </c>
      <c r="CP258" s="451">
        <v>0</v>
      </c>
      <c r="CQ258" s="451">
        <v>0</v>
      </c>
      <c r="CR258" s="451">
        <v>0</v>
      </c>
      <c r="CS258" s="451">
        <v>0</v>
      </c>
      <c r="CT258" s="451">
        <v>0</v>
      </c>
      <c r="CU258" s="451">
        <v>0</v>
      </c>
      <c r="CV258" s="451">
        <v>0</v>
      </c>
      <c r="CW258" s="451">
        <v>0</v>
      </c>
      <c r="CX258" s="451">
        <v>0</v>
      </c>
      <c r="CY258" s="451">
        <v>0</v>
      </c>
      <c r="CZ258" s="451">
        <v>0</v>
      </c>
      <c r="DA258" s="451">
        <v>0</v>
      </c>
      <c r="DB258" s="451">
        <v>0</v>
      </c>
      <c r="DC258" s="451">
        <v>0</v>
      </c>
      <c r="DD258" s="451">
        <v>0</v>
      </c>
      <c r="DE258" s="451">
        <v>0</v>
      </c>
      <c r="DF258" s="451">
        <v>0</v>
      </c>
      <c r="DG258" s="451">
        <v>0</v>
      </c>
      <c r="DH258" s="451">
        <v>0</v>
      </c>
      <c r="DI258" s="451">
        <v>0</v>
      </c>
      <c r="DJ258" s="451">
        <v>0</v>
      </c>
      <c r="DK258" s="451">
        <v>0</v>
      </c>
      <c r="DL258" s="451">
        <v>0</v>
      </c>
      <c r="DM258" s="451">
        <v>0</v>
      </c>
      <c r="DN258" s="451">
        <v>0</v>
      </c>
      <c r="DO258" s="451">
        <v>0</v>
      </c>
      <c r="DP258" s="451">
        <v>0</v>
      </c>
      <c r="DQ258" s="451">
        <v>0</v>
      </c>
      <c r="DR258" s="451">
        <v>0</v>
      </c>
      <c r="DS258" s="451">
        <v>0</v>
      </c>
      <c r="DT258" s="451">
        <v>0</v>
      </c>
      <c r="DU258" s="451">
        <v>0</v>
      </c>
      <c r="DV258" s="451">
        <v>0</v>
      </c>
      <c r="DW258" s="451">
        <v>0</v>
      </c>
      <c r="DX258" s="451">
        <v>0</v>
      </c>
      <c r="DY258" s="451">
        <v>0</v>
      </c>
      <c r="DZ258" s="451">
        <v>0</v>
      </c>
      <c r="EA258" s="451">
        <v>0</v>
      </c>
      <c r="EB258" s="451">
        <v>0</v>
      </c>
      <c r="EC258" s="451">
        <v>0</v>
      </c>
      <c r="ED258" s="451">
        <v>0</v>
      </c>
      <c r="EE258" s="451">
        <v>0</v>
      </c>
      <c r="EF258" s="451">
        <v>0</v>
      </c>
      <c r="EG258" s="451">
        <v>0</v>
      </c>
      <c r="EH258" s="451">
        <v>0</v>
      </c>
      <c r="EI258" s="451">
        <v>0</v>
      </c>
      <c r="EJ258" s="451">
        <v>4382</v>
      </c>
      <c r="EK258" s="451">
        <v>0</v>
      </c>
      <c r="EL258" s="451">
        <v>0</v>
      </c>
      <c r="EM258" s="451">
        <v>4382</v>
      </c>
    </row>
    <row r="259" spans="1:144" ht="12.75" x14ac:dyDescent="0.2">
      <c r="A259" s="446">
        <v>253</v>
      </c>
      <c r="B259" s="447" t="s">
        <v>389</v>
      </c>
      <c r="C259" s="448" t="s">
        <v>1093</v>
      </c>
      <c r="D259" s="449" t="s">
        <v>1094</v>
      </c>
      <c r="E259" s="450" t="s">
        <v>388</v>
      </c>
      <c r="F259" s="451">
        <v>23215</v>
      </c>
      <c r="G259" s="451">
        <v>0</v>
      </c>
      <c r="H259" s="451">
        <v>0</v>
      </c>
      <c r="I259" s="451">
        <v>23215</v>
      </c>
      <c r="J259" s="451">
        <v>-4893</v>
      </c>
      <c r="K259" s="451">
        <v>0</v>
      </c>
      <c r="L259" s="451">
        <v>0</v>
      </c>
      <c r="M259" s="451">
        <v>-4893</v>
      </c>
      <c r="N259" s="451">
        <v>51673</v>
      </c>
      <c r="O259" s="451">
        <v>0</v>
      </c>
      <c r="P259" s="451">
        <v>0</v>
      </c>
      <c r="Q259" s="451">
        <v>51673</v>
      </c>
      <c r="R259" s="451">
        <v>-204995</v>
      </c>
      <c r="S259" s="451">
        <v>0</v>
      </c>
      <c r="T259" s="451">
        <v>0</v>
      </c>
      <c r="U259" s="451">
        <v>-204995</v>
      </c>
      <c r="V259" s="451">
        <v>1154639</v>
      </c>
      <c r="W259" s="451">
        <v>0</v>
      </c>
      <c r="X259" s="451">
        <v>0</v>
      </c>
      <c r="Y259" s="451">
        <v>1154639</v>
      </c>
      <c r="Z259" s="451">
        <v>64410</v>
      </c>
      <c r="AA259" s="451">
        <v>0</v>
      </c>
      <c r="AB259" s="451">
        <v>0</v>
      </c>
      <c r="AC259" s="451">
        <v>64410</v>
      </c>
      <c r="AD259" s="451">
        <v>816865</v>
      </c>
      <c r="AE259" s="451">
        <v>0</v>
      </c>
      <c r="AF259" s="451">
        <v>0</v>
      </c>
      <c r="AG259" s="451">
        <v>816865</v>
      </c>
      <c r="AH259" s="451">
        <v>-15594</v>
      </c>
      <c r="AI259" s="451">
        <v>0</v>
      </c>
      <c r="AJ259" s="451">
        <v>0</v>
      </c>
      <c r="AK259" s="451">
        <v>-15594</v>
      </c>
      <c r="AL259" s="451">
        <v>1673650</v>
      </c>
      <c r="AM259" s="451">
        <v>0</v>
      </c>
      <c r="AN259" s="451">
        <v>0</v>
      </c>
      <c r="AO259" s="451">
        <v>1673650</v>
      </c>
      <c r="AP259" s="451">
        <v>-27395</v>
      </c>
      <c r="AQ259" s="451">
        <v>0</v>
      </c>
      <c r="AR259" s="451">
        <v>0</v>
      </c>
      <c r="AS259" s="451">
        <v>-27395</v>
      </c>
      <c r="AT259" s="451">
        <v>28260</v>
      </c>
      <c r="AU259" s="451">
        <v>0</v>
      </c>
      <c r="AV259" s="451">
        <v>0</v>
      </c>
      <c r="AW259" s="451">
        <v>28260</v>
      </c>
      <c r="AX259" s="451">
        <v>0</v>
      </c>
      <c r="AY259" s="451">
        <v>0</v>
      </c>
      <c r="AZ259" s="451">
        <v>0</v>
      </c>
      <c r="BA259" s="451">
        <v>0</v>
      </c>
      <c r="BB259" s="451">
        <v>0</v>
      </c>
      <c r="BC259" s="451">
        <v>0</v>
      </c>
      <c r="BD259" s="451">
        <v>0</v>
      </c>
      <c r="BE259" s="451">
        <v>0</v>
      </c>
      <c r="BF259" s="451">
        <v>0</v>
      </c>
      <c r="BG259" s="451">
        <v>0</v>
      </c>
      <c r="BH259" s="451">
        <v>0</v>
      </c>
      <c r="BI259" s="451">
        <v>0</v>
      </c>
      <c r="BJ259" s="451">
        <v>39132</v>
      </c>
      <c r="BK259" s="451">
        <v>0</v>
      </c>
      <c r="BL259" s="451">
        <v>0</v>
      </c>
      <c r="BM259" s="451">
        <v>39132</v>
      </c>
      <c r="BN259" s="451">
        <v>-22447</v>
      </c>
      <c r="BO259" s="451">
        <v>0</v>
      </c>
      <c r="BP259" s="451">
        <v>0</v>
      </c>
      <c r="BQ259" s="451">
        <v>-22447</v>
      </c>
      <c r="BR259" s="451">
        <v>2289417</v>
      </c>
      <c r="BS259" s="451">
        <v>0</v>
      </c>
      <c r="BT259" s="451">
        <v>0</v>
      </c>
      <c r="BU259" s="451">
        <v>2289417</v>
      </c>
      <c r="BV259" s="451">
        <v>36080</v>
      </c>
      <c r="BW259" s="451">
        <v>0</v>
      </c>
      <c r="BX259" s="451">
        <v>0</v>
      </c>
      <c r="BY259" s="451">
        <v>36080</v>
      </c>
      <c r="BZ259" s="451">
        <v>52702</v>
      </c>
      <c r="CA259" s="451">
        <v>0</v>
      </c>
      <c r="CB259" s="451">
        <v>0</v>
      </c>
      <c r="CC259" s="451">
        <v>52702</v>
      </c>
      <c r="CD259" s="451">
        <v>-5</v>
      </c>
      <c r="CE259" s="451">
        <v>0</v>
      </c>
      <c r="CF259" s="451">
        <v>0</v>
      </c>
      <c r="CG259" s="451">
        <v>-5</v>
      </c>
      <c r="CH259" s="451">
        <v>41163</v>
      </c>
      <c r="CI259" s="451">
        <v>0</v>
      </c>
      <c r="CJ259" s="451">
        <v>0</v>
      </c>
      <c r="CK259" s="451">
        <v>41163</v>
      </c>
      <c r="CL259" s="451">
        <v>-1071</v>
      </c>
      <c r="CM259" s="451">
        <v>0</v>
      </c>
      <c r="CN259" s="451">
        <v>0</v>
      </c>
      <c r="CO259" s="451">
        <v>-1071</v>
      </c>
      <c r="CP259" s="451">
        <v>6453</v>
      </c>
      <c r="CQ259" s="451">
        <v>0</v>
      </c>
      <c r="CR259" s="451">
        <v>0</v>
      </c>
      <c r="CS259" s="451">
        <v>6453</v>
      </c>
      <c r="CT259" s="451">
        <v>0</v>
      </c>
      <c r="CU259" s="451">
        <v>0</v>
      </c>
      <c r="CV259" s="451">
        <v>0</v>
      </c>
      <c r="CW259" s="451">
        <v>0</v>
      </c>
      <c r="CX259" s="451">
        <v>0</v>
      </c>
      <c r="CY259" s="451">
        <v>0</v>
      </c>
      <c r="CZ259" s="451">
        <v>0</v>
      </c>
      <c r="DA259" s="451">
        <v>0</v>
      </c>
      <c r="DB259" s="451">
        <v>0</v>
      </c>
      <c r="DC259" s="451">
        <v>0</v>
      </c>
      <c r="DD259" s="451">
        <v>0</v>
      </c>
      <c r="DE259" s="451">
        <v>0</v>
      </c>
      <c r="DF259" s="451">
        <v>0</v>
      </c>
      <c r="DG259" s="451">
        <v>0</v>
      </c>
      <c r="DH259" s="451">
        <v>0</v>
      </c>
      <c r="DI259" s="451">
        <v>0</v>
      </c>
      <c r="DJ259" s="451">
        <v>0</v>
      </c>
      <c r="DK259" s="451">
        <v>0</v>
      </c>
      <c r="DL259" s="451">
        <v>0</v>
      </c>
      <c r="DM259" s="451">
        <v>0</v>
      </c>
      <c r="DN259" s="451">
        <v>0</v>
      </c>
      <c r="DO259" s="451">
        <v>0</v>
      </c>
      <c r="DP259" s="451">
        <v>0</v>
      </c>
      <c r="DQ259" s="451">
        <v>0</v>
      </c>
      <c r="DR259" s="451">
        <v>0</v>
      </c>
      <c r="DS259" s="451">
        <v>0</v>
      </c>
      <c r="DT259" s="451">
        <v>0</v>
      </c>
      <c r="DU259" s="451">
        <v>0</v>
      </c>
      <c r="DV259" s="451">
        <v>0</v>
      </c>
      <c r="DW259" s="451">
        <v>0</v>
      </c>
      <c r="DX259" s="451">
        <v>0</v>
      </c>
      <c r="DY259" s="451">
        <v>0</v>
      </c>
      <c r="DZ259" s="451">
        <v>0</v>
      </c>
      <c r="EA259" s="451">
        <v>0</v>
      </c>
      <c r="EB259" s="451">
        <v>52847</v>
      </c>
      <c r="EC259" s="451">
        <v>0</v>
      </c>
      <c r="ED259" s="451">
        <v>0</v>
      </c>
      <c r="EE259" s="451">
        <v>52847</v>
      </c>
      <c r="EF259" s="451">
        <v>0</v>
      </c>
      <c r="EG259" s="451">
        <v>0</v>
      </c>
      <c r="EH259" s="451">
        <v>0</v>
      </c>
      <c r="EI259" s="451">
        <v>0</v>
      </c>
      <c r="EJ259" s="451">
        <v>0</v>
      </c>
      <c r="EK259" s="451">
        <v>0</v>
      </c>
      <c r="EL259" s="451">
        <v>0</v>
      </c>
      <c r="EM259" s="451">
        <v>0</v>
      </c>
    </row>
    <row r="260" spans="1:144" ht="12.75" x14ac:dyDescent="0.2">
      <c r="A260" s="446">
        <v>254</v>
      </c>
      <c r="B260" s="447" t="s">
        <v>391</v>
      </c>
      <c r="C260" s="448" t="s">
        <v>1093</v>
      </c>
      <c r="D260" s="449" t="s">
        <v>1097</v>
      </c>
      <c r="E260" s="450" t="s">
        <v>390</v>
      </c>
      <c r="F260" s="451">
        <v>197753</v>
      </c>
      <c r="G260" s="451">
        <v>0</v>
      </c>
      <c r="H260" s="451">
        <v>0</v>
      </c>
      <c r="I260" s="451">
        <v>197753</v>
      </c>
      <c r="J260" s="451">
        <v>-247127</v>
      </c>
      <c r="K260" s="451">
        <v>0</v>
      </c>
      <c r="L260" s="451">
        <v>0</v>
      </c>
      <c r="M260" s="451">
        <v>-247127</v>
      </c>
      <c r="N260" s="451">
        <v>39701.07</v>
      </c>
      <c r="O260" s="451">
        <v>0</v>
      </c>
      <c r="P260" s="451">
        <v>0</v>
      </c>
      <c r="Q260" s="451">
        <v>39701.07</v>
      </c>
      <c r="R260" s="451">
        <v>225883.65</v>
      </c>
      <c r="S260" s="451">
        <v>0</v>
      </c>
      <c r="T260" s="451">
        <v>0</v>
      </c>
      <c r="U260" s="451">
        <v>225883.65</v>
      </c>
      <c r="V260" s="451">
        <v>1481017.03</v>
      </c>
      <c r="W260" s="451">
        <v>0</v>
      </c>
      <c r="X260" s="451">
        <v>0</v>
      </c>
      <c r="Y260" s="451">
        <v>1481017.03</v>
      </c>
      <c r="Z260" s="451">
        <v>96860.08</v>
      </c>
      <c r="AA260" s="451">
        <v>0</v>
      </c>
      <c r="AB260" s="451">
        <v>0</v>
      </c>
      <c r="AC260" s="451">
        <v>96860.08</v>
      </c>
      <c r="AD260" s="451">
        <v>1241703.57</v>
      </c>
      <c r="AE260" s="451">
        <v>0</v>
      </c>
      <c r="AF260" s="451">
        <v>0</v>
      </c>
      <c r="AG260" s="451">
        <v>1241703.57</v>
      </c>
      <c r="AH260" s="451">
        <v>-23831.59</v>
      </c>
      <c r="AI260" s="451">
        <v>0</v>
      </c>
      <c r="AJ260" s="451">
        <v>0</v>
      </c>
      <c r="AK260" s="451">
        <v>-23831.59</v>
      </c>
      <c r="AL260" s="451">
        <v>4900947.75</v>
      </c>
      <c r="AM260" s="451">
        <v>0</v>
      </c>
      <c r="AN260" s="451">
        <v>0</v>
      </c>
      <c r="AO260" s="451">
        <v>4900947.75</v>
      </c>
      <c r="AP260" s="451">
        <v>157416.14000000001</v>
      </c>
      <c r="AQ260" s="451">
        <v>0</v>
      </c>
      <c r="AR260" s="451">
        <v>0</v>
      </c>
      <c r="AS260" s="451">
        <v>157416.14000000001</v>
      </c>
      <c r="AT260" s="451">
        <v>132535.51999999999</v>
      </c>
      <c r="AU260" s="451">
        <v>0</v>
      </c>
      <c r="AV260" s="451">
        <v>0</v>
      </c>
      <c r="AW260" s="451">
        <v>132535.51999999999</v>
      </c>
      <c r="AX260" s="451">
        <v>0</v>
      </c>
      <c r="AY260" s="451">
        <v>0</v>
      </c>
      <c r="AZ260" s="451">
        <v>0</v>
      </c>
      <c r="BA260" s="451">
        <v>0</v>
      </c>
      <c r="BB260" s="451">
        <v>0</v>
      </c>
      <c r="BC260" s="451">
        <v>0</v>
      </c>
      <c r="BD260" s="451">
        <v>0</v>
      </c>
      <c r="BE260" s="451">
        <v>0</v>
      </c>
      <c r="BF260" s="451">
        <v>0</v>
      </c>
      <c r="BG260" s="451">
        <v>0</v>
      </c>
      <c r="BH260" s="451">
        <v>0</v>
      </c>
      <c r="BI260" s="451">
        <v>0</v>
      </c>
      <c r="BJ260" s="451">
        <v>124591.97</v>
      </c>
      <c r="BK260" s="451">
        <v>0</v>
      </c>
      <c r="BL260" s="451">
        <v>0</v>
      </c>
      <c r="BM260" s="451">
        <v>124591.97</v>
      </c>
      <c r="BN260" s="451">
        <v>19085.57</v>
      </c>
      <c r="BO260" s="451">
        <v>0</v>
      </c>
      <c r="BP260" s="451">
        <v>0</v>
      </c>
      <c r="BQ260" s="451">
        <v>19085.57</v>
      </c>
      <c r="BR260" s="451">
        <v>660773</v>
      </c>
      <c r="BS260" s="451">
        <v>0</v>
      </c>
      <c r="BT260" s="451">
        <v>0</v>
      </c>
      <c r="BU260" s="451">
        <v>660773</v>
      </c>
      <c r="BV260" s="451">
        <v>-2316550</v>
      </c>
      <c r="BW260" s="451">
        <v>0</v>
      </c>
      <c r="BX260" s="451">
        <v>0</v>
      </c>
      <c r="BY260" s="451">
        <v>-2316550</v>
      </c>
      <c r="BZ260" s="451">
        <v>123597.82</v>
      </c>
      <c r="CA260" s="451">
        <v>0</v>
      </c>
      <c r="CB260" s="451">
        <v>0</v>
      </c>
      <c r="CC260" s="451">
        <v>123597.82</v>
      </c>
      <c r="CD260" s="451">
        <v>3983.09</v>
      </c>
      <c r="CE260" s="451">
        <v>0</v>
      </c>
      <c r="CF260" s="451">
        <v>0</v>
      </c>
      <c r="CG260" s="451">
        <v>3983.09</v>
      </c>
      <c r="CH260" s="451">
        <v>20109.21</v>
      </c>
      <c r="CI260" s="451">
        <v>0</v>
      </c>
      <c r="CJ260" s="451">
        <v>0</v>
      </c>
      <c r="CK260" s="451">
        <v>20109.21</v>
      </c>
      <c r="CL260" s="451">
        <v>-24961.24</v>
      </c>
      <c r="CM260" s="451">
        <v>0</v>
      </c>
      <c r="CN260" s="451">
        <v>0</v>
      </c>
      <c r="CO260" s="451">
        <v>-24961.24</v>
      </c>
      <c r="CP260" s="451">
        <v>1106.8499999999999</v>
      </c>
      <c r="CQ260" s="451">
        <v>0</v>
      </c>
      <c r="CR260" s="451">
        <v>0</v>
      </c>
      <c r="CS260" s="451">
        <v>1106.8499999999999</v>
      </c>
      <c r="CT260" s="451">
        <v>0</v>
      </c>
      <c r="CU260" s="451">
        <v>0</v>
      </c>
      <c r="CV260" s="451">
        <v>0</v>
      </c>
      <c r="CW260" s="451">
        <v>0</v>
      </c>
      <c r="CX260" s="451">
        <v>0</v>
      </c>
      <c r="CY260" s="451">
        <v>0</v>
      </c>
      <c r="CZ260" s="451">
        <v>0</v>
      </c>
      <c r="DA260" s="451">
        <v>0</v>
      </c>
      <c r="DB260" s="451">
        <v>0</v>
      </c>
      <c r="DC260" s="451">
        <v>0</v>
      </c>
      <c r="DD260" s="451">
        <v>0</v>
      </c>
      <c r="DE260" s="451">
        <v>0</v>
      </c>
      <c r="DF260" s="451">
        <v>0</v>
      </c>
      <c r="DG260" s="451">
        <v>0</v>
      </c>
      <c r="DH260" s="451">
        <v>0</v>
      </c>
      <c r="DI260" s="451">
        <v>0</v>
      </c>
      <c r="DJ260" s="451">
        <v>0</v>
      </c>
      <c r="DK260" s="451">
        <v>0</v>
      </c>
      <c r="DL260" s="451">
        <v>0</v>
      </c>
      <c r="DM260" s="451">
        <v>0</v>
      </c>
      <c r="DN260" s="451">
        <v>0</v>
      </c>
      <c r="DO260" s="451">
        <v>0</v>
      </c>
      <c r="DP260" s="451">
        <v>0</v>
      </c>
      <c r="DQ260" s="451">
        <v>0</v>
      </c>
      <c r="DR260" s="451">
        <v>0</v>
      </c>
      <c r="DS260" s="451">
        <v>0</v>
      </c>
      <c r="DT260" s="451">
        <v>0</v>
      </c>
      <c r="DU260" s="451">
        <v>0</v>
      </c>
      <c r="DV260" s="451">
        <v>0</v>
      </c>
      <c r="DW260" s="451">
        <v>0</v>
      </c>
      <c r="DX260" s="451">
        <v>0</v>
      </c>
      <c r="DY260" s="451">
        <v>0</v>
      </c>
      <c r="DZ260" s="451">
        <v>0</v>
      </c>
      <c r="EA260" s="451">
        <v>0</v>
      </c>
      <c r="EB260" s="451">
        <v>0</v>
      </c>
      <c r="EC260" s="451">
        <v>0</v>
      </c>
      <c r="ED260" s="451">
        <v>0</v>
      </c>
      <c r="EE260" s="451">
        <v>0</v>
      </c>
      <c r="EF260" s="451">
        <v>0</v>
      </c>
      <c r="EG260" s="451">
        <v>0</v>
      </c>
      <c r="EH260" s="451">
        <v>0</v>
      </c>
      <c r="EI260" s="451">
        <v>0</v>
      </c>
      <c r="EJ260" s="451">
        <v>0</v>
      </c>
      <c r="EK260" s="451">
        <v>0</v>
      </c>
      <c r="EL260" s="451">
        <v>0</v>
      </c>
      <c r="EM260" s="451">
        <v>0</v>
      </c>
    </row>
    <row r="261" spans="1:144" ht="12.75" x14ac:dyDescent="0.2">
      <c r="A261" s="446">
        <v>255</v>
      </c>
      <c r="B261" s="447" t="s">
        <v>393</v>
      </c>
      <c r="C261" s="448" t="s">
        <v>1093</v>
      </c>
      <c r="D261" s="449" t="s">
        <v>1097</v>
      </c>
      <c r="E261" s="450" t="s">
        <v>392</v>
      </c>
      <c r="F261" s="451">
        <v>67738.710000000006</v>
      </c>
      <c r="G261" s="451">
        <v>0</v>
      </c>
      <c r="H261" s="451">
        <v>0</v>
      </c>
      <c r="I261" s="451">
        <v>67738.710000000006</v>
      </c>
      <c r="J261" s="451">
        <v>-79832.06</v>
      </c>
      <c r="K261" s="451">
        <v>0</v>
      </c>
      <c r="L261" s="451">
        <v>0</v>
      </c>
      <c r="M261" s="451">
        <v>-79832.06</v>
      </c>
      <c r="N261" s="451">
        <v>8673.57</v>
      </c>
      <c r="O261" s="451">
        <v>0</v>
      </c>
      <c r="P261" s="451">
        <v>0</v>
      </c>
      <c r="Q261" s="451">
        <v>8673.57</v>
      </c>
      <c r="R261" s="451">
        <v>-7588.58</v>
      </c>
      <c r="S261" s="451">
        <v>0</v>
      </c>
      <c r="T261" s="451">
        <v>0</v>
      </c>
      <c r="U261" s="451">
        <v>-7588.58</v>
      </c>
      <c r="V261" s="451">
        <v>1867211.85</v>
      </c>
      <c r="W261" s="451">
        <v>0</v>
      </c>
      <c r="X261" s="451">
        <v>0</v>
      </c>
      <c r="Y261" s="451">
        <v>1867211.85</v>
      </c>
      <c r="Z261" s="451">
        <v>34131.67</v>
      </c>
      <c r="AA261" s="451">
        <v>0</v>
      </c>
      <c r="AB261" s="451">
        <v>0</v>
      </c>
      <c r="AC261" s="451">
        <v>34131.67</v>
      </c>
      <c r="AD261" s="451">
        <v>873484.98</v>
      </c>
      <c r="AE261" s="451">
        <v>0</v>
      </c>
      <c r="AF261" s="451">
        <v>0</v>
      </c>
      <c r="AG261" s="451">
        <v>873484.98</v>
      </c>
      <c r="AH261" s="451">
        <v>2592.15</v>
      </c>
      <c r="AI261" s="451">
        <v>0</v>
      </c>
      <c r="AJ261" s="451">
        <v>0</v>
      </c>
      <c r="AK261" s="451">
        <v>2592.15</v>
      </c>
      <c r="AL261" s="451">
        <v>2420259.61</v>
      </c>
      <c r="AM261" s="451">
        <v>0</v>
      </c>
      <c r="AN261" s="451">
        <v>0</v>
      </c>
      <c r="AO261" s="451">
        <v>2420259.61</v>
      </c>
      <c r="AP261" s="451">
        <v>10453.049999999999</v>
      </c>
      <c r="AQ261" s="451">
        <v>0</v>
      </c>
      <c r="AR261" s="451">
        <v>0</v>
      </c>
      <c r="AS261" s="451">
        <v>10453.049999999999</v>
      </c>
      <c r="AT261" s="451">
        <v>20318.939999999999</v>
      </c>
      <c r="AU261" s="451">
        <v>0</v>
      </c>
      <c r="AV261" s="451">
        <v>0</v>
      </c>
      <c r="AW261" s="451">
        <v>20318.939999999999</v>
      </c>
      <c r="AX261" s="451">
        <v>0</v>
      </c>
      <c r="AY261" s="451">
        <v>0</v>
      </c>
      <c r="AZ261" s="451">
        <v>0</v>
      </c>
      <c r="BA261" s="451">
        <v>0</v>
      </c>
      <c r="BB261" s="451">
        <v>54279.94</v>
      </c>
      <c r="BC261" s="451">
        <v>0</v>
      </c>
      <c r="BD261" s="451">
        <v>0</v>
      </c>
      <c r="BE261" s="451">
        <v>54279.94</v>
      </c>
      <c r="BF261" s="451">
        <v>968.9</v>
      </c>
      <c r="BG261" s="451">
        <v>0</v>
      </c>
      <c r="BH261" s="451">
        <v>0</v>
      </c>
      <c r="BI261" s="451">
        <v>968.9</v>
      </c>
      <c r="BJ261" s="451">
        <v>62746.239999999998</v>
      </c>
      <c r="BK261" s="451">
        <v>0</v>
      </c>
      <c r="BL261" s="451">
        <v>0</v>
      </c>
      <c r="BM261" s="451">
        <v>62746.239999999998</v>
      </c>
      <c r="BN261" s="451">
        <v>-864.55</v>
      </c>
      <c r="BO261" s="451">
        <v>0</v>
      </c>
      <c r="BP261" s="451">
        <v>0</v>
      </c>
      <c r="BQ261" s="451">
        <v>-864.55</v>
      </c>
      <c r="BR261" s="451">
        <v>1415970.8</v>
      </c>
      <c r="BS261" s="451">
        <v>0</v>
      </c>
      <c r="BT261" s="451">
        <v>0</v>
      </c>
      <c r="BU261" s="451">
        <v>1415970.8</v>
      </c>
      <c r="BV261" s="451">
        <v>46420.480000000003</v>
      </c>
      <c r="BW261" s="451">
        <v>0</v>
      </c>
      <c r="BX261" s="451">
        <v>0</v>
      </c>
      <c r="BY261" s="451">
        <v>46420.480000000003</v>
      </c>
      <c r="BZ261" s="451">
        <v>99226.54</v>
      </c>
      <c r="CA261" s="451">
        <v>0</v>
      </c>
      <c r="CB261" s="451">
        <v>0</v>
      </c>
      <c r="CC261" s="451">
        <v>99226.54</v>
      </c>
      <c r="CD261" s="451">
        <v>1717.49</v>
      </c>
      <c r="CE261" s="451">
        <v>0</v>
      </c>
      <c r="CF261" s="451">
        <v>0</v>
      </c>
      <c r="CG261" s="451">
        <v>1717.49</v>
      </c>
      <c r="CH261" s="451">
        <v>77777.87</v>
      </c>
      <c r="CI261" s="451">
        <v>0</v>
      </c>
      <c r="CJ261" s="451">
        <v>0</v>
      </c>
      <c r="CK261" s="451">
        <v>77777.87</v>
      </c>
      <c r="CL261" s="451">
        <v>-1094.05</v>
      </c>
      <c r="CM261" s="451">
        <v>0</v>
      </c>
      <c r="CN261" s="451">
        <v>0</v>
      </c>
      <c r="CO261" s="451">
        <v>-1094.05</v>
      </c>
      <c r="CP261" s="451">
        <v>4089.45</v>
      </c>
      <c r="CQ261" s="451">
        <v>0</v>
      </c>
      <c r="CR261" s="451">
        <v>0</v>
      </c>
      <c r="CS261" s="451">
        <v>4089.45</v>
      </c>
      <c r="CT261" s="451">
        <v>0</v>
      </c>
      <c r="CU261" s="451">
        <v>0</v>
      </c>
      <c r="CV261" s="451">
        <v>0</v>
      </c>
      <c r="CW261" s="451">
        <v>0</v>
      </c>
      <c r="CX261" s="451">
        <v>21460.7</v>
      </c>
      <c r="CY261" s="451">
        <v>0</v>
      </c>
      <c r="CZ261" s="451">
        <v>0</v>
      </c>
      <c r="DA261" s="451">
        <v>21460.7</v>
      </c>
      <c r="DB261" s="451">
        <v>0</v>
      </c>
      <c r="DC261" s="451">
        <v>0</v>
      </c>
      <c r="DD261" s="451">
        <v>0</v>
      </c>
      <c r="DE261" s="451">
        <v>0</v>
      </c>
      <c r="DF261" s="451">
        <v>7747.74</v>
      </c>
      <c r="DG261" s="451">
        <v>0</v>
      </c>
      <c r="DH261" s="451">
        <v>0</v>
      </c>
      <c r="DI261" s="451">
        <v>7747.74</v>
      </c>
      <c r="DJ261" s="451">
        <v>3200.56</v>
      </c>
      <c r="DK261" s="451">
        <v>0</v>
      </c>
      <c r="DL261" s="451">
        <v>0</v>
      </c>
      <c r="DM261" s="451">
        <v>3200.56</v>
      </c>
      <c r="DN261" s="451">
        <v>0</v>
      </c>
      <c r="DO261" s="451">
        <v>0</v>
      </c>
      <c r="DP261" s="451">
        <v>0</v>
      </c>
      <c r="DQ261" s="451">
        <v>0</v>
      </c>
      <c r="DR261" s="451">
        <v>0</v>
      </c>
      <c r="DS261" s="451">
        <v>0</v>
      </c>
      <c r="DT261" s="451">
        <v>0</v>
      </c>
      <c r="DU261" s="451">
        <v>0</v>
      </c>
      <c r="DV261" s="451">
        <v>0</v>
      </c>
      <c r="DW261" s="451">
        <v>0</v>
      </c>
      <c r="DX261" s="451">
        <v>0</v>
      </c>
      <c r="DY261" s="451">
        <v>0</v>
      </c>
      <c r="DZ261" s="451">
        <v>0</v>
      </c>
      <c r="EA261" s="451">
        <v>0</v>
      </c>
      <c r="EB261" s="451">
        <v>0</v>
      </c>
      <c r="EC261" s="451">
        <v>0</v>
      </c>
      <c r="ED261" s="451">
        <v>0</v>
      </c>
      <c r="EE261" s="451">
        <v>0</v>
      </c>
      <c r="EF261" s="451">
        <v>0</v>
      </c>
      <c r="EG261" s="451">
        <v>0</v>
      </c>
      <c r="EH261" s="451">
        <v>0</v>
      </c>
      <c r="EI261" s="451">
        <v>0</v>
      </c>
      <c r="EJ261" s="451">
        <v>0</v>
      </c>
      <c r="EK261" s="451">
        <v>0</v>
      </c>
      <c r="EL261" s="451">
        <v>0</v>
      </c>
      <c r="EM261" s="451">
        <v>0</v>
      </c>
    </row>
    <row r="262" spans="1:144" ht="12.75" x14ac:dyDescent="0.2">
      <c r="A262" s="446">
        <v>256</v>
      </c>
      <c r="B262" s="447" t="s">
        <v>395</v>
      </c>
      <c r="C262" s="448" t="s">
        <v>1100</v>
      </c>
      <c r="D262" s="449" t="s">
        <v>1095</v>
      </c>
      <c r="E262" s="450" t="s">
        <v>394</v>
      </c>
      <c r="F262" s="451">
        <v>58576</v>
      </c>
      <c r="G262" s="451">
        <v>0</v>
      </c>
      <c r="H262" s="451">
        <v>0</v>
      </c>
      <c r="I262" s="451">
        <v>58576</v>
      </c>
      <c r="J262" s="451">
        <v>-41807</v>
      </c>
      <c r="K262" s="451">
        <v>0</v>
      </c>
      <c r="L262" s="451">
        <v>0</v>
      </c>
      <c r="M262" s="451">
        <v>-41807</v>
      </c>
      <c r="N262" s="451">
        <v>83419</v>
      </c>
      <c r="O262" s="451">
        <v>0</v>
      </c>
      <c r="P262" s="451">
        <v>0</v>
      </c>
      <c r="Q262" s="451">
        <v>83419</v>
      </c>
      <c r="R262" s="451">
        <v>223029</v>
      </c>
      <c r="S262" s="451">
        <v>0</v>
      </c>
      <c r="T262" s="451">
        <v>0</v>
      </c>
      <c r="U262" s="451">
        <v>223029</v>
      </c>
      <c r="V262" s="451">
        <v>2938858</v>
      </c>
      <c r="W262" s="451">
        <v>0</v>
      </c>
      <c r="X262" s="451">
        <v>0</v>
      </c>
      <c r="Y262" s="451">
        <v>2938858</v>
      </c>
      <c r="Z262" s="451">
        <v>157357</v>
      </c>
      <c r="AA262" s="451">
        <v>0</v>
      </c>
      <c r="AB262" s="451">
        <v>0</v>
      </c>
      <c r="AC262" s="451">
        <v>157357</v>
      </c>
      <c r="AD262" s="451">
        <v>1026537</v>
      </c>
      <c r="AE262" s="451">
        <v>0</v>
      </c>
      <c r="AF262" s="451">
        <v>0</v>
      </c>
      <c r="AG262" s="451">
        <v>1026537</v>
      </c>
      <c r="AH262" s="451">
        <v>-1470</v>
      </c>
      <c r="AI262" s="451">
        <v>0</v>
      </c>
      <c r="AJ262" s="451">
        <v>0</v>
      </c>
      <c r="AK262" s="451">
        <v>-1470</v>
      </c>
      <c r="AL262" s="451">
        <v>3188618</v>
      </c>
      <c r="AM262" s="451">
        <v>0</v>
      </c>
      <c r="AN262" s="451">
        <v>0</v>
      </c>
      <c r="AO262" s="451">
        <v>3188618</v>
      </c>
      <c r="AP262" s="451">
        <v>396714</v>
      </c>
      <c r="AQ262" s="451">
        <v>0</v>
      </c>
      <c r="AR262" s="451">
        <v>0</v>
      </c>
      <c r="AS262" s="451">
        <v>396714</v>
      </c>
      <c r="AT262" s="451">
        <v>92551.24</v>
      </c>
      <c r="AU262" s="451">
        <v>0</v>
      </c>
      <c r="AV262" s="451">
        <v>0</v>
      </c>
      <c r="AW262" s="451">
        <v>92551.24</v>
      </c>
      <c r="AX262" s="451">
        <v>0</v>
      </c>
      <c r="AY262" s="451">
        <v>0</v>
      </c>
      <c r="AZ262" s="451">
        <v>0</v>
      </c>
      <c r="BA262" s="451">
        <v>0</v>
      </c>
      <c r="BB262" s="451">
        <v>0</v>
      </c>
      <c r="BC262" s="451">
        <v>0</v>
      </c>
      <c r="BD262" s="451">
        <v>0</v>
      </c>
      <c r="BE262" s="451">
        <v>0</v>
      </c>
      <c r="BF262" s="451">
        <v>0</v>
      </c>
      <c r="BG262" s="451">
        <v>0</v>
      </c>
      <c r="BH262" s="451">
        <v>0</v>
      </c>
      <c r="BI262" s="451">
        <v>0</v>
      </c>
      <c r="BJ262" s="451">
        <v>0</v>
      </c>
      <c r="BK262" s="451">
        <v>0</v>
      </c>
      <c r="BL262" s="451">
        <v>0</v>
      </c>
      <c r="BM262" s="451">
        <v>0</v>
      </c>
      <c r="BN262" s="451">
        <v>-0.01</v>
      </c>
      <c r="BO262" s="451">
        <v>0</v>
      </c>
      <c r="BP262" s="451">
        <v>0</v>
      </c>
      <c r="BQ262" s="451">
        <v>-0.01</v>
      </c>
      <c r="BR262" s="451">
        <v>2233091</v>
      </c>
      <c r="BS262" s="451">
        <v>0</v>
      </c>
      <c r="BT262" s="451">
        <v>0</v>
      </c>
      <c r="BU262" s="451">
        <v>2233091</v>
      </c>
      <c r="BV262" s="451">
        <v>41908</v>
      </c>
      <c r="BW262" s="451">
        <v>0</v>
      </c>
      <c r="BX262" s="451">
        <v>0</v>
      </c>
      <c r="BY262" s="451">
        <v>41908</v>
      </c>
      <c r="BZ262" s="451">
        <v>242983</v>
      </c>
      <c r="CA262" s="451">
        <v>0</v>
      </c>
      <c r="CB262" s="451">
        <v>0</v>
      </c>
      <c r="CC262" s="451">
        <v>242983</v>
      </c>
      <c r="CD262" s="451">
        <v>-19964</v>
      </c>
      <c r="CE262" s="451">
        <v>0</v>
      </c>
      <c r="CF262" s="451">
        <v>0</v>
      </c>
      <c r="CG262" s="451">
        <v>-19964</v>
      </c>
      <c r="CH262" s="451">
        <v>5256</v>
      </c>
      <c r="CI262" s="451">
        <v>0</v>
      </c>
      <c r="CJ262" s="451">
        <v>0</v>
      </c>
      <c r="CK262" s="451">
        <v>5256</v>
      </c>
      <c r="CL262" s="451">
        <v>-41537</v>
      </c>
      <c r="CM262" s="451">
        <v>0</v>
      </c>
      <c r="CN262" s="451">
        <v>0</v>
      </c>
      <c r="CO262" s="451">
        <v>-41537</v>
      </c>
      <c r="CP262" s="451">
        <v>12573</v>
      </c>
      <c r="CQ262" s="451">
        <v>0</v>
      </c>
      <c r="CR262" s="451">
        <v>0</v>
      </c>
      <c r="CS262" s="451">
        <v>12573</v>
      </c>
      <c r="CT262" s="451">
        <v>298</v>
      </c>
      <c r="CU262" s="451">
        <v>0</v>
      </c>
      <c r="CV262" s="451">
        <v>0</v>
      </c>
      <c r="CW262" s="451">
        <v>298</v>
      </c>
      <c r="CX262" s="451">
        <v>0</v>
      </c>
      <c r="CY262" s="451">
        <v>0</v>
      </c>
      <c r="CZ262" s="451">
        <v>0</v>
      </c>
      <c r="DA262" s="451">
        <v>0</v>
      </c>
      <c r="DB262" s="451">
        <v>0</v>
      </c>
      <c r="DC262" s="451">
        <v>0</v>
      </c>
      <c r="DD262" s="451">
        <v>0</v>
      </c>
      <c r="DE262" s="451">
        <v>0</v>
      </c>
      <c r="DF262" s="451">
        <v>0</v>
      </c>
      <c r="DG262" s="451">
        <v>0</v>
      </c>
      <c r="DH262" s="451">
        <v>0</v>
      </c>
      <c r="DI262" s="451">
        <v>0</v>
      </c>
      <c r="DJ262" s="451">
        <v>0</v>
      </c>
      <c r="DK262" s="451">
        <v>0</v>
      </c>
      <c r="DL262" s="451">
        <v>0</v>
      </c>
      <c r="DM262" s="451">
        <v>0</v>
      </c>
      <c r="DN262" s="451">
        <v>0</v>
      </c>
      <c r="DO262" s="451">
        <v>0</v>
      </c>
      <c r="DP262" s="451">
        <v>0</v>
      </c>
      <c r="DQ262" s="451">
        <v>0</v>
      </c>
      <c r="DR262" s="451">
        <v>0</v>
      </c>
      <c r="DS262" s="451">
        <v>0</v>
      </c>
      <c r="DT262" s="451">
        <v>0</v>
      </c>
      <c r="DU262" s="451">
        <v>0</v>
      </c>
      <c r="DV262" s="451">
        <v>0</v>
      </c>
      <c r="DW262" s="451">
        <v>0</v>
      </c>
      <c r="DX262" s="451">
        <v>0</v>
      </c>
      <c r="DY262" s="451">
        <v>0</v>
      </c>
      <c r="DZ262" s="451">
        <v>0</v>
      </c>
      <c r="EA262" s="451">
        <v>0</v>
      </c>
      <c r="EB262" s="451">
        <v>0</v>
      </c>
      <c r="EC262" s="451">
        <v>0</v>
      </c>
      <c r="ED262" s="451">
        <v>0</v>
      </c>
      <c r="EE262" s="451">
        <v>0</v>
      </c>
      <c r="EF262" s="451">
        <v>0</v>
      </c>
      <c r="EG262" s="451">
        <v>0</v>
      </c>
      <c r="EH262" s="451">
        <v>0</v>
      </c>
      <c r="EI262" s="451">
        <v>0</v>
      </c>
      <c r="EJ262" s="451">
        <v>-2609</v>
      </c>
      <c r="EK262" s="451">
        <v>0</v>
      </c>
      <c r="EL262" s="451">
        <v>0</v>
      </c>
      <c r="EM262" s="451">
        <v>-2609</v>
      </c>
    </row>
    <row r="263" spans="1:144" ht="12.75" x14ac:dyDescent="0.2">
      <c r="A263" s="446">
        <v>257</v>
      </c>
      <c r="B263" s="447" t="s">
        <v>397</v>
      </c>
      <c r="C263" s="448" t="s">
        <v>1093</v>
      </c>
      <c r="D263" s="449" t="s">
        <v>1103</v>
      </c>
      <c r="E263" s="450" t="s">
        <v>396</v>
      </c>
      <c r="F263" s="451">
        <v>104714.12</v>
      </c>
      <c r="G263" s="451">
        <v>0</v>
      </c>
      <c r="H263" s="451">
        <v>0</v>
      </c>
      <c r="I263" s="451">
        <v>104714.12</v>
      </c>
      <c r="J263" s="451">
        <v>-81229.460000000006</v>
      </c>
      <c r="K263" s="451">
        <v>0</v>
      </c>
      <c r="L263" s="451">
        <v>0</v>
      </c>
      <c r="M263" s="451">
        <v>-81229.460000000006</v>
      </c>
      <c r="N263" s="451">
        <v>44945</v>
      </c>
      <c r="O263" s="451">
        <v>0</v>
      </c>
      <c r="P263" s="451">
        <v>0</v>
      </c>
      <c r="Q263" s="451">
        <v>44945</v>
      </c>
      <c r="R263" s="451">
        <v>10742</v>
      </c>
      <c r="S263" s="451">
        <v>0</v>
      </c>
      <c r="T263" s="451">
        <v>0</v>
      </c>
      <c r="U263" s="451">
        <v>10742</v>
      </c>
      <c r="V263" s="451">
        <v>2226000.37</v>
      </c>
      <c r="W263" s="451">
        <v>0</v>
      </c>
      <c r="X263" s="451">
        <v>0</v>
      </c>
      <c r="Y263" s="451">
        <v>2226000.37</v>
      </c>
      <c r="Z263" s="451">
        <v>68378.23</v>
      </c>
      <c r="AA263" s="451">
        <v>0</v>
      </c>
      <c r="AB263" s="451">
        <v>0</v>
      </c>
      <c r="AC263" s="451">
        <v>68378.23</v>
      </c>
      <c r="AD263" s="451">
        <v>861511.23</v>
      </c>
      <c r="AE263" s="451">
        <v>0</v>
      </c>
      <c r="AF263" s="451">
        <v>0</v>
      </c>
      <c r="AG263" s="451">
        <v>861511.23</v>
      </c>
      <c r="AH263" s="451">
        <v>-10731.94</v>
      </c>
      <c r="AI263" s="451">
        <v>0</v>
      </c>
      <c r="AJ263" s="451">
        <v>0</v>
      </c>
      <c r="AK263" s="451">
        <v>-10731.94</v>
      </c>
      <c r="AL263" s="451">
        <v>2345778.34</v>
      </c>
      <c r="AM263" s="451">
        <v>0</v>
      </c>
      <c r="AN263" s="451">
        <v>0</v>
      </c>
      <c r="AO263" s="451">
        <v>2345778.34</v>
      </c>
      <c r="AP263" s="451">
        <v>81255.91</v>
      </c>
      <c r="AQ263" s="451">
        <v>0</v>
      </c>
      <c r="AR263" s="451">
        <v>0</v>
      </c>
      <c r="AS263" s="451">
        <v>81255.91</v>
      </c>
      <c r="AT263" s="451">
        <v>15226.51</v>
      </c>
      <c r="AU263" s="451">
        <v>0</v>
      </c>
      <c r="AV263" s="451">
        <v>0</v>
      </c>
      <c r="AW263" s="451">
        <v>15226.51</v>
      </c>
      <c r="AX263" s="451">
        <v>817.12</v>
      </c>
      <c r="AY263" s="451">
        <v>0</v>
      </c>
      <c r="AZ263" s="451">
        <v>0</v>
      </c>
      <c r="BA263" s="451">
        <v>817.12</v>
      </c>
      <c r="BB263" s="451">
        <v>21875.24</v>
      </c>
      <c r="BC263" s="451">
        <v>0</v>
      </c>
      <c r="BD263" s="451">
        <v>0</v>
      </c>
      <c r="BE263" s="451">
        <v>21875.24</v>
      </c>
      <c r="BF263" s="451">
        <v>110.4</v>
      </c>
      <c r="BG263" s="451">
        <v>0</v>
      </c>
      <c r="BH263" s="451">
        <v>0</v>
      </c>
      <c r="BI263" s="451">
        <v>110.4</v>
      </c>
      <c r="BJ263" s="451">
        <v>66591.56</v>
      </c>
      <c r="BK263" s="451">
        <v>0</v>
      </c>
      <c r="BL263" s="451">
        <v>0</v>
      </c>
      <c r="BM263" s="451">
        <v>66591.56</v>
      </c>
      <c r="BN263" s="451">
        <v>30563.59</v>
      </c>
      <c r="BO263" s="451">
        <v>0</v>
      </c>
      <c r="BP263" s="451">
        <v>0</v>
      </c>
      <c r="BQ263" s="451">
        <v>30563.59</v>
      </c>
      <c r="BR263" s="451">
        <v>2209168.65</v>
      </c>
      <c r="BS263" s="451">
        <v>0</v>
      </c>
      <c r="BT263" s="451">
        <v>0</v>
      </c>
      <c r="BU263" s="451">
        <v>2209168.65</v>
      </c>
      <c r="BV263" s="451">
        <v>51697.77</v>
      </c>
      <c r="BW263" s="451">
        <v>0</v>
      </c>
      <c r="BX263" s="451">
        <v>0</v>
      </c>
      <c r="BY263" s="451">
        <v>51697.77</v>
      </c>
      <c r="BZ263" s="451">
        <v>201648.54</v>
      </c>
      <c r="CA263" s="451">
        <v>0</v>
      </c>
      <c r="CB263" s="451">
        <v>0</v>
      </c>
      <c r="CC263" s="451">
        <v>201648.54</v>
      </c>
      <c r="CD263" s="451">
        <v>5088.1499999999996</v>
      </c>
      <c r="CE263" s="451">
        <v>0</v>
      </c>
      <c r="CF263" s="451">
        <v>0</v>
      </c>
      <c r="CG263" s="451">
        <v>5088.1499999999996</v>
      </c>
      <c r="CH263" s="451">
        <v>106596</v>
      </c>
      <c r="CI263" s="451">
        <v>0</v>
      </c>
      <c r="CJ263" s="451">
        <v>0</v>
      </c>
      <c r="CK263" s="451">
        <v>106596</v>
      </c>
      <c r="CL263" s="451">
        <v>1194.55</v>
      </c>
      <c r="CM263" s="451">
        <v>0</v>
      </c>
      <c r="CN263" s="451">
        <v>0</v>
      </c>
      <c r="CO263" s="451">
        <v>1194.55</v>
      </c>
      <c r="CP263" s="451">
        <v>3806.63</v>
      </c>
      <c r="CQ263" s="451">
        <v>0</v>
      </c>
      <c r="CR263" s="451">
        <v>0</v>
      </c>
      <c r="CS263" s="451">
        <v>3806.63</v>
      </c>
      <c r="CT263" s="451">
        <v>0</v>
      </c>
      <c r="CU263" s="451">
        <v>0</v>
      </c>
      <c r="CV263" s="451">
        <v>0</v>
      </c>
      <c r="CW263" s="451">
        <v>0</v>
      </c>
      <c r="CX263" s="451">
        <v>16140.81</v>
      </c>
      <c r="CY263" s="451">
        <v>0</v>
      </c>
      <c r="CZ263" s="451">
        <v>0</v>
      </c>
      <c r="DA263" s="451">
        <v>16140.81</v>
      </c>
      <c r="DB263" s="451">
        <v>110.38</v>
      </c>
      <c r="DC263" s="451">
        <v>0</v>
      </c>
      <c r="DD263" s="451">
        <v>0</v>
      </c>
      <c r="DE263" s="451">
        <v>110.38</v>
      </c>
      <c r="DF263" s="451">
        <v>4704.1099999999997</v>
      </c>
      <c r="DG263" s="451">
        <v>0</v>
      </c>
      <c r="DH263" s="451">
        <v>0</v>
      </c>
      <c r="DI263" s="451">
        <v>4704.1099999999997</v>
      </c>
      <c r="DJ263" s="451">
        <v>0</v>
      </c>
      <c r="DK263" s="451">
        <v>0</v>
      </c>
      <c r="DL263" s="451">
        <v>0</v>
      </c>
      <c r="DM263" s="451">
        <v>0</v>
      </c>
      <c r="DN263" s="451">
        <v>0</v>
      </c>
      <c r="DO263" s="451">
        <v>0</v>
      </c>
      <c r="DP263" s="451">
        <v>0</v>
      </c>
      <c r="DQ263" s="451">
        <v>0</v>
      </c>
      <c r="DR263" s="451">
        <v>0</v>
      </c>
      <c r="DS263" s="451">
        <v>0</v>
      </c>
      <c r="DT263" s="451">
        <v>0</v>
      </c>
      <c r="DU263" s="451">
        <v>0</v>
      </c>
      <c r="DV263" s="451">
        <v>0</v>
      </c>
      <c r="DW263" s="451">
        <v>0</v>
      </c>
      <c r="DX263" s="451">
        <v>0</v>
      </c>
      <c r="DY263" s="451">
        <v>0</v>
      </c>
      <c r="DZ263" s="451">
        <v>0</v>
      </c>
      <c r="EA263" s="451">
        <v>0</v>
      </c>
      <c r="EB263" s="451">
        <v>0</v>
      </c>
      <c r="EC263" s="451">
        <v>0</v>
      </c>
      <c r="ED263" s="451">
        <v>0</v>
      </c>
      <c r="EE263" s="451">
        <v>0</v>
      </c>
      <c r="EF263" s="451">
        <v>0</v>
      </c>
      <c r="EG263" s="451">
        <v>0</v>
      </c>
      <c r="EH263" s="451">
        <v>0</v>
      </c>
      <c r="EI263" s="451">
        <v>0</v>
      </c>
      <c r="EJ263" s="451">
        <v>0</v>
      </c>
      <c r="EK263" s="451">
        <v>0</v>
      </c>
      <c r="EL263" s="451">
        <v>0</v>
      </c>
      <c r="EM263" s="451">
        <v>0</v>
      </c>
    </row>
    <row r="264" spans="1:144" ht="12.75" x14ac:dyDescent="0.2">
      <c r="A264" s="446">
        <v>258</v>
      </c>
      <c r="B264" s="447" t="s">
        <v>399</v>
      </c>
      <c r="C264" s="448" t="s">
        <v>1093</v>
      </c>
      <c r="D264" s="449" t="s">
        <v>1103</v>
      </c>
      <c r="E264" s="450" t="s">
        <v>398</v>
      </c>
      <c r="F264" s="451">
        <v>118450</v>
      </c>
      <c r="G264" s="451">
        <v>0</v>
      </c>
      <c r="H264" s="451">
        <v>0</v>
      </c>
      <c r="I264" s="451">
        <v>118450</v>
      </c>
      <c r="J264" s="451">
        <v>-71262</v>
      </c>
      <c r="K264" s="451">
        <v>0</v>
      </c>
      <c r="L264" s="451">
        <v>0</v>
      </c>
      <c r="M264" s="451">
        <v>-71262</v>
      </c>
      <c r="N264" s="451">
        <v>2822</v>
      </c>
      <c r="O264" s="451">
        <v>0</v>
      </c>
      <c r="P264" s="451">
        <v>0</v>
      </c>
      <c r="Q264" s="451">
        <v>2822</v>
      </c>
      <c r="R264" s="451">
        <v>14495</v>
      </c>
      <c r="S264" s="451">
        <v>0</v>
      </c>
      <c r="T264" s="451">
        <v>0</v>
      </c>
      <c r="U264" s="451">
        <v>14495</v>
      </c>
      <c r="V264" s="451">
        <v>2101923</v>
      </c>
      <c r="W264" s="451">
        <v>0</v>
      </c>
      <c r="X264" s="451">
        <v>0</v>
      </c>
      <c r="Y264" s="451">
        <v>2101923</v>
      </c>
      <c r="Z264" s="451">
        <v>84272</v>
      </c>
      <c r="AA264" s="451">
        <v>0</v>
      </c>
      <c r="AB264" s="451">
        <v>0</v>
      </c>
      <c r="AC264" s="451">
        <v>84272</v>
      </c>
      <c r="AD264" s="451">
        <v>331872</v>
      </c>
      <c r="AE264" s="451">
        <v>0</v>
      </c>
      <c r="AF264" s="451">
        <v>0</v>
      </c>
      <c r="AG264" s="451">
        <v>331872</v>
      </c>
      <c r="AH264" s="451">
        <v>-8231</v>
      </c>
      <c r="AI264" s="451">
        <v>0</v>
      </c>
      <c r="AJ264" s="451">
        <v>0</v>
      </c>
      <c r="AK264" s="451">
        <v>-8231</v>
      </c>
      <c r="AL264" s="451">
        <v>1106056</v>
      </c>
      <c r="AM264" s="451">
        <v>0</v>
      </c>
      <c r="AN264" s="451">
        <v>0</v>
      </c>
      <c r="AO264" s="451">
        <v>1106056</v>
      </c>
      <c r="AP264" s="451">
        <v>-1615</v>
      </c>
      <c r="AQ264" s="451">
        <v>0</v>
      </c>
      <c r="AR264" s="451">
        <v>0</v>
      </c>
      <c r="AS264" s="451">
        <v>-1615</v>
      </c>
      <c r="AT264" s="451">
        <v>47194</v>
      </c>
      <c r="AU264" s="451">
        <v>0</v>
      </c>
      <c r="AV264" s="451">
        <v>0</v>
      </c>
      <c r="AW264" s="451">
        <v>47194</v>
      </c>
      <c r="AX264" s="451">
        <v>863</v>
      </c>
      <c r="AY264" s="451">
        <v>0</v>
      </c>
      <c r="AZ264" s="451">
        <v>0</v>
      </c>
      <c r="BA264" s="451">
        <v>863</v>
      </c>
      <c r="BB264" s="451">
        <v>17778</v>
      </c>
      <c r="BC264" s="451">
        <v>0</v>
      </c>
      <c r="BD264" s="451">
        <v>0</v>
      </c>
      <c r="BE264" s="451">
        <v>17778</v>
      </c>
      <c r="BF264" s="451">
        <v>0</v>
      </c>
      <c r="BG264" s="451">
        <v>0</v>
      </c>
      <c r="BH264" s="451">
        <v>0</v>
      </c>
      <c r="BI264" s="451">
        <v>0</v>
      </c>
      <c r="BJ264" s="451">
        <v>18678</v>
      </c>
      <c r="BK264" s="451">
        <v>0</v>
      </c>
      <c r="BL264" s="451">
        <v>0</v>
      </c>
      <c r="BM264" s="451">
        <v>18678</v>
      </c>
      <c r="BN264" s="451">
        <v>0</v>
      </c>
      <c r="BO264" s="451">
        <v>0</v>
      </c>
      <c r="BP264" s="451">
        <v>0</v>
      </c>
      <c r="BQ264" s="451">
        <v>0</v>
      </c>
      <c r="BR264" s="451">
        <v>627758</v>
      </c>
      <c r="BS264" s="451">
        <v>0</v>
      </c>
      <c r="BT264" s="451">
        <v>0</v>
      </c>
      <c r="BU264" s="451">
        <v>627758</v>
      </c>
      <c r="BV264" s="451">
        <v>15824</v>
      </c>
      <c r="BW264" s="451">
        <v>0</v>
      </c>
      <c r="BX264" s="451">
        <v>0</v>
      </c>
      <c r="BY264" s="451">
        <v>15824</v>
      </c>
      <c r="BZ264" s="451">
        <v>77881</v>
      </c>
      <c r="CA264" s="451">
        <v>0</v>
      </c>
      <c r="CB264" s="451">
        <v>0</v>
      </c>
      <c r="CC264" s="451">
        <v>77881</v>
      </c>
      <c r="CD264" s="451">
        <v>2944</v>
      </c>
      <c r="CE264" s="451">
        <v>0</v>
      </c>
      <c r="CF264" s="451">
        <v>0</v>
      </c>
      <c r="CG264" s="451">
        <v>2944</v>
      </c>
      <c r="CH264" s="451">
        <v>71476</v>
      </c>
      <c r="CI264" s="451">
        <v>0</v>
      </c>
      <c r="CJ264" s="451">
        <v>0</v>
      </c>
      <c r="CK264" s="451">
        <v>71476</v>
      </c>
      <c r="CL264" s="451">
        <v>-1073</v>
      </c>
      <c r="CM264" s="451">
        <v>0</v>
      </c>
      <c r="CN264" s="451">
        <v>0</v>
      </c>
      <c r="CO264" s="451">
        <v>-1073</v>
      </c>
      <c r="CP264" s="451">
        <v>3085</v>
      </c>
      <c r="CQ264" s="451">
        <v>0</v>
      </c>
      <c r="CR264" s="451">
        <v>0</v>
      </c>
      <c r="CS264" s="451">
        <v>3085</v>
      </c>
      <c r="CT264" s="451">
        <v>216</v>
      </c>
      <c r="CU264" s="451">
        <v>0</v>
      </c>
      <c r="CV264" s="451">
        <v>0</v>
      </c>
      <c r="CW264" s="451">
        <v>216</v>
      </c>
      <c r="CX264" s="451">
        <v>7173</v>
      </c>
      <c r="CY264" s="451">
        <v>0</v>
      </c>
      <c r="CZ264" s="451">
        <v>0</v>
      </c>
      <c r="DA264" s="451">
        <v>7173</v>
      </c>
      <c r="DB264" s="451">
        <v>0</v>
      </c>
      <c r="DC264" s="451">
        <v>0</v>
      </c>
      <c r="DD264" s="451">
        <v>0</v>
      </c>
      <c r="DE264" s="451">
        <v>0</v>
      </c>
      <c r="DF264" s="451">
        <v>0</v>
      </c>
      <c r="DG264" s="451">
        <v>0</v>
      </c>
      <c r="DH264" s="451">
        <v>0</v>
      </c>
      <c r="DI264" s="451">
        <v>0</v>
      </c>
      <c r="DJ264" s="451">
        <v>0</v>
      </c>
      <c r="DK264" s="451">
        <v>0</v>
      </c>
      <c r="DL264" s="451">
        <v>0</v>
      </c>
      <c r="DM264" s="451">
        <v>0</v>
      </c>
      <c r="DN264" s="451">
        <v>0</v>
      </c>
      <c r="DO264" s="451">
        <v>0</v>
      </c>
      <c r="DP264" s="451">
        <v>0</v>
      </c>
      <c r="DQ264" s="451">
        <v>0</v>
      </c>
      <c r="DR264" s="451">
        <v>0</v>
      </c>
      <c r="DS264" s="451">
        <v>0</v>
      </c>
      <c r="DT264" s="451">
        <v>0</v>
      </c>
      <c r="DU264" s="451">
        <v>0</v>
      </c>
      <c r="DV264" s="451">
        <v>0</v>
      </c>
      <c r="DW264" s="451">
        <v>0</v>
      </c>
      <c r="DX264" s="451">
        <v>0</v>
      </c>
      <c r="DY264" s="451">
        <v>0</v>
      </c>
      <c r="DZ264" s="451">
        <v>0</v>
      </c>
      <c r="EA264" s="451">
        <v>0</v>
      </c>
      <c r="EB264" s="451">
        <v>0</v>
      </c>
      <c r="EC264" s="451">
        <v>0</v>
      </c>
      <c r="ED264" s="451">
        <v>0</v>
      </c>
      <c r="EE264" s="451">
        <v>0</v>
      </c>
      <c r="EF264" s="451">
        <v>0</v>
      </c>
      <c r="EG264" s="451">
        <v>0</v>
      </c>
      <c r="EH264" s="451">
        <v>0</v>
      </c>
      <c r="EI264" s="451">
        <v>0</v>
      </c>
      <c r="EJ264" s="451">
        <v>0</v>
      </c>
      <c r="EK264" s="451">
        <v>0</v>
      </c>
      <c r="EL264" s="451">
        <v>0</v>
      </c>
      <c r="EM264" s="451">
        <v>0</v>
      </c>
    </row>
    <row r="265" spans="1:144" ht="12.75" x14ac:dyDescent="0.2">
      <c r="A265" s="446">
        <v>259</v>
      </c>
      <c r="B265" s="447" t="s">
        <v>401</v>
      </c>
      <c r="C265" s="448" t="s">
        <v>1093</v>
      </c>
      <c r="D265" s="449" t="s">
        <v>1097</v>
      </c>
      <c r="E265" s="450" t="s">
        <v>400</v>
      </c>
      <c r="F265" s="451">
        <v>51559.48</v>
      </c>
      <c r="G265" s="451">
        <v>0</v>
      </c>
      <c r="H265" s="451">
        <v>0</v>
      </c>
      <c r="I265" s="451">
        <v>51559.48</v>
      </c>
      <c r="J265" s="451">
        <v>-85681.75</v>
      </c>
      <c r="K265" s="451">
        <v>0</v>
      </c>
      <c r="L265" s="451">
        <v>0</v>
      </c>
      <c r="M265" s="451">
        <v>-85681.75</v>
      </c>
      <c r="N265" s="451">
        <v>101245.37</v>
      </c>
      <c r="O265" s="451">
        <v>0</v>
      </c>
      <c r="P265" s="451">
        <v>0</v>
      </c>
      <c r="Q265" s="451">
        <v>101245.37</v>
      </c>
      <c r="R265" s="451">
        <v>296995.98</v>
      </c>
      <c r="S265" s="451">
        <v>0</v>
      </c>
      <c r="T265" s="451">
        <v>0</v>
      </c>
      <c r="U265" s="451">
        <v>296995.98</v>
      </c>
      <c r="V265" s="451">
        <v>802792.83</v>
      </c>
      <c r="W265" s="451">
        <v>0</v>
      </c>
      <c r="X265" s="451">
        <v>0</v>
      </c>
      <c r="Y265" s="451">
        <v>802792.83</v>
      </c>
      <c r="Z265" s="451">
        <v>36819.75</v>
      </c>
      <c r="AA265" s="451">
        <v>0</v>
      </c>
      <c r="AB265" s="451">
        <v>0</v>
      </c>
      <c r="AC265" s="451">
        <v>36819.75</v>
      </c>
      <c r="AD265" s="451">
        <v>943926.32</v>
      </c>
      <c r="AE265" s="451">
        <v>0</v>
      </c>
      <c r="AF265" s="451">
        <v>0</v>
      </c>
      <c r="AG265" s="451">
        <v>943926.32</v>
      </c>
      <c r="AH265" s="451">
        <v>-6482.66</v>
      </c>
      <c r="AI265" s="451">
        <v>0</v>
      </c>
      <c r="AJ265" s="451">
        <v>0</v>
      </c>
      <c r="AK265" s="451">
        <v>-6482.66</v>
      </c>
      <c r="AL265" s="451">
        <v>1582592.62</v>
      </c>
      <c r="AM265" s="451">
        <v>0</v>
      </c>
      <c r="AN265" s="451">
        <v>0</v>
      </c>
      <c r="AO265" s="451">
        <v>1582592.62</v>
      </c>
      <c r="AP265" s="451">
        <v>15199.66</v>
      </c>
      <c r="AQ265" s="451">
        <v>0</v>
      </c>
      <c r="AR265" s="451">
        <v>0</v>
      </c>
      <c r="AS265" s="451">
        <v>15199.66</v>
      </c>
      <c r="AT265" s="451">
        <v>3862.2</v>
      </c>
      <c r="AU265" s="451">
        <v>0</v>
      </c>
      <c r="AV265" s="451">
        <v>0</v>
      </c>
      <c r="AW265" s="451">
        <v>3862.2</v>
      </c>
      <c r="AX265" s="451">
        <v>0</v>
      </c>
      <c r="AY265" s="451">
        <v>0</v>
      </c>
      <c r="AZ265" s="451">
        <v>0</v>
      </c>
      <c r="BA265" s="451">
        <v>0</v>
      </c>
      <c r="BB265" s="451">
        <v>0</v>
      </c>
      <c r="BC265" s="451">
        <v>0</v>
      </c>
      <c r="BD265" s="451">
        <v>0</v>
      </c>
      <c r="BE265" s="451">
        <v>0</v>
      </c>
      <c r="BF265" s="451">
        <v>0</v>
      </c>
      <c r="BG265" s="451">
        <v>0</v>
      </c>
      <c r="BH265" s="451">
        <v>0</v>
      </c>
      <c r="BI265" s="451">
        <v>0</v>
      </c>
      <c r="BJ265" s="451">
        <v>13502.85</v>
      </c>
      <c r="BK265" s="451">
        <v>0</v>
      </c>
      <c r="BL265" s="451">
        <v>0</v>
      </c>
      <c r="BM265" s="451">
        <v>13502.85</v>
      </c>
      <c r="BN265" s="451">
        <v>37048.83</v>
      </c>
      <c r="BO265" s="451">
        <v>0</v>
      </c>
      <c r="BP265" s="451">
        <v>0</v>
      </c>
      <c r="BQ265" s="451">
        <v>37048.83</v>
      </c>
      <c r="BR265" s="451">
        <v>1138811.81</v>
      </c>
      <c r="BS265" s="451">
        <v>0</v>
      </c>
      <c r="BT265" s="451">
        <v>0</v>
      </c>
      <c r="BU265" s="451">
        <v>1138811.81</v>
      </c>
      <c r="BV265" s="451">
        <v>-9913.84</v>
      </c>
      <c r="BW265" s="451">
        <v>0</v>
      </c>
      <c r="BX265" s="451">
        <v>0</v>
      </c>
      <c r="BY265" s="451">
        <v>-9913.84</v>
      </c>
      <c r="BZ265" s="451">
        <v>150183.51999999999</v>
      </c>
      <c r="CA265" s="451">
        <v>0</v>
      </c>
      <c r="CB265" s="451">
        <v>0</v>
      </c>
      <c r="CC265" s="451">
        <v>150183.51999999999</v>
      </c>
      <c r="CD265" s="451">
        <v>1347.09</v>
      </c>
      <c r="CE265" s="451">
        <v>0</v>
      </c>
      <c r="CF265" s="451">
        <v>0</v>
      </c>
      <c r="CG265" s="451">
        <v>1347.09</v>
      </c>
      <c r="CH265" s="451">
        <v>15926.73</v>
      </c>
      <c r="CI265" s="451">
        <v>0</v>
      </c>
      <c r="CJ265" s="451">
        <v>0</v>
      </c>
      <c r="CK265" s="451">
        <v>15926.73</v>
      </c>
      <c r="CL265" s="451">
        <v>3015</v>
      </c>
      <c r="CM265" s="451">
        <v>0</v>
      </c>
      <c r="CN265" s="451">
        <v>0</v>
      </c>
      <c r="CO265" s="451">
        <v>3015</v>
      </c>
      <c r="CP265" s="451">
        <v>965.55</v>
      </c>
      <c r="CQ265" s="451">
        <v>0</v>
      </c>
      <c r="CR265" s="451">
        <v>0</v>
      </c>
      <c r="CS265" s="451">
        <v>965.55</v>
      </c>
      <c r="CT265" s="451">
        <v>0</v>
      </c>
      <c r="CU265" s="451">
        <v>0</v>
      </c>
      <c r="CV265" s="451">
        <v>0</v>
      </c>
      <c r="CW265" s="451">
        <v>0</v>
      </c>
      <c r="CX265" s="451">
        <v>0</v>
      </c>
      <c r="CY265" s="451">
        <v>0</v>
      </c>
      <c r="CZ265" s="451">
        <v>0</v>
      </c>
      <c r="DA265" s="451">
        <v>0</v>
      </c>
      <c r="DB265" s="451">
        <v>0</v>
      </c>
      <c r="DC265" s="451">
        <v>0</v>
      </c>
      <c r="DD265" s="451">
        <v>0</v>
      </c>
      <c r="DE265" s="451">
        <v>0</v>
      </c>
      <c r="DF265" s="451">
        <v>0</v>
      </c>
      <c r="DG265" s="451">
        <v>0</v>
      </c>
      <c r="DH265" s="451">
        <v>0</v>
      </c>
      <c r="DI265" s="451">
        <v>0</v>
      </c>
      <c r="DJ265" s="451">
        <v>0</v>
      </c>
      <c r="DK265" s="451">
        <v>0</v>
      </c>
      <c r="DL265" s="451">
        <v>0</v>
      </c>
      <c r="DM265" s="451">
        <v>0</v>
      </c>
      <c r="DN265" s="451">
        <v>0</v>
      </c>
      <c r="DO265" s="451">
        <v>0</v>
      </c>
      <c r="DP265" s="451">
        <v>0</v>
      </c>
      <c r="DQ265" s="451">
        <v>0</v>
      </c>
      <c r="DR265" s="451">
        <v>0</v>
      </c>
      <c r="DS265" s="451">
        <v>0</v>
      </c>
      <c r="DT265" s="451">
        <v>0</v>
      </c>
      <c r="DU265" s="451">
        <v>0</v>
      </c>
      <c r="DV265" s="451">
        <v>0</v>
      </c>
      <c r="DW265" s="451">
        <v>0</v>
      </c>
      <c r="DX265" s="451">
        <v>0</v>
      </c>
      <c r="DY265" s="451">
        <v>0</v>
      </c>
      <c r="DZ265" s="451">
        <v>0</v>
      </c>
      <c r="EA265" s="451">
        <v>0</v>
      </c>
      <c r="EB265" s="451">
        <v>0</v>
      </c>
      <c r="EC265" s="451">
        <v>0</v>
      </c>
      <c r="ED265" s="451">
        <v>0</v>
      </c>
      <c r="EE265" s="451">
        <v>0</v>
      </c>
      <c r="EF265" s="451">
        <v>0</v>
      </c>
      <c r="EG265" s="451">
        <v>0</v>
      </c>
      <c r="EH265" s="451">
        <v>0</v>
      </c>
      <c r="EI265" s="451">
        <v>0</v>
      </c>
      <c r="EJ265" s="451">
        <v>0</v>
      </c>
      <c r="EK265" s="451">
        <v>0</v>
      </c>
      <c r="EL265" s="451">
        <v>0</v>
      </c>
      <c r="EM265" s="451">
        <v>0</v>
      </c>
    </row>
    <row r="266" spans="1:144" ht="12.75" x14ac:dyDescent="0.2">
      <c r="A266" s="446">
        <v>260</v>
      </c>
      <c r="B266" s="447" t="s">
        <v>403</v>
      </c>
      <c r="C266" s="448" t="s">
        <v>1100</v>
      </c>
      <c r="D266" s="449" t="s">
        <v>1095</v>
      </c>
      <c r="E266" s="450" t="s">
        <v>402</v>
      </c>
      <c r="F266" s="451">
        <v>145723</v>
      </c>
      <c r="G266" s="451">
        <v>0</v>
      </c>
      <c r="H266" s="451">
        <v>0</v>
      </c>
      <c r="I266" s="451">
        <v>145723</v>
      </c>
      <c r="J266" s="451">
        <v>-173008</v>
      </c>
      <c r="K266" s="451">
        <v>0</v>
      </c>
      <c r="L266" s="451">
        <v>0</v>
      </c>
      <c r="M266" s="451">
        <v>-173008</v>
      </c>
      <c r="N266" s="451">
        <v>63996</v>
      </c>
      <c r="O266" s="451">
        <v>0</v>
      </c>
      <c r="P266" s="451">
        <v>0</v>
      </c>
      <c r="Q266" s="451">
        <v>63996</v>
      </c>
      <c r="R266" s="451">
        <v>649965</v>
      </c>
      <c r="S266" s="451">
        <v>0</v>
      </c>
      <c r="T266" s="451">
        <v>0</v>
      </c>
      <c r="U266" s="451">
        <v>649965</v>
      </c>
      <c r="V266" s="451">
        <v>6467394</v>
      </c>
      <c r="W266" s="451">
        <v>0</v>
      </c>
      <c r="X266" s="451">
        <v>0</v>
      </c>
      <c r="Y266" s="451">
        <v>6467394</v>
      </c>
      <c r="Z266" s="451">
        <v>148571</v>
      </c>
      <c r="AA266" s="451">
        <v>0</v>
      </c>
      <c r="AB266" s="451">
        <v>0</v>
      </c>
      <c r="AC266" s="451">
        <v>148571</v>
      </c>
      <c r="AD266" s="451">
        <v>1775172</v>
      </c>
      <c r="AE266" s="451">
        <v>0</v>
      </c>
      <c r="AF266" s="451">
        <v>0</v>
      </c>
      <c r="AG266" s="451">
        <v>1775172</v>
      </c>
      <c r="AH266" s="451">
        <v>-61307</v>
      </c>
      <c r="AI266" s="451">
        <v>0</v>
      </c>
      <c r="AJ266" s="451">
        <v>0</v>
      </c>
      <c r="AK266" s="451">
        <v>-61307</v>
      </c>
      <c r="AL266" s="451">
        <v>3999732</v>
      </c>
      <c r="AM266" s="451">
        <v>0</v>
      </c>
      <c r="AN266" s="451">
        <v>0</v>
      </c>
      <c r="AO266" s="451">
        <v>3999732</v>
      </c>
      <c r="AP266" s="451">
        <v>136705</v>
      </c>
      <c r="AQ266" s="451">
        <v>0</v>
      </c>
      <c r="AR266" s="451">
        <v>0</v>
      </c>
      <c r="AS266" s="451">
        <v>136705</v>
      </c>
      <c r="AT266" s="451">
        <v>239002</v>
      </c>
      <c r="AU266" s="451">
        <v>0</v>
      </c>
      <c r="AV266" s="451">
        <v>0</v>
      </c>
      <c r="AW266" s="451">
        <v>239002</v>
      </c>
      <c r="AX266" s="451">
        <v>17374</v>
      </c>
      <c r="AY266" s="451">
        <v>0</v>
      </c>
      <c r="AZ266" s="451">
        <v>0</v>
      </c>
      <c r="BA266" s="451">
        <v>17374</v>
      </c>
      <c r="BB266" s="451">
        <v>0</v>
      </c>
      <c r="BC266" s="451">
        <v>0</v>
      </c>
      <c r="BD266" s="451">
        <v>0</v>
      </c>
      <c r="BE266" s="451">
        <v>0</v>
      </c>
      <c r="BF266" s="451">
        <v>0</v>
      </c>
      <c r="BG266" s="451">
        <v>0</v>
      </c>
      <c r="BH266" s="451">
        <v>0</v>
      </c>
      <c r="BI266" s="451">
        <v>0</v>
      </c>
      <c r="BJ266" s="451">
        <v>43804</v>
      </c>
      <c r="BK266" s="451">
        <v>0</v>
      </c>
      <c r="BL266" s="451">
        <v>0</v>
      </c>
      <c r="BM266" s="451">
        <v>43804</v>
      </c>
      <c r="BN266" s="451">
        <v>-78017</v>
      </c>
      <c r="BO266" s="451">
        <v>0</v>
      </c>
      <c r="BP266" s="451">
        <v>0</v>
      </c>
      <c r="BQ266" s="451">
        <v>-78017</v>
      </c>
      <c r="BR266" s="451">
        <v>6088732</v>
      </c>
      <c r="BS266" s="451">
        <v>0</v>
      </c>
      <c r="BT266" s="451">
        <v>0</v>
      </c>
      <c r="BU266" s="451">
        <v>6088732</v>
      </c>
      <c r="BV266" s="451">
        <v>80890</v>
      </c>
      <c r="BW266" s="451">
        <v>0</v>
      </c>
      <c r="BX266" s="451">
        <v>0</v>
      </c>
      <c r="BY266" s="451">
        <v>80890</v>
      </c>
      <c r="BZ266" s="451">
        <v>0</v>
      </c>
      <c r="CA266" s="451">
        <v>0</v>
      </c>
      <c r="CB266" s="451">
        <v>0</v>
      </c>
      <c r="CC266" s="451">
        <v>0</v>
      </c>
      <c r="CD266" s="451">
        <v>0</v>
      </c>
      <c r="CE266" s="451">
        <v>0</v>
      </c>
      <c r="CF266" s="451">
        <v>0</v>
      </c>
      <c r="CG266" s="451">
        <v>0</v>
      </c>
      <c r="CH266" s="451">
        <v>32338</v>
      </c>
      <c r="CI266" s="451">
        <v>0</v>
      </c>
      <c r="CJ266" s="451">
        <v>0</v>
      </c>
      <c r="CK266" s="451">
        <v>32338</v>
      </c>
      <c r="CL266" s="451">
        <v>-9922</v>
      </c>
      <c r="CM266" s="451">
        <v>0</v>
      </c>
      <c r="CN266" s="451">
        <v>0</v>
      </c>
      <c r="CO266" s="451">
        <v>-9922</v>
      </c>
      <c r="CP266" s="451">
        <v>23494</v>
      </c>
      <c r="CQ266" s="451">
        <v>0</v>
      </c>
      <c r="CR266" s="451">
        <v>0</v>
      </c>
      <c r="CS266" s="451">
        <v>23494</v>
      </c>
      <c r="CT266" s="451">
        <v>-78</v>
      </c>
      <c r="CU266" s="451">
        <v>0</v>
      </c>
      <c r="CV266" s="451">
        <v>0</v>
      </c>
      <c r="CW266" s="451">
        <v>-78</v>
      </c>
      <c r="CX266" s="451">
        <v>0</v>
      </c>
      <c r="CY266" s="451">
        <v>0</v>
      </c>
      <c r="CZ266" s="451">
        <v>0</v>
      </c>
      <c r="DA266" s="451">
        <v>0</v>
      </c>
      <c r="DB266" s="451">
        <v>0</v>
      </c>
      <c r="DC266" s="451">
        <v>0</v>
      </c>
      <c r="DD266" s="451">
        <v>0</v>
      </c>
      <c r="DE266" s="451">
        <v>0</v>
      </c>
      <c r="DF266" s="451">
        <v>0</v>
      </c>
      <c r="DG266" s="451">
        <v>0</v>
      </c>
      <c r="DH266" s="451">
        <v>0</v>
      </c>
      <c r="DI266" s="451">
        <v>0</v>
      </c>
      <c r="DJ266" s="451">
        <v>0</v>
      </c>
      <c r="DK266" s="451">
        <v>0</v>
      </c>
      <c r="DL266" s="451">
        <v>0</v>
      </c>
      <c r="DM266" s="451">
        <v>0</v>
      </c>
      <c r="DN266" s="451">
        <v>0</v>
      </c>
      <c r="DO266" s="451">
        <v>0</v>
      </c>
      <c r="DP266" s="451">
        <v>0</v>
      </c>
      <c r="DQ266" s="451">
        <v>0</v>
      </c>
      <c r="DR266" s="451">
        <v>0</v>
      </c>
      <c r="DS266" s="451">
        <v>0</v>
      </c>
      <c r="DT266" s="451">
        <v>0</v>
      </c>
      <c r="DU266" s="451">
        <v>0</v>
      </c>
      <c r="DV266" s="451">
        <v>0</v>
      </c>
      <c r="DW266" s="451">
        <v>0</v>
      </c>
      <c r="DX266" s="451">
        <v>0</v>
      </c>
      <c r="DY266" s="451">
        <v>0</v>
      </c>
      <c r="DZ266" s="451">
        <v>0</v>
      </c>
      <c r="EA266" s="451">
        <v>0</v>
      </c>
      <c r="EB266" s="451">
        <v>0</v>
      </c>
      <c r="EC266" s="451">
        <v>0</v>
      </c>
      <c r="ED266" s="451">
        <v>0</v>
      </c>
      <c r="EE266" s="451">
        <v>0</v>
      </c>
      <c r="EF266" s="451">
        <v>0</v>
      </c>
      <c r="EG266" s="451">
        <v>0</v>
      </c>
      <c r="EH266" s="451">
        <v>0</v>
      </c>
      <c r="EI266" s="451">
        <v>0</v>
      </c>
      <c r="EJ266" s="451">
        <v>0</v>
      </c>
      <c r="EK266" s="451">
        <v>0</v>
      </c>
      <c r="EL266" s="451">
        <v>0</v>
      </c>
      <c r="EM266" s="451">
        <v>0</v>
      </c>
    </row>
    <row r="267" spans="1:144" ht="12.75" x14ac:dyDescent="0.2">
      <c r="A267" s="446">
        <v>261</v>
      </c>
      <c r="B267" s="447" t="s">
        <v>405</v>
      </c>
      <c r="C267" s="448" t="s">
        <v>794</v>
      </c>
      <c r="D267" s="449" t="s">
        <v>1105</v>
      </c>
      <c r="E267" s="450" t="s">
        <v>747</v>
      </c>
      <c r="F267" s="451">
        <v>190089.49</v>
      </c>
      <c r="G267" s="451">
        <v>0</v>
      </c>
      <c r="H267" s="451">
        <v>0</v>
      </c>
      <c r="I267" s="451">
        <v>190089.49</v>
      </c>
      <c r="J267" s="451">
        <v>-32751.08</v>
      </c>
      <c r="K267" s="451">
        <v>0</v>
      </c>
      <c r="L267" s="451">
        <v>0</v>
      </c>
      <c r="M267" s="451">
        <v>-32751.08</v>
      </c>
      <c r="N267" s="451">
        <v>174529.43</v>
      </c>
      <c r="O267" s="451">
        <v>0</v>
      </c>
      <c r="P267" s="451">
        <v>0</v>
      </c>
      <c r="Q267" s="451">
        <v>174529.43</v>
      </c>
      <c r="R267" s="451">
        <v>504239.48</v>
      </c>
      <c r="S267" s="451">
        <v>0</v>
      </c>
      <c r="T267" s="451">
        <v>0</v>
      </c>
      <c r="U267" s="451">
        <v>504239.48</v>
      </c>
      <c r="V267" s="451">
        <v>2573395.16</v>
      </c>
      <c r="W267" s="451">
        <v>0</v>
      </c>
      <c r="X267" s="451">
        <v>0</v>
      </c>
      <c r="Y267" s="451">
        <v>2573395.16</v>
      </c>
      <c r="Z267" s="451">
        <v>109020.49</v>
      </c>
      <c r="AA267" s="451">
        <v>0</v>
      </c>
      <c r="AB267" s="451">
        <v>0</v>
      </c>
      <c r="AC267" s="451">
        <v>109020.49</v>
      </c>
      <c r="AD267" s="451">
        <v>1584898.26</v>
      </c>
      <c r="AE267" s="451">
        <v>0</v>
      </c>
      <c r="AF267" s="451">
        <v>0</v>
      </c>
      <c r="AG267" s="451">
        <v>1584898.26</v>
      </c>
      <c r="AH267" s="451">
        <v>-24661.86</v>
      </c>
      <c r="AI267" s="451">
        <v>0</v>
      </c>
      <c r="AJ267" s="451">
        <v>0</v>
      </c>
      <c r="AK267" s="451">
        <v>-24661.86</v>
      </c>
      <c r="AL267" s="451">
        <v>3659376.71</v>
      </c>
      <c r="AM267" s="451">
        <v>0</v>
      </c>
      <c r="AN267" s="451">
        <v>0</v>
      </c>
      <c r="AO267" s="451">
        <v>3659376.71</v>
      </c>
      <c r="AP267" s="451">
        <v>-68952.600000000006</v>
      </c>
      <c r="AQ267" s="451">
        <v>0</v>
      </c>
      <c r="AR267" s="451">
        <v>0</v>
      </c>
      <c r="AS267" s="451">
        <v>-68952.600000000006</v>
      </c>
      <c r="AT267" s="451">
        <v>35117.760000000002</v>
      </c>
      <c r="AU267" s="451">
        <v>0</v>
      </c>
      <c r="AV267" s="451">
        <v>0</v>
      </c>
      <c r="AW267" s="451">
        <v>35117.760000000002</v>
      </c>
      <c r="AX267" s="451">
        <v>0</v>
      </c>
      <c r="AY267" s="451">
        <v>0</v>
      </c>
      <c r="AZ267" s="451">
        <v>0</v>
      </c>
      <c r="BA267" s="451">
        <v>0</v>
      </c>
      <c r="BB267" s="451">
        <v>9528.09</v>
      </c>
      <c r="BC267" s="451">
        <v>0</v>
      </c>
      <c r="BD267" s="451">
        <v>0</v>
      </c>
      <c r="BE267" s="451">
        <v>9528.09</v>
      </c>
      <c r="BF267" s="451">
        <v>0</v>
      </c>
      <c r="BG267" s="451">
        <v>0</v>
      </c>
      <c r="BH267" s="451">
        <v>0</v>
      </c>
      <c r="BI267" s="451">
        <v>0</v>
      </c>
      <c r="BJ267" s="451">
        <v>66821.84</v>
      </c>
      <c r="BK267" s="451">
        <v>0</v>
      </c>
      <c r="BL267" s="451">
        <v>0</v>
      </c>
      <c r="BM267" s="451">
        <v>66821.84</v>
      </c>
      <c r="BN267" s="451">
        <v>33041.440000000002</v>
      </c>
      <c r="BO267" s="451">
        <v>0</v>
      </c>
      <c r="BP267" s="451">
        <v>0</v>
      </c>
      <c r="BQ267" s="451">
        <v>33041.440000000002</v>
      </c>
      <c r="BR267" s="451">
        <v>2350883.9900000002</v>
      </c>
      <c r="BS267" s="451">
        <v>0</v>
      </c>
      <c r="BT267" s="451">
        <v>0</v>
      </c>
      <c r="BU267" s="451">
        <v>2350883.9900000002</v>
      </c>
      <c r="BV267" s="451">
        <v>32711.66</v>
      </c>
      <c r="BW267" s="451">
        <v>0</v>
      </c>
      <c r="BX267" s="451">
        <v>0</v>
      </c>
      <c r="BY267" s="451">
        <v>32711.66</v>
      </c>
      <c r="BZ267" s="451">
        <v>180716.38</v>
      </c>
      <c r="CA267" s="451">
        <v>0</v>
      </c>
      <c r="CB267" s="451">
        <v>0</v>
      </c>
      <c r="CC267" s="451">
        <v>180716.38</v>
      </c>
      <c r="CD267" s="451">
        <v>-1551.54</v>
      </c>
      <c r="CE267" s="451">
        <v>0</v>
      </c>
      <c r="CF267" s="451">
        <v>0</v>
      </c>
      <c r="CG267" s="451">
        <v>-1551.54</v>
      </c>
      <c r="CH267" s="451">
        <v>82567.960000000006</v>
      </c>
      <c r="CI267" s="451">
        <v>0</v>
      </c>
      <c r="CJ267" s="451">
        <v>0</v>
      </c>
      <c r="CK267" s="451">
        <v>82567.960000000006</v>
      </c>
      <c r="CL267" s="451">
        <v>20135.98</v>
      </c>
      <c r="CM267" s="451">
        <v>0</v>
      </c>
      <c r="CN267" s="451">
        <v>0</v>
      </c>
      <c r="CO267" s="451">
        <v>20135.98</v>
      </c>
      <c r="CP267" s="451">
        <v>8984.9699999999993</v>
      </c>
      <c r="CQ267" s="451">
        <v>0</v>
      </c>
      <c r="CR267" s="451">
        <v>0</v>
      </c>
      <c r="CS267" s="451">
        <v>8984.9699999999993</v>
      </c>
      <c r="CT267" s="451">
        <v>1327.06</v>
      </c>
      <c r="CU267" s="451">
        <v>0</v>
      </c>
      <c r="CV267" s="451">
        <v>0</v>
      </c>
      <c r="CW267" s="451">
        <v>1327.06</v>
      </c>
      <c r="CX267" s="451">
        <v>9528.08</v>
      </c>
      <c r="CY267" s="451">
        <v>0</v>
      </c>
      <c r="CZ267" s="451">
        <v>0</v>
      </c>
      <c r="DA267" s="451">
        <v>9528.08</v>
      </c>
      <c r="DB267" s="451">
        <v>0</v>
      </c>
      <c r="DC267" s="451">
        <v>0</v>
      </c>
      <c r="DD267" s="451">
        <v>0</v>
      </c>
      <c r="DE267" s="451">
        <v>0</v>
      </c>
      <c r="DF267" s="451">
        <v>0</v>
      </c>
      <c r="DG267" s="451">
        <v>0</v>
      </c>
      <c r="DH267" s="451">
        <v>0</v>
      </c>
      <c r="DI267" s="451">
        <v>0</v>
      </c>
      <c r="DJ267" s="451">
        <v>0</v>
      </c>
      <c r="DK267" s="451">
        <v>0</v>
      </c>
      <c r="DL267" s="451">
        <v>0</v>
      </c>
      <c r="DM267" s="451">
        <v>0</v>
      </c>
      <c r="DN267" s="451">
        <v>51536.09</v>
      </c>
      <c r="DO267" s="451">
        <v>0</v>
      </c>
      <c r="DP267" s="451">
        <v>59491.82</v>
      </c>
      <c r="DQ267" s="451">
        <v>111027.91</v>
      </c>
      <c r="DR267" s="451">
        <v>0</v>
      </c>
      <c r="DS267" s="451">
        <v>0</v>
      </c>
      <c r="DT267" s="451">
        <v>10431</v>
      </c>
      <c r="DU267" s="451">
        <v>10431</v>
      </c>
      <c r="DV267" s="451">
        <v>0</v>
      </c>
      <c r="DW267" s="451">
        <v>69923</v>
      </c>
      <c r="DX267" s="451">
        <v>0</v>
      </c>
      <c r="DY267" s="451">
        <v>0</v>
      </c>
      <c r="DZ267" s="451">
        <v>0</v>
      </c>
      <c r="EA267" s="451">
        <v>0</v>
      </c>
      <c r="EB267" s="451">
        <v>0</v>
      </c>
      <c r="EC267" s="451">
        <v>0</v>
      </c>
      <c r="ED267" s="451">
        <v>0</v>
      </c>
      <c r="EE267" s="451">
        <v>0</v>
      </c>
      <c r="EF267" s="451">
        <v>0</v>
      </c>
      <c r="EG267" s="451">
        <v>0</v>
      </c>
      <c r="EH267" s="451">
        <v>0</v>
      </c>
      <c r="EI267" s="451">
        <v>0</v>
      </c>
      <c r="EJ267" s="451">
        <v>333.41</v>
      </c>
      <c r="EK267" s="451">
        <v>0</v>
      </c>
      <c r="EL267" s="451">
        <v>0</v>
      </c>
      <c r="EM267" s="451">
        <v>333.41</v>
      </c>
    </row>
    <row r="268" spans="1:144" ht="12.75" x14ac:dyDescent="0.2">
      <c r="A268" s="446">
        <v>262</v>
      </c>
      <c r="B268" s="447" t="s">
        <v>407</v>
      </c>
      <c r="C268" s="448" t="s">
        <v>794</v>
      </c>
      <c r="D268" s="449" t="s">
        <v>1103</v>
      </c>
      <c r="E268" s="450" t="s">
        <v>748</v>
      </c>
      <c r="F268" s="451">
        <v>280349</v>
      </c>
      <c r="G268" s="451">
        <v>0</v>
      </c>
      <c r="H268" s="451">
        <v>0</v>
      </c>
      <c r="I268" s="451">
        <v>280349</v>
      </c>
      <c r="J268" s="451">
        <v>-176100</v>
      </c>
      <c r="K268" s="451">
        <v>0</v>
      </c>
      <c r="L268" s="451">
        <v>0</v>
      </c>
      <c r="M268" s="451">
        <v>-176100</v>
      </c>
      <c r="N268" s="451">
        <v>123123</v>
      </c>
      <c r="O268" s="451">
        <v>0</v>
      </c>
      <c r="P268" s="451">
        <v>0</v>
      </c>
      <c r="Q268" s="451">
        <v>123123</v>
      </c>
      <c r="R268" s="451">
        <v>526920</v>
      </c>
      <c r="S268" s="451">
        <v>0</v>
      </c>
      <c r="T268" s="451">
        <v>0</v>
      </c>
      <c r="U268" s="451">
        <v>526920</v>
      </c>
      <c r="V268" s="451">
        <v>5638034</v>
      </c>
      <c r="W268" s="451">
        <v>0</v>
      </c>
      <c r="X268" s="451">
        <v>0</v>
      </c>
      <c r="Y268" s="451">
        <v>5638034</v>
      </c>
      <c r="Z268" s="451">
        <v>143198</v>
      </c>
      <c r="AA268" s="451">
        <v>0</v>
      </c>
      <c r="AB268" s="451">
        <v>0</v>
      </c>
      <c r="AC268" s="451">
        <v>143198</v>
      </c>
      <c r="AD268" s="451">
        <v>1649167</v>
      </c>
      <c r="AE268" s="451">
        <v>0</v>
      </c>
      <c r="AF268" s="451">
        <v>0</v>
      </c>
      <c r="AG268" s="451">
        <v>1649167</v>
      </c>
      <c r="AH268" s="451">
        <v>23625</v>
      </c>
      <c r="AI268" s="451">
        <v>0</v>
      </c>
      <c r="AJ268" s="451">
        <v>0</v>
      </c>
      <c r="AK268" s="451">
        <v>23625</v>
      </c>
      <c r="AL268" s="451">
        <v>4496148</v>
      </c>
      <c r="AM268" s="451">
        <v>0</v>
      </c>
      <c r="AN268" s="451">
        <v>0</v>
      </c>
      <c r="AO268" s="451">
        <v>4496148</v>
      </c>
      <c r="AP268" s="451">
        <v>50080</v>
      </c>
      <c r="AQ268" s="451">
        <v>0</v>
      </c>
      <c r="AR268" s="451">
        <v>0</v>
      </c>
      <c r="AS268" s="451">
        <v>50080</v>
      </c>
      <c r="AT268" s="451">
        <v>52017</v>
      </c>
      <c r="AU268" s="451">
        <v>0</v>
      </c>
      <c r="AV268" s="451">
        <v>0</v>
      </c>
      <c r="AW268" s="451">
        <v>52017</v>
      </c>
      <c r="AX268" s="451">
        <v>-1539</v>
      </c>
      <c r="AY268" s="451">
        <v>0</v>
      </c>
      <c r="AZ268" s="451">
        <v>0</v>
      </c>
      <c r="BA268" s="451">
        <v>-1539</v>
      </c>
      <c r="BB268" s="451">
        <v>0</v>
      </c>
      <c r="BC268" s="451">
        <v>0</v>
      </c>
      <c r="BD268" s="451">
        <v>0</v>
      </c>
      <c r="BE268" s="451">
        <v>0</v>
      </c>
      <c r="BF268" s="451">
        <v>0</v>
      </c>
      <c r="BG268" s="451">
        <v>0</v>
      </c>
      <c r="BH268" s="451">
        <v>0</v>
      </c>
      <c r="BI268" s="451">
        <v>0</v>
      </c>
      <c r="BJ268" s="451">
        <v>70682</v>
      </c>
      <c r="BK268" s="451">
        <v>0</v>
      </c>
      <c r="BL268" s="451">
        <v>0</v>
      </c>
      <c r="BM268" s="451">
        <v>70682</v>
      </c>
      <c r="BN268" s="451">
        <v>6534</v>
      </c>
      <c r="BO268" s="451">
        <v>0</v>
      </c>
      <c r="BP268" s="451">
        <v>0</v>
      </c>
      <c r="BQ268" s="451">
        <v>6534</v>
      </c>
      <c r="BR268" s="451">
        <v>4594448</v>
      </c>
      <c r="BS268" s="451">
        <v>0</v>
      </c>
      <c r="BT268" s="451">
        <v>0</v>
      </c>
      <c r="BU268" s="451">
        <v>4594448</v>
      </c>
      <c r="BV268" s="451">
        <v>110171</v>
      </c>
      <c r="BW268" s="451">
        <v>0</v>
      </c>
      <c r="BX268" s="451">
        <v>0</v>
      </c>
      <c r="BY268" s="451">
        <v>110171</v>
      </c>
      <c r="BZ268" s="451">
        <v>137924</v>
      </c>
      <c r="CA268" s="451">
        <v>0</v>
      </c>
      <c r="CB268" s="451">
        <v>0</v>
      </c>
      <c r="CC268" s="451">
        <v>137924</v>
      </c>
      <c r="CD268" s="451">
        <v>468</v>
      </c>
      <c r="CE268" s="451">
        <v>0</v>
      </c>
      <c r="CF268" s="451">
        <v>0</v>
      </c>
      <c r="CG268" s="451">
        <v>468</v>
      </c>
      <c r="CH268" s="451">
        <v>196527</v>
      </c>
      <c r="CI268" s="451">
        <v>0</v>
      </c>
      <c r="CJ268" s="451">
        <v>0</v>
      </c>
      <c r="CK268" s="451">
        <v>196527</v>
      </c>
      <c r="CL268" s="451">
        <v>271668</v>
      </c>
      <c r="CM268" s="451">
        <v>0</v>
      </c>
      <c r="CN268" s="451">
        <v>0</v>
      </c>
      <c r="CO268" s="451">
        <v>271668</v>
      </c>
      <c r="CP268" s="451">
        <v>4662</v>
      </c>
      <c r="CQ268" s="451">
        <v>0</v>
      </c>
      <c r="CR268" s="451">
        <v>0</v>
      </c>
      <c r="CS268" s="451">
        <v>4662</v>
      </c>
      <c r="CT268" s="451">
        <v>-96</v>
      </c>
      <c r="CU268" s="451">
        <v>0</v>
      </c>
      <c r="CV268" s="451">
        <v>0</v>
      </c>
      <c r="CW268" s="451">
        <v>-96</v>
      </c>
      <c r="CX268" s="451">
        <v>0</v>
      </c>
      <c r="CY268" s="451">
        <v>0</v>
      </c>
      <c r="CZ268" s="451">
        <v>0</v>
      </c>
      <c r="DA268" s="451">
        <v>0</v>
      </c>
      <c r="DB268" s="451">
        <v>0</v>
      </c>
      <c r="DC268" s="451">
        <v>0</v>
      </c>
      <c r="DD268" s="451">
        <v>0</v>
      </c>
      <c r="DE268" s="451">
        <v>0</v>
      </c>
      <c r="DF268" s="451">
        <v>0</v>
      </c>
      <c r="DG268" s="451">
        <v>0</v>
      </c>
      <c r="DH268" s="451">
        <v>0</v>
      </c>
      <c r="DI268" s="451">
        <v>0</v>
      </c>
      <c r="DJ268" s="451">
        <v>0</v>
      </c>
      <c r="DK268" s="451">
        <v>0</v>
      </c>
      <c r="DL268" s="451">
        <v>0</v>
      </c>
      <c r="DM268" s="451">
        <v>0</v>
      </c>
      <c r="DN268" s="451">
        <v>0</v>
      </c>
      <c r="DO268" s="451">
        <v>0</v>
      </c>
      <c r="DP268" s="451">
        <v>0</v>
      </c>
      <c r="DQ268" s="451">
        <v>0</v>
      </c>
      <c r="DR268" s="451">
        <v>0</v>
      </c>
      <c r="DS268" s="451">
        <v>0</v>
      </c>
      <c r="DT268" s="451">
        <v>0</v>
      </c>
      <c r="DU268" s="451">
        <v>0</v>
      </c>
      <c r="DV268" s="451">
        <v>0</v>
      </c>
      <c r="DW268" s="451">
        <v>0</v>
      </c>
      <c r="DX268" s="451">
        <v>0</v>
      </c>
      <c r="DY268" s="451">
        <v>0</v>
      </c>
      <c r="DZ268" s="451">
        <v>0</v>
      </c>
      <c r="EA268" s="451">
        <v>0</v>
      </c>
      <c r="EB268" s="451">
        <v>0</v>
      </c>
      <c r="EC268" s="451">
        <v>0</v>
      </c>
      <c r="ED268" s="451">
        <v>0</v>
      </c>
      <c r="EE268" s="451">
        <v>0</v>
      </c>
      <c r="EF268" s="451">
        <v>0</v>
      </c>
      <c r="EG268" s="451">
        <v>0</v>
      </c>
      <c r="EH268" s="451">
        <v>0</v>
      </c>
      <c r="EI268" s="451">
        <v>0</v>
      </c>
      <c r="EJ268" s="451">
        <v>0</v>
      </c>
      <c r="EK268" s="451">
        <v>0</v>
      </c>
      <c r="EL268" s="451">
        <v>0</v>
      </c>
      <c r="EM268" s="451">
        <v>0</v>
      </c>
    </row>
    <row r="269" spans="1:144" ht="12.75" x14ac:dyDescent="0.2">
      <c r="A269" s="446">
        <v>263</v>
      </c>
      <c r="B269" s="447" t="s">
        <v>409</v>
      </c>
      <c r="C269" s="448" t="s">
        <v>1093</v>
      </c>
      <c r="D269" s="449" t="s">
        <v>1103</v>
      </c>
      <c r="E269" s="450" t="s">
        <v>408</v>
      </c>
      <c r="F269" s="451">
        <v>137045</v>
      </c>
      <c r="G269" s="451">
        <v>0</v>
      </c>
      <c r="H269" s="451">
        <v>0</v>
      </c>
      <c r="I269" s="451">
        <v>137045</v>
      </c>
      <c r="J269" s="451">
        <v>73867</v>
      </c>
      <c r="K269" s="451">
        <v>0</v>
      </c>
      <c r="L269" s="451">
        <v>0</v>
      </c>
      <c r="M269" s="451">
        <v>73867</v>
      </c>
      <c r="N269" s="451">
        <v>27173</v>
      </c>
      <c r="O269" s="451">
        <v>0</v>
      </c>
      <c r="P269" s="451">
        <v>0</v>
      </c>
      <c r="Q269" s="451">
        <v>27173</v>
      </c>
      <c r="R269" s="451">
        <v>-84445</v>
      </c>
      <c r="S269" s="451">
        <v>0</v>
      </c>
      <c r="T269" s="451">
        <v>0</v>
      </c>
      <c r="U269" s="451">
        <v>-84445</v>
      </c>
      <c r="V269" s="451">
        <v>3140992</v>
      </c>
      <c r="W269" s="451">
        <v>0</v>
      </c>
      <c r="X269" s="451">
        <v>0</v>
      </c>
      <c r="Y269" s="451">
        <v>3140992</v>
      </c>
      <c r="Z269" s="451">
        <v>132402</v>
      </c>
      <c r="AA269" s="451">
        <v>0</v>
      </c>
      <c r="AB269" s="451">
        <v>0</v>
      </c>
      <c r="AC269" s="451">
        <v>132402</v>
      </c>
      <c r="AD269" s="451">
        <v>1004835</v>
      </c>
      <c r="AE269" s="451">
        <v>0</v>
      </c>
      <c r="AF269" s="451">
        <v>0</v>
      </c>
      <c r="AG269" s="451">
        <v>1004835</v>
      </c>
      <c r="AH269" s="451">
        <v>-20413</v>
      </c>
      <c r="AI269" s="451">
        <v>0</v>
      </c>
      <c r="AJ269" s="451">
        <v>0</v>
      </c>
      <c r="AK269" s="451">
        <v>-20413</v>
      </c>
      <c r="AL269" s="451">
        <v>3690330</v>
      </c>
      <c r="AM269" s="451">
        <v>0</v>
      </c>
      <c r="AN269" s="451">
        <v>0</v>
      </c>
      <c r="AO269" s="451">
        <v>3690330</v>
      </c>
      <c r="AP269" s="451">
        <v>-36473</v>
      </c>
      <c r="AQ269" s="451">
        <v>0</v>
      </c>
      <c r="AR269" s="451">
        <v>0</v>
      </c>
      <c r="AS269" s="451">
        <v>-36473</v>
      </c>
      <c r="AT269" s="451">
        <v>89002</v>
      </c>
      <c r="AU269" s="451">
        <v>0</v>
      </c>
      <c r="AV269" s="451">
        <v>0</v>
      </c>
      <c r="AW269" s="451">
        <v>89002</v>
      </c>
      <c r="AX269" s="451">
        <v>-10698</v>
      </c>
      <c r="AY269" s="451">
        <v>0</v>
      </c>
      <c r="AZ269" s="451">
        <v>0</v>
      </c>
      <c r="BA269" s="451">
        <v>-10698</v>
      </c>
      <c r="BB269" s="451">
        <v>38890</v>
      </c>
      <c r="BC269" s="451">
        <v>0</v>
      </c>
      <c r="BD269" s="451">
        <v>0</v>
      </c>
      <c r="BE269" s="451">
        <v>38890</v>
      </c>
      <c r="BF269" s="451">
        <v>10543</v>
      </c>
      <c r="BG269" s="451">
        <v>0</v>
      </c>
      <c r="BH269" s="451">
        <v>0</v>
      </c>
      <c r="BI269" s="451">
        <v>10543</v>
      </c>
      <c r="BJ269" s="451">
        <v>8653</v>
      </c>
      <c r="BK269" s="451">
        <v>0</v>
      </c>
      <c r="BL269" s="451">
        <v>0</v>
      </c>
      <c r="BM269" s="451">
        <v>8653</v>
      </c>
      <c r="BN269" s="451">
        <v>-1887</v>
      </c>
      <c r="BO269" s="451">
        <v>0</v>
      </c>
      <c r="BP269" s="451">
        <v>0</v>
      </c>
      <c r="BQ269" s="451">
        <v>-1887</v>
      </c>
      <c r="BR269" s="451">
        <v>2007974</v>
      </c>
      <c r="BS269" s="451">
        <v>0</v>
      </c>
      <c r="BT269" s="451">
        <v>0</v>
      </c>
      <c r="BU269" s="451">
        <v>2007974</v>
      </c>
      <c r="BV269" s="451">
        <v>50378</v>
      </c>
      <c r="BW269" s="451">
        <v>0</v>
      </c>
      <c r="BX269" s="451">
        <v>0</v>
      </c>
      <c r="BY269" s="451">
        <v>50378</v>
      </c>
      <c r="BZ269" s="451">
        <v>9164.7000000000007</v>
      </c>
      <c r="CA269" s="451">
        <v>0</v>
      </c>
      <c r="CB269" s="451">
        <v>0</v>
      </c>
      <c r="CC269" s="451">
        <v>9164.7000000000007</v>
      </c>
      <c r="CD269" s="451">
        <v>294</v>
      </c>
      <c r="CE269" s="451">
        <v>0</v>
      </c>
      <c r="CF269" s="451">
        <v>0</v>
      </c>
      <c r="CG269" s="451">
        <v>294</v>
      </c>
      <c r="CH269" s="451">
        <v>9011</v>
      </c>
      <c r="CI269" s="451">
        <v>0</v>
      </c>
      <c r="CJ269" s="451">
        <v>0</v>
      </c>
      <c r="CK269" s="451">
        <v>9011</v>
      </c>
      <c r="CL269" s="451">
        <v>-163</v>
      </c>
      <c r="CM269" s="451">
        <v>0</v>
      </c>
      <c r="CN269" s="451">
        <v>0</v>
      </c>
      <c r="CO269" s="451">
        <v>-163</v>
      </c>
      <c r="CP269" s="451">
        <v>0</v>
      </c>
      <c r="CQ269" s="451">
        <v>0</v>
      </c>
      <c r="CR269" s="451">
        <v>0</v>
      </c>
      <c r="CS269" s="451">
        <v>0</v>
      </c>
      <c r="CT269" s="451">
        <v>0</v>
      </c>
      <c r="CU269" s="451">
        <v>0</v>
      </c>
      <c r="CV269" s="451">
        <v>0</v>
      </c>
      <c r="CW269" s="451">
        <v>0</v>
      </c>
      <c r="CX269" s="451">
        <v>6028</v>
      </c>
      <c r="CY269" s="451">
        <v>0</v>
      </c>
      <c r="CZ269" s="451">
        <v>0</v>
      </c>
      <c r="DA269" s="451">
        <v>6028</v>
      </c>
      <c r="DB269" s="451">
        <v>491</v>
      </c>
      <c r="DC269" s="451">
        <v>0</v>
      </c>
      <c r="DD269" s="451">
        <v>0</v>
      </c>
      <c r="DE269" s="451">
        <v>491</v>
      </c>
      <c r="DF269" s="451">
        <v>0</v>
      </c>
      <c r="DG269" s="451">
        <v>0</v>
      </c>
      <c r="DH269" s="451">
        <v>0</v>
      </c>
      <c r="DI269" s="451">
        <v>0</v>
      </c>
      <c r="DJ269" s="451">
        <v>0</v>
      </c>
      <c r="DK269" s="451">
        <v>0</v>
      </c>
      <c r="DL269" s="451">
        <v>0</v>
      </c>
      <c r="DM269" s="451">
        <v>0</v>
      </c>
      <c r="DN269" s="451">
        <v>0</v>
      </c>
      <c r="DO269" s="451">
        <v>0</v>
      </c>
      <c r="DP269" s="451">
        <v>0</v>
      </c>
      <c r="DQ269" s="451">
        <v>0</v>
      </c>
      <c r="DR269" s="451">
        <v>0</v>
      </c>
      <c r="DS269" s="451">
        <v>0</v>
      </c>
      <c r="DT269" s="451">
        <v>0</v>
      </c>
      <c r="DU269" s="451">
        <v>0</v>
      </c>
      <c r="DV269" s="451">
        <v>0</v>
      </c>
      <c r="DW269" s="451">
        <v>0</v>
      </c>
      <c r="DX269" s="451">
        <v>0</v>
      </c>
      <c r="DY269" s="451">
        <v>0</v>
      </c>
      <c r="DZ269" s="451">
        <v>0</v>
      </c>
      <c r="EA269" s="451">
        <v>0</v>
      </c>
      <c r="EB269" s="451">
        <v>0</v>
      </c>
      <c r="EC269" s="451">
        <v>0</v>
      </c>
      <c r="ED269" s="451">
        <v>0</v>
      </c>
      <c r="EE269" s="451">
        <v>0</v>
      </c>
      <c r="EF269" s="451">
        <v>49255</v>
      </c>
      <c r="EG269" s="451">
        <v>0</v>
      </c>
      <c r="EH269" s="451">
        <v>0</v>
      </c>
      <c r="EI269" s="451">
        <v>49255</v>
      </c>
      <c r="EJ269" s="451">
        <v>-2141</v>
      </c>
      <c r="EK269" s="451">
        <v>0</v>
      </c>
      <c r="EL269" s="451">
        <v>0</v>
      </c>
      <c r="EM269" s="451">
        <v>-2141</v>
      </c>
    </row>
    <row r="270" spans="1:144" ht="12.75" x14ac:dyDescent="0.2">
      <c r="A270" s="446">
        <v>264</v>
      </c>
      <c r="B270" s="447" t="s">
        <v>411</v>
      </c>
      <c r="C270" s="448" t="s">
        <v>1093</v>
      </c>
      <c r="D270" s="449" t="s">
        <v>1102</v>
      </c>
      <c r="E270" s="450" t="s">
        <v>410</v>
      </c>
      <c r="F270" s="451">
        <v>92628.59</v>
      </c>
      <c r="G270" s="451">
        <v>0</v>
      </c>
      <c r="H270" s="451">
        <v>0</v>
      </c>
      <c r="I270" s="451">
        <v>92628.59</v>
      </c>
      <c r="J270" s="451">
        <v>-185760.71</v>
      </c>
      <c r="K270" s="451">
        <v>0</v>
      </c>
      <c r="L270" s="451">
        <v>0</v>
      </c>
      <c r="M270" s="451">
        <v>-185760.71</v>
      </c>
      <c r="N270" s="451">
        <v>13247.2</v>
      </c>
      <c r="O270" s="451">
        <v>0</v>
      </c>
      <c r="P270" s="451">
        <v>0</v>
      </c>
      <c r="Q270" s="451">
        <v>13247.2</v>
      </c>
      <c r="R270" s="451">
        <v>74810.11</v>
      </c>
      <c r="S270" s="451">
        <v>0</v>
      </c>
      <c r="T270" s="451">
        <v>0</v>
      </c>
      <c r="U270" s="451">
        <v>74810.11</v>
      </c>
      <c r="V270" s="451">
        <v>2464559.7000000002</v>
      </c>
      <c r="W270" s="451">
        <v>0</v>
      </c>
      <c r="X270" s="451">
        <v>0</v>
      </c>
      <c r="Y270" s="451">
        <v>2464559.7000000002</v>
      </c>
      <c r="Z270" s="451">
        <v>131657.51999999999</v>
      </c>
      <c r="AA270" s="451">
        <v>0</v>
      </c>
      <c r="AB270" s="451">
        <v>0</v>
      </c>
      <c r="AC270" s="451">
        <v>131657.51999999999</v>
      </c>
      <c r="AD270" s="451">
        <v>460368.94</v>
      </c>
      <c r="AE270" s="451">
        <v>0</v>
      </c>
      <c r="AF270" s="451">
        <v>0</v>
      </c>
      <c r="AG270" s="451">
        <v>460368.94</v>
      </c>
      <c r="AH270" s="451">
        <v>-19048.34</v>
      </c>
      <c r="AI270" s="451">
        <v>0</v>
      </c>
      <c r="AJ270" s="451">
        <v>0</v>
      </c>
      <c r="AK270" s="451">
        <v>-19048.34</v>
      </c>
      <c r="AL270" s="451">
        <v>1995385.14</v>
      </c>
      <c r="AM270" s="451">
        <v>0</v>
      </c>
      <c r="AN270" s="451">
        <v>0</v>
      </c>
      <c r="AO270" s="451">
        <v>1995385.14</v>
      </c>
      <c r="AP270" s="451">
        <v>42321</v>
      </c>
      <c r="AQ270" s="451">
        <v>0</v>
      </c>
      <c r="AR270" s="451">
        <v>0</v>
      </c>
      <c r="AS270" s="451">
        <v>42321</v>
      </c>
      <c r="AT270" s="451">
        <v>55084.83</v>
      </c>
      <c r="AU270" s="451">
        <v>0</v>
      </c>
      <c r="AV270" s="451">
        <v>0</v>
      </c>
      <c r="AW270" s="451">
        <v>55084.83</v>
      </c>
      <c r="AX270" s="451">
        <v>16392.22</v>
      </c>
      <c r="AY270" s="451">
        <v>0</v>
      </c>
      <c r="AZ270" s="451">
        <v>0</v>
      </c>
      <c r="BA270" s="451">
        <v>16392.22</v>
      </c>
      <c r="BB270" s="451">
        <v>42473.22</v>
      </c>
      <c r="BC270" s="451">
        <v>0</v>
      </c>
      <c r="BD270" s="451">
        <v>0</v>
      </c>
      <c r="BE270" s="451">
        <v>42473.22</v>
      </c>
      <c r="BF270" s="451">
        <v>-48.3</v>
      </c>
      <c r="BG270" s="451">
        <v>0</v>
      </c>
      <c r="BH270" s="451">
        <v>0</v>
      </c>
      <c r="BI270" s="451">
        <v>-48.3</v>
      </c>
      <c r="BJ270" s="451">
        <v>63100.99</v>
      </c>
      <c r="BK270" s="451">
        <v>0</v>
      </c>
      <c r="BL270" s="451">
        <v>0</v>
      </c>
      <c r="BM270" s="451">
        <v>63100.99</v>
      </c>
      <c r="BN270" s="451">
        <v>5644.16</v>
      </c>
      <c r="BO270" s="451">
        <v>0</v>
      </c>
      <c r="BP270" s="451">
        <v>0</v>
      </c>
      <c r="BQ270" s="451">
        <v>5644.16</v>
      </c>
      <c r="BR270" s="451">
        <v>972171.28</v>
      </c>
      <c r="BS270" s="451">
        <v>0</v>
      </c>
      <c r="BT270" s="451">
        <v>0</v>
      </c>
      <c r="BU270" s="451">
        <v>972171.28</v>
      </c>
      <c r="BV270" s="451">
        <v>-17919.84</v>
      </c>
      <c r="BW270" s="451">
        <v>0</v>
      </c>
      <c r="BX270" s="451">
        <v>0</v>
      </c>
      <c r="BY270" s="451">
        <v>-17919.84</v>
      </c>
      <c r="BZ270" s="451">
        <v>93287.25</v>
      </c>
      <c r="CA270" s="451">
        <v>0</v>
      </c>
      <c r="CB270" s="451">
        <v>0</v>
      </c>
      <c r="CC270" s="451">
        <v>93287.25</v>
      </c>
      <c r="CD270" s="451">
        <v>-2985.83</v>
      </c>
      <c r="CE270" s="451">
        <v>0</v>
      </c>
      <c r="CF270" s="451">
        <v>0</v>
      </c>
      <c r="CG270" s="451">
        <v>-2985.83</v>
      </c>
      <c r="CH270" s="451">
        <v>12662.84</v>
      </c>
      <c r="CI270" s="451">
        <v>0</v>
      </c>
      <c r="CJ270" s="451">
        <v>0</v>
      </c>
      <c r="CK270" s="451">
        <v>12662.84</v>
      </c>
      <c r="CL270" s="451">
        <v>0</v>
      </c>
      <c r="CM270" s="451">
        <v>0</v>
      </c>
      <c r="CN270" s="451">
        <v>0</v>
      </c>
      <c r="CO270" s="451">
        <v>0</v>
      </c>
      <c r="CP270" s="451">
        <v>0</v>
      </c>
      <c r="CQ270" s="451">
        <v>0</v>
      </c>
      <c r="CR270" s="451">
        <v>0</v>
      </c>
      <c r="CS270" s="451">
        <v>0</v>
      </c>
      <c r="CT270" s="451">
        <v>0</v>
      </c>
      <c r="CU270" s="451">
        <v>0</v>
      </c>
      <c r="CV270" s="451">
        <v>0</v>
      </c>
      <c r="CW270" s="451">
        <v>0</v>
      </c>
      <c r="CX270" s="451">
        <v>3085.04</v>
      </c>
      <c r="CY270" s="451">
        <v>0</v>
      </c>
      <c r="CZ270" s="451">
        <v>0</v>
      </c>
      <c r="DA270" s="451">
        <v>3085.04</v>
      </c>
      <c r="DB270" s="451">
        <v>-43.29</v>
      </c>
      <c r="DC270" s="451">
        <v>0</v>
      </c>
      <c r="DD270" s="451">
        <v>0</v>
      </c>
      <c r="DE270" s="451">
        <v>-43.29</v>
      </c>
      <c r="DF270" s="451">
        <v>0</v>
      </c>
      <c r="DG270" s="451">
        <v>0</v>
      </c>
      <c r="DH270" s="451">
        <v>0</v>
      </c>
      <c r="DI270" s="451">
        <v>0</v>
      </c>
      <c r="DJ270" s="451">
        <v>0</v>
      </c>
      <c r="DK270" s="451">
        <v>0</v>
      </c>
      <c r="DL270" s="451">
        <v>0</v>
      </c>
      <c r="DM270" s="451">
        <v>0</v>
      </c>
      <c r="DN270" s="451">
        <v>0</v>
      </c>
      <c r="DO270" s="451">
        <v>0</v>
      </c>
      <c r="DP270" s="451">
        <v>0</v>
      </c>
      <c r="DQ270" s="451">
        <v>0</v>
      </c>
      <c r="DR270" s="451">
        <v>0</v>
      </c>
      <c r="DS270" s="451">
        <v>0</v>
      </c>
      <c r="DT270" s="451">
        <v>0</v>
      </c>
      <c r="DU270" s="451">
        <v>0</v>
      </c>
      <c r="DV270" s="451">
        <v>0</v>
      </c>
      <c r="DW270" s="451">
        <v>0</v>
      </c>
      <c r="DX270" s="451">
        <v>0</v>
      </c>
      <c r="DY270" s="451">
        <v>0</v>
      </c>
      <c r="DZ270" s="451">
        <v>0</v>
      </c>
      <c r="EA270" s="451">
        <v>0</v>
      </c>
      <c r="EB270" s="451">
        <v>0</v>
      </c>
      <c r="EC270" s="451">
        <v>0</v>
      </c>
      <c r="ED270" s="451">
        <v>0</v>
      </c>
      <c r="EE270" s="451">
        <v>0</v>
      </c>
      <c r="EF270" s="451">
        <v>0</v>
      </c>
      <c r="EG270" s="451">
        <v>0</v>
      </c>
      <c r="EH270" s="451">
        <v>0</v>
      </c>
      <c r="EI270" s="451">
        <v>0</v>
      </c>
      <c r="EJ270" s="451">
        <v>0</v>
      </c>
      <c r="EK270" s="451">
        <v>0</v>
      </c>
      <c r="EL270" s="451">
        <v>0</v>
      </c>
      <c r="EM270" s="451">
        <v>0</v>
      </c>
    </row>
    <row r="271" spans="1:144" ht="12.75" x14ac:dyDescent="0.2">
      <c r="A271" s="446">
        <v>265</v>
      </c>
      <c r="B271" s="447" t="s">
        <v>413</v>
      </c>
      <c r="C271" s="448" t="s">
        <v>1093</v>
      </c>
      <c r="D271" s="449" t="s">
        <v>1097</v>
      </c>
      <c r="E271" s="450" t="s">
        <v>412</v>
      </c>
      <c r="F271" s="451">
        <v>18752196.600000001</v>
      </c>
      <c r="G271" s="451">
        <v>0</v>
      </c>
      <c r="H271" s="451">
        <v>0</v>
      </c>
      <c r="I271" s="451">
        <v>18752196.600000001</v>
      </c>
      <c r="J271" s="451">
        <v>-30977.35</v>
      </c>
      <c r="K271" s="451">
        <v>0</v>
      </c>
      <c r="L271" s="451">
        <v>0</v>
      </c>
      <c r="M271" s="451">
        <v>-30977.35</v>
      </c>
      <c r="N271" s="451">
        <v>-9835.6</v>
      </c>
      <c r="O271" s="451">
        <v>0</v>
      </c>
      <c r="P271" s="451">
        <v>0</v>
      </c>
      <c r="Q271" s="451">
        <v>-9835.6</v>
      </c>
      <c r="R271" s="451">
        <v>-9497.1</v>
      </c>
      <c r="S271" s="451">
        <v>0</v>
      </c>
      <c r="T271" s="451">
        <v>0</v>
      </c>
      <c r="U271" s="451">
        <v>-9497.1</v>
      </c>
      <c r="V271" s="451">
        <v>3363257.92</v>
      </c>
      <c r="W271" s="451">
        <v>0</v>
      </c>
      <c r="X271" s="451">
        <v>0</v>
      </c>
      <c r="Y271" s="451">
        <v>3363257.92</v>
      </c>
      <c r="Z271" s="451">
        <v>192644.56</v>
      </c>
      <c r="AA271" s="451">
        <v>0</v>
      </c>
      <c r="AB271" s="451">
        <v>0</v>
      </c>
      <c r="AC271" s="451">
        <v>192644.56</v>
      </c>
      <c r="AD271" s="451">
        <v>1263931.49</v>
      </c>
      <c r="AE271" s="451">
        <v>0</v>
      </c>
      <c r="AF271" s="451">
        <v>0</v>
      </c>
      <c r="AG271" s="451">
        <v>1263931.49</v>
      </c>
      <c r="AH271" s="451">
        <v>-4108.6899999999996</v>
      </c>
      <c r="AI271" s="451">
        <v>0</v>
      </c>
      <c r="AJ271" s="451">
        <v>0</v>
      </c>
      <c r="AK271" s="451">
        <v>-4108.6899999999996</v>
      </c>
      <c r="AL271" s="451">
        <v>2220562.13</v>
      </c>
      <c r="AM271" s="451">
        <v>0</v>
      </c>
      <c r="AN271" s="451">
        <v>0</v>
      </c>
      <c r="AO271" s="451">
        <v>2220562.13</v>
      </c>
      <c r="AP271" s="451">
        <v>8675.92</v>
      </c>
      <c r="AQ271" s="451">
        <v>0</v>
      </c>
      <c r="AR271" s="451">
        <v>0</v>
      </c>
      <c r="AS271" s="451">
        <v>8675.92</v>
      </c>
      <c r="AT271" s="451">
        <v>37874.99</v>
      </c>
      <c r="AU271" s="451">
        <v>0</v>
      </c>
      <c r="AV271" s="451">
        <v>0</v>
      </c>
      <c r="AW271" s="451">
        <v>37874.99</v>
      </c>
      <c r="AX271" s="451">
        <v>53.11</v>
      </c>
      <c r="AY271" s="451">
        <v>0</v>
      </c>
      <c r="AZ271" s="451">
        <v>0</v>
      </c>
      <c r="BA271" s="451">
        <v>53.11</v>
      </c>
      <c r="BB271" s="451">
        <v>69406.7</v>
      </c>
      <c r="BC271" s="451">
        <v>0</v>
      </c>
      <c r="BD271" s="451">
        <v>0</v>
      </c>
      <c r="BE271" s="451">
        <v>69406.7</v>
      </c>
      <c r="BF271" s="451">
        <v>3126</v>
      </c>
      <c r="BG271" s="451">
        <v>0</v>
      </c>
      <c r="BH271" s="451">
        <v>0</v>
      </c>
      <c r="BI271" s="451">
        <v>3126</v>
      </c>
      <c r="BJ271" s="451">
        <v>0</v>
      </c>
      <c r="BK271" s="451">
        <v>0</v>
      </c>
      <c r="BL271" s="451">
        <v>0</v>
      </c>
      <c r="BM271" s="451">
        <v>0</v>
      </c>
      <c r="BN271" s="451">
        <v>0</v>
      </c>
      <c r="BO271" s="451">
        <v>0</v>
      </c>
      <c r="BP271" s="451">
        <v>0</v>
      </c>
      <c r="BQ271" s="451">
        <v>0</v>
      </c>
      <c r="BR271" s="451">
        <v>924393.72</v>
      </c>
      <c r="BS271" s="451">
        <v>0</v>
      </c>
      <c r="BT271" s="451">
        <v>0</v>
      </c>
      <c r="BU271" s="451">
        <v>924393.72</v>
      </c>
      <c r="BV271" s="451">
        <v>126677.03</v>
      </c>
      <c r="BW271" s="451">
        <v>0</v>
      </c>
      <c r="BX271" s="451">
        <v>0</v>
      </c>
      <c r="BY271" s="451">
        <v>126677.03</v>
      </c>
      <c r="BZ271" s="451">
        <v>54163.21</v>
      </c>
      <c r="CA271" s="451">
        <v>0</v>
      </c>
      <c r="CB271" s="451">
        <v>0</v>
      </c>
      <c r="CC271" s="451">
        <v>54163.21</v>
      </c>
      <c r="CD271" s="451">
        <v>2207.85</v>
      </c>
      <c r="CE271" s="451">
        <v>0</v>
      </c>
      <c r="CF271" s="451">
        <v>0</v>
      </c>
      <c r="CG271" s="451">
        <v>2207.85</v>
      </c>
      <c r="CH271" s="451">
        <v>294480.75</v>
      </c>
      <c r="CI271" s="451">
        <v>0</v>
      </c>
      <c r="CJ271" s="451">
        <v>0</v>
      </c>
      <c r="CK271" s="451">
        <v>294480.75</v>
      </c>
      <c r="CL271" s="451">
        <v>4.55</v>
      </c>
      <c r="CM271" s="451">
        <v>0</v>
      </c>
      <c r="CN271" s="451">
        <v>0</v>
      </c>
      <c r="CO271" s="451">
        <v>4.55</v>
      </c>
      <c r="CP271" s="451">
        <v>421.81</v>
      </c>
      <c r="CQ271" s="451">
        <v>0</v>
      </c>
      <c r="CR271" s="451">
        <v>0</v>
      </c>
      <c r="CS271" s="451">
        <v>421.81</v>
      </c>
      <c r="CT271" s="451">
        <v>0</v>
      </c>
      <c r="CU271" s="451">
        <v>0</v>
      </c>
      <c r="CV271" s="451">
        <v>0</v>
      </c>
      <c r="CW271" s="451">
        <v>0</v>
      </c>
      <c r="CX271" s="451">
        <v>16410.810000000001</v>
      </c>
      <c r="CY271" s="451">
        <v>0</v>
      </c>
      <c r="CZ271" s="451">
        <v>0</v>
      </c>
      <c r="DA271" s="451">
        <v>16410.810000000001</v>
      </c>
      <c r="DB271" s="451">
        <v>1101.6400000000001</v>
      </c>
      <c r="DC271" s="451">
        <v>0</v>
      </c>
      <c r="DD271" s="451">
        <v>0</v>
      </c>
      <c r="DE271" s="451">
        <v>1101.6400000000001</v>
      </c>
      <c r="DF271" s="451">
        <v>11053.73</v>
      </c>
      <c r="DG271" s="451">
        <v>0</v>
      </c>
      <c r="DH271" s="451">
        <v>0</v>
      </c>
      <c r="DI271" s="451">
        <v>11053.73</v>
      </c>
      <c r="DJ271" s="451">
        <v>-947.88</v>
      </c>
      <c r="DK271" s="451">
        <v>0</v>
      </c>
      <c r="DL271" s="451">
        <v>0</v>
      </c>
      <c r="DM271" s="451">
        <v>-947.88</v>
      </c>
      <c r="DN271" s="451">
        <v>0</v>
      </c>
      <c r="DO271" s="451">
        <v>0</v>
      </c>
      <c r="DP271" s="451">
        <v>0</v>
      </c>
      <c r="DQ271" s="451">
        <v>0</v>
      </c>
      <c r="DR271" s="451">
        <v>0</v>
      </c>
      <c r="DS271" s="451">
        <v>0</v>
      </c>
      <c r="DT271" s="451">
        <v>0</v>
      </c>
      <c r="DU271" s="451">
        <v>0</v>
      </c>
      <c r="DV271" s="451">
        <v>0</v>
      </c>
      <c r="DW271" s="451">
        <v>0</v>
      </c>
      <c r="DX271" s="451">
        <v>0</v>
      </c>
      <c r="DY271" s="451">
        <v>0</v>
      </c>
      <c r="DZ271" s="451">
        <v>0</v>
      </c>
      <c r="EA271" s="451">
        <v>0</v>
      </c>
      <c r="EB271" s="451">
        <v>2109</v>
      </c>
      <c r="EC271" s="451">
        <v>0</v>
      </c>
      <c r="ED271" s="451">
        <v>0</v>
      </c>
      <c r="EE271" s="451">
        <v>2109</v>
      </c>
      <c r="EF271" s="451">
        <v>0</v>
      </c>
      <c r="EG271" s="451">
        <v>0</v>
      </c>
      <c r="EH271" s="451">
        <v>0</v>
      </c>
      <c r="EI271" s="451">
        <v>0</v>
      </c>
      <c r="EJ271" s="451">
        <v>0</v>
      </c>
      <c r="EK271" s="451">
        <v>0</v>
      </c>
      <c r="EL271" s="451">
        <v>0</v>
      </c>
      <c r="EM271" s="451">
        <v>0</v>
      </c>
      <c r="EN271" s="324" t="s">
        <v>1120</v>
      </c>
    </row>
    <row r="272" spans="1:144" ht="12.75" x14ac:dyDescent="0.2">
      <c r="A272" s="446">
        <v>266</v>
      </c>
      <c r="B272" s="447" t="s">
        <v>415</v>
      </c>
      <c r="C272" s="448" t="s">
        <v>1100</v>
      </c>
      <c r="D272" s="449" t="s">
        <v>1105</v>
      </c>
      <c r="E272" s="450" t="s">
        <v>414</v>
      </c>
      <c r="F272" s="451">
        <v>226667</v>
      </c>
      <c r="G272" s="451">
        <v>0</v>
      </c>
      <c r="H272" s="451">
        <v>0</v>
      </c>
      <c r="I272" s="451">
        <v>226667</v>
      </c>
      <c r="J272" s="451">
        <v>-93073</v>
      </c>
      <c r="K272" s="451">
        <v>0</v>
      </c>
      <c r="L272" s="451">
        <v>0</v>
      </c>
      <c r="M272" s="451">
        <v>-93073</v>
      </c>
      <c r="N272" s="451">
        <v>35132</v>
      </c>
      <c r="O272" s="451">
        <v>0</v>
      </c>
      <c r="P272" s="451">
        <v>0</v>
      </c>
      <c r="Q272" s="451">
        <v>35132</v>
      </c>
      <c r="R272" s="451">
        <v>143455</v>
      </c>
      <c r="S272" s="451">
        <v>0</v>
      </c>
      <c r="T272" s="451">
        <v>0</v>
      </c>
      <c r="U272" s="451">
        <v>143455</v>
      </c>
      <c r="V272" s="451">
        <v>4167412</v>
      </c>
      <c r="W272" s="451">
        <v>0</v>
      </c>
      <c r="X272" s="451">
        <v>0</v>
      </c>
      <c r="Y272" s="451">
        <v>4167412</v>
      </c>
      <c r="Z272" s="451">
        <v>57703</v>
      </c>
      <c r="AA272" s="451">
        <v>0</v>
      </c>
      <c r="AB272" s="451">
        <v>0</v>
      </c>
      <c r="AC272" s="451">
        <v>57703</v>
      </c>
      <c r="AD272" s="451">
        <v>1766982</v>
      </c>
      <c r="AE272" s="451">
        <v>0</v>
      </c>
      <c r="AF272" s="451">
        <v>630</v>
      </c>
      <c r="AG272" s="451">
        <v>1767612</v>
      </c>
      <c r="AH272" s="451">
        <v>-15535</v>
      </c>
      <c r="AI272" s="451">
        <v>0</v>
      </c>
      <c r="AJ272" s="451">
        <v>-156</v>
      </c>
      <c r="AK272" s="451">
        <v>-15691</v>
      </c>
      <c r="AL272" s="451">
        <v>4937818</v>
      </c>
      <c r="AM272" s="451">
        <v>0</v>
      </c>
      <c r="AN272" s="451">
        <v>0</v>
      </c>
      <c r="AO272" s="451">
        <v>4937818</v>
      </c>
      <c r="AP272" s="451">
        <v>-20894</v>
      </c>
      <c r="AQ272" s="451">
        <v>0</v>
      </c>
      <c r="AR272" s="451">
        <v>0</v>
      </c>
      <c r="AS272" s="451">
        <v>-20894</v>
      </c>
      <c r="AT272" s="451">
        <v>32579</v>
      </c>
      <c r="AU272" s="451">
        <v>0</v>
      </c>
      <c r="AV272" s="451">
        <v>0</v>
      </c>
      <c r="AW272" s="451">
        <v>32579</v>
      </c>
      <c r="AX272" s="451">
        <v>0</v>
      </c>
      <c r="AY272" s="451">
        <v>0</v>
      </c>
      <c r="AZ272" s="451">
        <v>0</v>
      </c>
      <c r="BA272" s="451">
        <v>0</v>
      </c>
      <c r="BB272" s="451">
        <v>1637</v>
      </c>
      <c r="BC272" s="451">
        <v>0</v>
      </c>
      <c r="BD272" s="451">
        <v>0</v>
      </c>
      <c r="BE272" s="451">
        <v>1637</v>
      </c>
      <c r="BF272" s="451">
        <v>0</v>
      </c>
      <c r="BG272" s="451">
        <v>0</v>
      </c>
      <c r="BH272" s="451">
        <v>0</v>
      </c>
      <c r="BI272" s="451">
        <v>0</v>
      </c>
      <c r="BJ272" s="451">
        <v>75317</v>
      </c>
      <c r="BK272" s="451">
        <v>0</v>
      </c>
      <c r="BL272" s="451">
        <v>0</v>
      </c>
      <c r="BM272" s="451">
        <v>75317</v>
      </c>
      <c r="BN272" s="451">
        <v>13680</v>
      </c>
      <c r="BO272" s="451">
        <v>0</v>
      </c>
      <c r="BP272" s="451">
        <v>0</v>
      </c>
      <c r="BQ272" s="451">
        <v>13680</v>
      </c>
      <c r="BR272" s="451">
        <v>2866172</v>
      </c>
      <c r="BS272" s="451">
        <v>0</v>
      </c>
      <c r="BT272" s="451">
        <v>0</v>
      </c>
      <c r="BU272" s="451">
        <v>2866172</v>
      </c>
      <c r="BV272" s="451">
        <v>327647</v>
      </c>
      <c r="BW272" s="451">
        <v>0</v>
      </c>
      <c r="BX272" s="451">
        <v>-2162</v>
      </c>
      <c r="BY272" s="451">
        <v>325485</v>
      </c>
      <c r="BZ272" s="451">
        <v>59057</v>
      </c>
      <c r="CA272" s="451">
        <v>0</v>
      </c>
      <c r="CB272" s="451">
        <v>0</v>
      </c>
      <c r="CC272" s="451">
        <v>59057</v>
      </c>
      <c r="CD272" s="451">
        <v>-7352</v>
      </c>
      <c r="CE272" s="451">
        <v>0</v>
      </c>
      <c r="CF272" s="451">
        <v>0</v>
      </c>
      <c r="CG272" s="451">
        <v>-7352</v>
      </c>
      <c r="CH272" s="451">
        <v>118628</v>
      </c>
      <c r="CI272" s="451">
        <v>0</v>
      </c>
      <c r="CJ272" s="451">
        <v>0</v>
      </c>
      <c r="CK272" s="451">
        <v>118628</v>
      </c>
      <c r="CL272" s="451">
        <v>-8229</v>
      </c>
      <c r="CM272" s="451">
        <v>0</v>
      </c>
      <c r="CN272" s="451">
        <v>0</v>
      </c>
      <c r="CO272" s="451">
        <v>-8229</v>
      </c>
      <c r="CP272" s="451">
        <v>565</v>
      </c>
      <c r="CQ272" s="451">
        <v>0</v>
      </c>
      <c r="CR272" s="451">
        <v>0</v>
      </c>
      <c r="CS272" s="451">
        <v>565</v>
      </c>
      <c r="CT272" s="451">
        <v>0</v>
      </c>
      <c r="CU272" s="451">
        <v>0</v>
      </c>
      <c r="CV272" s="451">
        <v>0</v>
      </c>
      <c r="CW272" s="451">
        <v>0</v>
      </c>
      <c r="CX272" s="451">
        <v>0</v>
      </c>
      <c r="CY272" s="451">
        <v>0</v>
      </c>
      <c r="CZ272" s="451">
        <v>0</v>
      </c>
      <c r="DA272" s="451">
        <v>0</v>
      </c>
      <c r="DB272" s="451">
        <v>0</v>
      </c>
      <c r="DC272" s="451">
        <v>0</v>
      </c>
      <c r="DD272" s="451">
        <v>0</v>
      </c>
      <c r="DE272" s="451">
        <v>0</v>
      </c>
      <c r="DF272" s="451">
        <v>0</v>
      </c>
      <c r="DG272" s="451">
        <v>0</v>
      </c>
      <c r="DH272" s="451">
        <v>0</v>
      </c>
      <c r="DI272" s="451">
        <v>0</v>
      </c>
      <c r="DJ272" s="451">
        <v>0</v>
      </c>
      <c r="DK272" s="451">
        <v>0</v>
      </c>
      <c r="DL272" s="451">
        <v>0</v>
      </c>
      <c r="DM272" s="451">
        <v>0</v>
      </c>
      <c r="DN272" s="451">
        <v>0</v>
      </c>
      <c r="DO272" s="451">
        <v>0</v>
      </c>
      <c r="DP272" s="451">
        <v>32970</v>
      </c>
      <c r="DQ272" s="451">
        <v>32970</v>
      </c>
      <c r="DR272" s="451">
        <v>15166</v>
      </c>
      <c r="DS272" s="451">
        <v>0</v>
      </c>
      <c r="DT272" s="451">
        <v>-4580</v>
      </c>
      <c r="DU272" s="451">
        <v>10586</v>
      </c>
      <c r="DV272" s="451">
        <v>28390</v>
      </c>
      <c r="DW272" s="451">
        <v>0</v>
      </c>
      <c r="DX272" s="451">
        <v>0</v>
      </c>
      <c r="DY272" s="451">
        <v>0</v>
      </c>
      <c r="DZ272" s="451">
        <v>0</v>
      </c>
      <c r="EA272" s="451">
        <v>0</v>
      </c>
      <c r="EB272" s="451">
        <v>0</v>
      </c>
      <c r="EC272" s="451">
        <v>0</v>
      </c>
      <c r="ED272" s="451">
        <v>0</v>
      </c>
      <c r="EE272" s="451">
        <v>0</v>
      </c>
      <c r="EF272" s="451">
        <v>0</v>
      </c>
      <c r="EG272" s="451">
        <v>0</v>
      </c>
      <c r="EH272" s="451">
        <v>0</v>
      </c>
      <c r="EI272" s="451">
        <v>0</v>
      </c>
      <c r="EJ272" s="451">
        <v>0</v>
      </c>
      <c r="EK272" s="451">
        <v>0</v>
      </c>
      <c r="EL272" s="451">
        <v>0</v>
      </c>
      <c r="EM272" s="451">
        <v>0</v>
      </c>
    </row>
    <row r="273" spans="1:143" ht="12.75" x14ac:dyDescent="0.2">
      <c r="A273" s="446">
        <v>267</v>
      </c>
      <c r="B273" s="447" t="s">
        <v>417</v>
      </c>
      <c r="C273" s="448" t="s">
        <v>1093</v>
      </c>
      <c r="D273" s="449" t="s">
        <v>1094</v>
      </c>
      <c r="E273" s="450" t="s">
        <v>416</v>
      </c>
      <c r="F273" s="451">
        <v>33139.4</v>
      </c>
      <c r="G273" s="451">
        <v>0</v>
      </c>
      <c r="H273" s="451">
        <v>0</v>
      </c>
      <c r="I273" s="451">
        <v>33139.4</v>
      </c>
      <c r="J273" s="451">
        <v>-110807.8</v>
      </c>
      <c r="K273" s="451">
        <v>0</v>
      </c>
      <c r="L273" s="451">
        <v>0</v>
      </c>
      <c r="M273" s="451">
        <v>-110807.8</v>
      </c>
      <c r="N273" s="451">
        <v>1039007</v>
      </c>
      <c r="O273" s="451">
        <v>0</v>
      </c>
      <c r="P273" s="451">
        <v>0</v>
      </c>
      <c r="Q273" s="451">
        <v>1039007</v>
      </c>
      <c r="R273" s="451">
        <v>68388</v>
      </c>
      <c r="S273" s="451">
        <v>0</v>
      </c>
      <c r="T273" s="451">
        <v>0</v>
      </c>
      <c r="U273" s="451">
        <v>68388</v>
      </c>
      <c r="V273" s="451">
        <v>1167009</v>
      </c>
      <c r="W273" s="451">
        <v>0</v>
      </c>
      <c r="X273" s="451">
        <v>0</v>
      </c>
      <c r="Y273" s="451">
        <v>1167009</v>
      </c>
      <c r="Z273" s="451">
        <v>57709</v>
      </c>
      <c r="AA273" s="451">
        <v>0</v>
      </c>
      <c r="AB273" s="451">
        <v>0</v>
      </c>
      <c r="AC273" s="451">
        <v>57709</v>
      </c>
      <c r="AD273" s="451">
        <v>673382</v>
      </c>
      <c r="AE273" s="451">
        <v>0</v>
      </c>
      <c r="AF273" s="451">
        <v>0</v>
      </c>
      <c r="AG273" s="451">
        <v>673382</v>
      </c>
      <c r="AH273" s="451">
        <v>3373.84</v>
      </c>
      <c r="AI273" s="451">
        <v>0</v>
      </c>
      <c r="AJ273" s="451">
        <v>0</v>
      </c>
      <c r="AK273" s="451">
        <v>3373.84</v>
      </c>
      <c r="AL273" s="451">
        <v>1315932</v>
      </c>
      <c r="AM273" s="451">
        <v>0</v>
      </c>
      <c r="AN273" s="451">
        <v>0</v>
      </c>
      <c r="AO273" s="451">
        <v>1315932</v>
      </c>
      <c r="AP273" s="451">
        <v>2406.5</v>
      </c>
      <c r="AQ273" s="451">
        <v>0</v>
      </c>
      <c r="AR273" s="451">
        <v>0</v>
      </c>
      <c r="AS273" s="451">
        <v>2406.5</v>
      </c>
      <c r="AT273" s="451">
        <v>5511</v>
      </c>
      <c r="AU273" s="451">
        <v>0</v>
      </c>
      <c r="AV273" s="451">
        <v>0</v>
      </c>
      <c r="AW273" s="451">
        <v>5511</v>
      </c>
      <c r="AX273" s="451">
        <v>0</v>
      </c>
      <c r="AY273" s="451">
        <v>0</v>
      </c>
      <c r="AZ273" s="451">
        <v>0</v>
      </c>
      <c r="BA273" s="451">
        <v>0</v>
      </c>
      <c r="BB273" s="451">
        <v>0</v>
      </c>
      <c r="BC273" s="451">
        <v>0</v>
      </c>
      <c r="BD273" s="451">
        <v>0</v>
      </c>
      <c r="BE273" s="451">
        <v>0</v>
      </c>
      <c r="BF273" s="451">
        <v>0</v>
      </c>
      <c r="BG273" s="451">
        <v>0</v>
      </c>
      <c r="BH273" s="451">
        <v>0</v>
      </c>
      <c r="BI273" s="451">
        <v>0</v>
      </c>
      <c r="BJ273" s="451">
        <v>18671</v>
      </c>
      <c r="BK273" s="451">
        <v>0</v>
      </c>
      <c r="BL273" s="451">
        <v>0</v>
      </c>
      <c r="BM273" s="451">
        <v>18671</v>
      </c>
      <c r="BN273" s="451">
        <v>-307169</v>
      </c>
      <c r="BO273" s="451">
        <v>0</v>
      </c>
      <c r="BP273" s="451">
        <v>0</v>
      </c>
      <c r="BQ273" s="451">
        <v>-307169</v>
      </c>
      <c r="BR273" s="451">
        <v>1364679</v>
      </c>
      <c r="BS273" s="451">
        <v>0</v>
      </c>
      <c r="BT273" s="451">
        <v>0</v>
      </c>
      <c r="BU273" s="451">
        <v>1364679</v>
      </c>
      <c r="BV273" s="451">
        <v>65888</v>
      </c>
      <c r="BW273" s="451">
        <v>0</v>
      </c>
      <c r="BX273" s="451">
        <v>0</v>
      </c>
      <c r="BY273" s="451">
        <v>65888</v>
      </c>
      <c r="BZ273" s="451">
        <v>73066</v>
      </c>
      <c r="CA273" s="451">
        <v>0</v>
      </c>
      <c r="CB273" s="451">
        <v>0</v>
      </c>
      <c r="CC273" s="451">
        <v>73066</v>
      </c>
      <c r="CD273" s="451">
        <v>272</v>
      </c>
      <c r="CE273" s="451">
        <v>0</v>
      </c>
      <c r="CF273" s="451">
        <v>0</v>
      </c>
      <c r="CG273" s="451">
        <v>272</v>
      </c>
      <c r="CH273" s="451">
        <v>204278</v>
      </c>
      <c r="CI273" s="451">
        <v>0</v>
      </c>
      <c r="CJ273" s="451">
        <v>0</v>
      </c>
      <c r="CK273" s="451">
        <v>204278</v>
      </c>
      <c r="CL273" s="451">
        <v>0</v>
      </c>
      <c r="CM273" s="451">
        <v>0</v>
      </c>
      <c r="CN273" s="451">
        <v>0</v>
      </c>
      <c r="CO273" s="451">
        <v>0</v>
      </c>
      <c r="CP273" s="451">
        <v>1378</v>
      </c>
      <c r="CQ273" s="451">
        <v>0</v>
      </c>
      <c r="CR273" s="451">
        <v>0</v>
      </c>
      <c r="CS273" s="451">
        <v>1378</v>
      </c>
      <c r="CT273" s="451">
        <v>0</v>
      </c>
      <c r="CU273" s="451">
        <v>0</v>
      </c>
      <c r="CV273" s="451">
        <v>0</v>
      </c>
      <c r="CW273" s="451">
        <v>0</v>
      </c>
      <c r="CX273" s="451">
        <v>0</v>
      </c>
      <c r="CY273" s="451">
        <v>0</v>
      </c>
      <c r="CZ273" s="451">
        <v>0</v>
      </c>
      <c r="DA273" s="451">
        <v>0</v>
      </c>
      <c r="DB273" s="451">
        <v>0</v>
      </c>
      <c r="DC273" s="451">
        <v>0</v>
      </c>
      <c r="DD273" s="451">
        <v>0</v>
      </c>
      <c r="DE273" s="451">
        <v>0</v>
      </c>
      <c r="DF273" s="451">
        <v>0</v>
      </c>
      <c r="DG273" s="451">
        <v>0</v>
      </c>
      <c r="DH273" s="451">
        <v>0</v>
      </c>
      <c r="DI273" s="451">
        <v>0</v>
      </c>
      <c r="DJ273" s="451">
        <v>0</v>
      </c>
      <c r="DK273" s="451">
        <v>0</v>
      </c>
      <c r="DL273" s="451">
        <v>0</v>
      </c>
      <c r="DM273" s="451">
        <v>0</v>
      </c>
      <c r="DN273" s="451">
        <v>0</v>
      </c>
      <c r="DO273" s="451">
        <v>0</v>
      </c>
      <c r="DP273" s="451">
        <v>0</v>
      </c>
      <c r="DQ273" s="451">
        <v>0</v>
      </c>
      <c r="DR273" s="451">
        <v>0</v>
      </c>
      <c r="DS273" s="451">
        <v>0</v>
      </c>
      <c r="DT273" s="451">
        <v>0</v>
      </c>
      <c r="DU273" s="451">
        <v>0</v>
      </c>
      <c r="DV273" s="451">
        <v>0</v>
      </c>
      <c r="DW273" s="451">
        <v>0</v>
      </c>
      <c r="DX273" s="451">
        <v>0</v>
      </c>
      <c r="DY273" s="451">
        <v>0</v>
      </c>
      <c r="DZ273" s="451">
        <v>0</v>
      </c>
      <c r="EA273" s="451">
        <v>0</v>
      </c>
      <c r="EB273" s="451">
        <v>0</v>
      </c>
      <c r="EC273" s="451">
        <v>0</v>
      </c>
      <c r="ED273" s="451">
        <v>0</v>
      </c>
      <c r="EE273" s="451">
        <v>0</v>
      </c>
      <c r="EF273" s="451">
        <v>0</v>
      </c>
      <c r="EG273" s="451">
        <v>0</v>
      </c>
      <c r="EH273" s="451">
        <v>0</v>
      </c>
      <c r="EI273" s="451">
        <v>0</v>
      </c>
      <c r="EJ273" s="451">
        <v>0</v>
      </c>
      <c r="EK273" s="451">
        <v>0</v>
      </c>
      <c r="EL273" s="451">
        <v>0</v>
      </c>
      <c r="EM273" s="451">
        <v>0</v>
      </c>
    </row>
    <row r="274" spans="1:143" ht="12.75" x14ac:dyDescent="0.2">
      <c r="A274" s="446">
        <v>268</v>
      </c>
      <c r="B274" s="447" t="s">
        <v>419</v>
      </c>
      <c r="C274" s="448" t="s">
        <v>1098</v>
      </c>
      <c r="D274" s="449" t="s">
        <v>1099</v>
      </c>
      <c r="E274" s="450" t="s">
        <v>418</v>
      </c>
      <c r="F274" s="451">
        <v>96391.83</v>
      </c>
      <c r="G274" s="451">
        <v>0</v>
      </c>
      <c r="H274" s="451">
        <v>0</v>
      </c>
      <c r="I274" s="451">
        <v>96391.83</v>
      </c>
      <c r="J274" s="451">
        <v>-48969.1</v>
      </c>
      <c r="K274" s="451">
        <v>0</v>
      </c>
      <c r="L274" s="451">
        <v>0</v>
      </c>
      <c r="M274" s="451">
        <v>-48969.1</v>
      </c>
      <c r="N274" s="451">
        <v>305453.71000000002</v>
      </c>
      <c r="O274" s="451">
        <v>0</v>
      </c>
      <c r="P274" s="451">
        <v>0</v>
      </c>
      <c r="Q274" s="451">
        <v>305453.71000000002</v>
      </c>
      <c r="R274" s="451">
        <v>859952.67</v>
      </c>
      <c r="S274" s="451">
        <v>0</v>
      </c>
      <c r="T274" s="451">
        <v>0</v>
      </c>
      <c r="U274" s="451">
        <v>859952.67</v>
      </c>
      <c r="V274" s="451">
        <v>2653644.63</v>
      </c>
      <c r="W274" s="451">
        <v>0</v>
      </c>
      <c r="X274" s="451">
        <v>0</v>
      </c>
      <c r="Y274" s="451">
        <v>2653644.63</v>
      </c>
      <c r="Z274" s="451">
        <v>116841.36</v>
      </c>
      <c r="AA274" s="451">
        <v>0</v>
      </c>
      <c r="AB274" s="451">
        <v>0</v>
      </c>
      <c r="AC274" s="451">
        <v>116841.36</v>
      </c>
      <c r="AD274" s="451">
        <v>964866.38</v>
      </c>
      <c r="AE274" s="451">
        <v>0</v>
      </c>
      <c r="AF274" s="451">
        <v>0</v>
      </c>
      <c r="AG274" s="451">
        <v>964866.38</v>
      </c>
      <c r="AH274" s="451">
        <v>44612.06</v>
      </c>
      <c r="AI274" s="451">
        <v>0</v>
      </c>
      <c r="AJ274" s="451">
        <v>0</v>
      </c>
      <c r="AK274" s="451">
        <v>44612.06</v>
      </c>
      <c r="AL274" s="451">
        <v>4385991.5</v>
      </c>
      <c r="AM274" s="451">
        <v>0</v>
      </c>
      <c r="AN274" s="451">
        <v>0</v>
      </c>
      <c r="AO274" s="451">
        <v>4385991.5</v>
      </c>
      <c r="AP274" s="451">
        <v>-57614.42</v>
      </c>
      <c r="AQ274" s="451">
        <v>0</v>
      </c>
      <c r="AR274" s="451">
        <v>0</v>
      </c>
      <c r="AS274" s="451">
        <v>-57614.42</v>
      </c>
      <c r="AT274" s="451">
        <v>18180.599999999999</v>
      </c>
      <c r="AU274" s="451">
        <v>0</v>
      </c>
      <c r="AV274" s="451">
        <v>0</v>
      </c>
      <c r="AW274" s="451">
        <v>18180.599999999999</v>
      </c>
      <c r="AX274" s="451">
        <v>0</v>
      </c>
      <c r="AY274" s="451">
        <v>0</v>
      </c>
      <c r="AZ274" s="451">
        <v>0</v>
      </c>
      <c r="BA274" s="451">
        <v>0</v>
      </c>
      <c r="BB274" s="451">
        <v>0</v>
      </c>
      <c r="BC274" s="451">
        <v>0</v>
      </c>
      <c r="BD274" s="451">
        <v>0</v>
      </c>
      <c r="BE274" s="451">
        <v>0</v>
      </c>
      <c r="BF274" s="451">
        <v>0</v>
      </c>
      <c r="BG274" s="451">
        <v>0</v>
      </c>
      <c r="BH274" s="451">
        <v>0</v>
      </c>
      <c r="BI274" s="451">
        <v>0</v>
      </c>
      <c r="BJ274" s="451">
        <v>1396.08</v>
      </c>
      <c r="BK274" s="451">
        <v>0</v>
      </c>
      <c r="BL274" s="451">
        <v>0</v>
      </c>
      <c r="BM274" s="451">
        <v>1396.08</v>
      </c>
      <c r="BN274" s="451">
        <v>-6008.6</v>
      </c>
      <c r="BO274" s="451">
        <v>0</v>
      </c>
      <c r="BP274" s="451">
        <v>0</v>
      </c>
      <c r="BQ274" s="451">
        <v>-6008.6</v>
      </c>
      <c r="BR274" s="451">
        <v>2139198</v>
      </c>
      <c r="BS274" s="451">
        <v>0</v>
      </c>
      <c r="BT274" s="451">
        <v>0</v>
      </c>
      <c r="BU274" s="451">
        <v>2139198</v>
      </c>
      <c r="BV274" s="451">
        <v>153304.29</v>
      </c>
      <c r="BW274" s="451">
        <v>0</v>
      </c>
      <c r="BX274" s="451">
        <v>0</v>
      </c>
      <c r="BY274" s="451">
        <v>153304.29</v>
      </c>
      <c r="BZ274" s="451">
        <v>0</v>
      </c>
      <c r="CA274" s="451">
        <v>0</v>
      </c>
      <c r="CB274" s="451">
        <v>0</v>
      </c>
      <c r="CC274" s="451">
        <v>0</v>
      </c>
      <c r="CD274" s="451">
        <v>0</v>
      </c>
      <c r="CE274" s="451">
        <v>0</v>
      </c>
      <c r="CF274" s="451">
        <v>0</v>
      </c>
      <c r="CG274" s="451">
        <v>0</v>
      </c>
      <c r="CH274" s="451">
        <v>102324.06</v>
      </c>
      <c r="CI274" s="451">
        <v>0</v>
      </c>
      <c r="CJ274" s="451">
        <v>0</v>
      </c>
      <c r="CK274" s="451">
        <v>102324.06</v>
      </c>
      <c r="CL274" s="451">
        <v>0</v>
      </c>
      <c r="CM274" s="451">
        <v>0</v>
      </c>
      <c r="CN274" s="451">
        <v>0</v>
      </c>
      <c r="CO274" s="451">
        <v>0</v>
      </c>
      <c r="CP274" s="451">
        <v>0</v>
      </c>
      <c r="CQ274" s="451">
        <v>0</v>
      </c>
      <c r="CR274" s="451">
        <v>0</v>
      </c>
      <c r="CS274" s="451">
        <v>0</v>
      </c>
      <c r="CT274" s="451">
        <v>0</v>
      </c>
      <c r="CU274" s="451">
        <v>0</v>
      </c>
      <c r="CV274" s="451">
        <v>0</v>
      </c>
      <c r="CW274" s="451">
        <v>0</v>
      </c>
      <c r="CX274" s="451">
        <v>0</v>
      </c>
      <c r="CY274" s="451">
        <v>0</v>
      </c>
      <c r="CZ274" s="451">
        <v>0</v>
      </c>
      <c r="DA274" s="451">
        <v>0</v>
      </c>
      <c r="DB274" s="451">
        <v>0</v>
      </c>
      <c r="DC274" s="451">
        <v>0</v>
      </c>
      <c r="DD274" s="451">
        <v>0</v>
      </c>
      <c r="DE274" s="451">
        <v>0</v>
      </c>
      <c r="DF274" s="451">
        <v>0</v>
      </c>
      <c r="DG274" s="451">
        <v>0</v>
      </c>
      <c r="DH274" s="451">
        <v>0</v>
      </c>
      <c r="DI274" s="451">
        <v>0</v>
      </c>
      <c r="DJ274" s="451">
        <v>0</v>
      </c>
      <c r="DK274" s="451">
        <v>0</v>
      </c>
      <c r="DL274" s="451">
        <v>0</v>
      </c>
      <c r="DM274" s="451">
        <v>0</v>
      </c>
      <c r="DN274" s="451">
        <v>0</v>
      </c>
      <c r="DO274" s="451">
        <v>0</v>
      </c>
      <c r="DP274" s="451">
        <v>0</v>
      </c>
      <c r="DQ274" s="451">
        <v>0</v>
      </c>
      <c r="DR274" s="451">
        <v>0</v>
      </c>
      <c r="DS274" s="451">
        <v>0</v>
      </c>
      <c r="DT274" s="451">
        <v>0</v>
      </c>
      <c r="DU274" s="451">
        <v>0</v>
      </c>
      <c r="DV274" s="451">
        <v>0</v>
      </c>
      <c r="DW274" s="451">
        <v>0</v>
      </c>
      <c r="DX274" s="451">
        <v>1618.89</v>
      </c>
      <c r="DY274" s="451">
        <v>0</v>
      </c>
      <c r="DZ274" s="451">
        <v>0</v>
      </c>
      <c r="EA274" s="451">
        <v>1618.89</v>
      </c>
      <c r="EB274" s="451">
        <v>0</v>
      </c>
      <c r="EC274" s="451">
        <v>0</v>
      </c>
      <c r="ED274" s="451">
        <v>0</v>
      </c>
      <c r="EE274" s="451">
        <v>0</v>
      </c>
      <c r="EF274" s="451">
        <v>0</v>
      </c>
      <c r="EG274" s="451">
        <v>0</v>
      </c>
      <c r="EH274" s="451">
        <v>0</v>
      </c>
      <c r="EI274" s="451">
        <v>0</v>
      </c>
      <c r="EJ274" s="451">
        <v>0</v>
      </c>
      <c r="EK274" s="451">
        <v>0</v>
      </c>
      <c r="EL274" s="451">
        <v>0</v>
      </c>
      <c r="EM274" s="451">
        <v>0</v>
      </c>
    </row>
    <row r="275" spans="1:143" ht="12.75" x14ac:dyDescent="0.2">
      <c r="A275" s="446">
        <v>269</v>
      </c>
      <c r="B275" s="447" t="s">
        <v>421</v>
      </c>
      <c r="C275" s="448" t="s">
        <v>1093</v>
      </c>
      <c r="D275" s="449" t="s">
        <v>1094</v>
      </c>
      <c r="E275" s="450" t="s">
        <v>420</v>
      </c>
      <c r="F275" s="451">
        <v>82435.259999999995</v>
      </c>
      <c r="G275" s="451">
        <v>0</v>
      </c>
      <c r="H275" s="451">
        <v>0</v>
      </c>
      <c r="I275" s="451">
        <v>82435.259999999995</v>
      </c>
      <c r="J275" s="451">
        <v>-184404.37</v>
      </c>
      <c r="K275" s="451">
        <v>0</v>
      </c>
      <c r="L275" s="451">
        <v>0</v>
      </c>
      <c r="M275" s="451">
        <v>-184404.37</v>
      </c>
      <c r="N275" s="451">
        <v>8337.0499999999993</v>
      </c>
      <c r="O275" s="451">
        <v>0</v>
      </c>
      <c r="P275" s="451">
        <v>0</v>
      </c>
      <c r="Q275" s="451">
        <v>8337.0499999999993</v>
      </c>
      <c r="R275" s="451">
        <v>35127.949999999997</v>
      </c>
      <c r="S275" s="451">
        <v>0</v>
      </c>
      <c r="T275" s="451">
        <v>0</v>
      </c>
      <c r="U275" s="451">
        <v>35127.949999999997</v>
      </c>
      <c r="V275" s="451">
        <v>2949215.93</v>
      </c>
      <c r="W275" s="451">
        <v>0</v>
      </c>
      <c r="X275" s="451">
        <v>0</v>
      </c>
      <c r="Y275" s="451">
        <v>2949215.93</v>
      </c>
      <c r="Z275" s="451">
        <v>160572.45000000001</v>
      </c>
      <c r="AA275" s="451">
        <v>0</v>
      </c>
      <c r="AB275" s="451">
        <v>0</v>
      </c>
      <c r="AC275" s="451">
        <v>160572.45000000001</v>
      </c>
      <c r="AD275" s="451">
        <v>836409.9</v>
      </c>
      <c r="AE275" s="451">
        <v>0</v>
      </c>
      <c r="AF275" s="451">
        <v>0</v>
      </c>
      <c r="AG275" s="451">
        <v>836409.9</v>
      </c>
      <c r="AH275" s="451">
        <v>-24185.56</v>
      </c>
      <c r="AI275" s="451">
        <v>0</v>
      </c>
      <c r="AJ275" s="451">
        <v>0</v>
      </c>
      <c r="AK275" s="451">
        <v>-24185.56</v>
      </c>
      <c r="AL275" s="451">
        <v>2553545.5699999998</v>
      </c>
      <c r="AM275" s="451">
        <v>0</v>
      </c>
      <c r="AN275" s="451">
        <v>0</v>
      </c>
      <c r="AO275" s="451">
        <v>2553545.5699999998</v>
      </c>
      <c r="AP275" s="451">
        <v>76998.41</v>
      </c>
      <c r="AQ275" s="451">
        <v>0</v>
      </c>
      <c r="AR275" s="451">
        <v>0</v>
      </c>
      <c r="AS275" s="451">
        <v>76998.41</v>
      </c>
      <c r="AT275" s="451">
        <v>87430.68</v>
      </c>
      <c r="AU275" s="451">
        <v>0</v>
      </c>
      <c r="AV275" s="451">
        <v>0</v>
      </c>
      <c r="AW275" s="451">
        <v>87430.68</v>
      </c>
      <c r="AX275" s="451">
        <v>0</v>
      </c>
      <c r="AY275" s="451">
        <v>0</v>
      </c>
      <c r="AZ275" s="451">
        <v>0</v>
      </c>
      <c r="BA275" s="451">
        <v>0</v>
      </c>
      <c r="BB275" s="451">
        <v>37356.93</v>
      </c>
      <c r="BC275" s="451">
        <v>0</v>
      </c>
      <c r="BD275" s="451">
        <v>0</v>
      </c>
      <c r="BE275" s="451">
        <v>37356.93</v>
      </c>
      <c r="BF275" s="451">
        <v>454.55</v>
      </c>
      <c r="BG275" s="451">
        <v>0</v>
      </c>
      <c r="BH275" s="451">
        <v>0</v>
      </c>
      <c r="BI275" s="451">
        <v>454.55</v>
      </c>
      <c r="BJ275" s="451">
        <v>22696.78</v>
      </c>
      <c r="BK275" s="451">
        <v>0</v>
      </c>
      <c r="BL275" s="451">
        <v>0</v>
      </c>
      <c r="BM275" s="451">
        <v>22696.78</v>
      </c>
      <c r="BN275" s="451">
        <v>-2034.06</v>
      </c>
      <c r="BO275" s="451">
        <v>0</v>
      </c>
      <c r="BP275" s="451">
        <v>0</v>
      </c>
      <c r="BQ275" s="451">
        <v>-2034.06</v>
      </c>
      <c r="BR275" s="451">
        <v>2069054.18</v>
      </c>
      <c r="BS275" s="451">
        <v>0</v>
      </c>
      <c r="BT275" s="451">
        <v>0</v>
      </c>
      <c r="BU275" s="451">
        <v>2069054.18</v>
      </c>
      <c r="BV275" s="451">
        <v>-128384.46</v>
      </c>
      <c r="BW275" s="451">
        <v>0</v>
      </c>
      <c r="BX275" s="451">
        <v>0</v>
      </c>
      <c r="BY275" s="451">
        <v>-128384.46</v>
      </c>
      <c r="BZ275" s="451">
        <v>230676.05</v>
      </c>
      <c r="CA275" s="451">
        <v>0</v>
      </c>
      <c r="CB275" s="451">
        <v>0</v>
      </c>
      <c r="CC275" s="451">
        <v>230676.05</v>
      </c>
      <c r="CD275" s="451">
        <v>-1207.3599999999999</v>
      </c>
      <c r="CE275" s="451">
        <v>0</v>
      </c>
      <c r="CF275" s="451">
        <v>0</v>
      </c>
      <c r="CG275" s="451">
        <v>-1207.3599999999999</v>
      </c>
      <c r="CH275" s="451">
        <v>130935.15</v>
      </c>
      <c r="CI275" s="451">
        <v>0</v>
      </c>
      <c r="CJ275" s="451">
        <v>0</v>
      </c>
      <c r="CK275" s="451">
        <v>130935.15</v>
      </c>
      <c r="CL275" s="451">
        <v>-3569.27</v>
      </c>
      <c r="CM275" s="451">
        <v>0</v>
      </c>
      <c r="CN275" s="451">
        <v>0</v>
      </c>
      <c r="CO275" s="451">
        <v>-3569.27</v>
      </c>
      <c r="CP275" s="451">
        <v>21857.66</v>
      </c>
      <c r="CQ275" s="451">
        <v>0</v>
      </c>
      <c r="CR275" s="451">
        <v>0</v>
      </c>
      <c r="CS275" s="451">
        <v>21857.66</v>
      </c>
      <c r="CT275" s="451">
        <v>0</v>
      </c>
      <c r="CU275" s="451">
        <v>0</v>
      </c>
      <c r="CV275" s="451">
        <v>0</v>
      </c>
      <c r="CW275" s="451">
        <v>0</v>
      </c>
      <c r="CX275" s="451">
        <v>37356.93</v>
      </c>
      <c r="CY275" s="451">
        <v>0</v>
      </c>
      <c r="CZ275" s="451">
        <v>0</v>
      </c>
      <c r="DA275" s="451">
        <v>37356.93</v>
      </c>
      <c r="DB275" s="451">
        <v>454.55</v>
      </c>
      <c r="DC275" s="451">
        <v>0</v>
      </c>
      <c r="DD275" s="451">
        <v>0</v>
      </c>
      <c r="DE275" s="451">
        <v>454.55</v>
      </c>
      <c r="DF275" s="451">
        <v>7775.14</v>
      </c>
      <c r="DG275" s="451">
        <v>0</v>
      </c>
      <c r="DH275" s="451">
        <v>0</v>
      </c>
      <c r="DI275" s="451">
        <v>7775.14</v>
      </c>
      <c r="DJ275" s="451">
        <v>0</v>
      </c>
      <c r="DK275" s="451">
        <v>0</v>
      </c>
      <c r="DL275" s="451">
        <v>0</v>
      </c>
      <c r="DM275" s="451">
        <v>0</v>
      </c>
      <c r="DN275" s="451">
        <v>0</v>
      </c>
      <c r="DO275" s="451">
        <v>0</v>
      </c>
      <c r="DP275" s="451">
        <v>0</v>
      </c>
      <c r="DQ275" s="451">
        <v>0</v>
      </c>
      <c r="DR275" s="451">
        <v>88129.78</v>
      </c>
      <c r="DS275" s="451">
        <v>0</v>
      </c>
      <c r="DT275" s="451">
        <v>0</v>
      </c>
      <c r="DU275" s="451">
        <v>88129.78</v>
      </c>
      <c r="DV275" s="451">
        <v>0</v>
      </c>
      <c r="DW275" s="451">
        <v>0</v>
      </c>
      <c r="DX275" s="451">
        <v>0</v>
      </c>
      <c r="DY275" s="451">
        <v>0</v>
      </c>
      <c r="DZ275" s="451">
        <v>0</v>
      </c>
      <c r="EA275" s="451">
        <v>0</v>
      </c>
      <c r="EB275" s="451">
        <v>0</v>
      </c>
      <c r="EC275" s="451">
        <v>0</v>
      </c>
      <c r="ED275" s="451">
        <v>0</v>
      </c>
      <c r="EE275" s="451">
        <v>0</v>
      </c>
      <c r="EF275" s="451">
        <v>0</v>
      </c>
      <c r="EG275" s="451">
        <v>0</v>
      </c>
      <c r="EH275" s="451">
        <v>0</v>
      </c>
      <c r="EI275" s="451">
        <v>0</v>
      </c>
      <c r="EJ275" s="451">
        <v>0</v>
      </c>
      <c r="EK275" s="451">
        <v>0</v>
      </c>
      <c r="EL275" s="451">
        <v>0</v>
      </c>
      <c r="EM275" s="451">
        <v>0</v>
      </c>
    </row>
    <row r="276" spans="1:143" ht="12.75" x14ac:dyDescent="0.2">
      <c r="A276" s="446">
        <v>270</v>
      </c>
      <c r="B276" s="447" t="s">
        <v>423</v>
      </c>
      <c r="C276" s="448" t="s">
        <v>794</v>
      </c>
      <c r="D276" s="449" t="s">
        <v>1102</v>
      </c>
      <c r="E276" s="450" t="s">
        <v>749</v>
      </c>
      <c r="F276" s="451">
        <v>66294.960000000006</v>
      </c>
      <c r="G276" s="451">
        <v>0</v>
      </c>
      <c r="H276" s="451">
        <v>0</v>
      </c>
      <c r="I276" s="451">
        <v>66294.960000000006</v>
      </c>
      <c r="J276" s="451">
        <v>-124342.72</v>
      </c>
      <c r="K276" s="451">
        <v>0</v>
      </c>
      <c r="L276" s="451">
        <v>0</v>
      </c>
      <c r="M276" s="451">
        <v>-124342.72</v>
      </c>
      <c r="N276" s="451">
        <v>790280.28</v>
      </c>
      <c r="O276" s="451">
        <v>0</v>
      </c>
      <c r="P276" s="451">
        <v>0</v>
      </c>
      <c r="Q276" s="451">
        <v>790280.28</v>
      </c>
      <c r="R276" s="451">
        <v>2240415.17</v>
      </c>
      <c r="S276" s="451">
        <v>0</v>
      </c>
      <c r="T276" s="451">
        <v>0</v>
      </c>
      <c r="U276" s="451">
        <v>2240415.17</v>
      </c>
      <c r="V276" s="451">
        <v>2419075.98</v>
      </c>
      <c r="W276" s="451">
        <v>0</v>
      </c>
      <c r="X276" s="451">
        <v>0</v>
      </c>
      <c r="Y276" s="451">
        <v>2419075.98</v>
      </c>
      <c r="Z276" s="451">
        <v>87662.17</v>
      </c>
      <c r="AA276" s="451">
        <v>0</v>
      </c>
      <c r="AB276" s="451">
        <v>0</v>
      </c>
      <c r="AC276" s="451">
        <v>87662.17</v>
      </c>
      <c r="AD276" s="451">
        <v>2120635.73</v>
      </c>
      <c r="AE276" s="451">
        <v>0</v>
      </c>
      <c r="AF276" s="451">
        <v>0</v>
      </c>
      <c r="AG276" s="451">
        <v>2120635.73</v>
      </c>
      <c r="AH276" s="451">
        <v>13332.38</v>
      </c>
      <c r="AI276" s="451">
        <v>0</v>
      </c>
      <c r="AJ276" s="451">
        <v>0</v>
      </c>
      <c r="AK276" s="451">
        <v>13332.38</v>
      </c>
      <c r="AL276" s="451">
        <v>5343215.88</v>
      </c>
      <c r="AM276" s="451">
        <v>0</v>
      </c>
      <c r="AN276" s="451">
        <v>0</v>
      </c>
      <c r="AO276" s="451">
        <v>5343215.88</v>
      </c>
      <c r="AP276" s="451">
        <v>-49709.01</v>
      </c>
      <c r="AQ276" s="451">
        <v>0</v>
      </c>
      <c r="AR276" s="451">
        <v>0</v>
      </c>
      <c r="AS276" s="451">
        <v>-49709.01</v>
      </c>
      <c r="AT276" s="451">
        <v>70367.399999999994</v>
      </c>
      <c r="AU276" s="451">
        <v>0</v>
      </c>
      <c r="AV276" s="451">
        <v>0</v>
      </c>
      <c r="AW276" s="451">
        <v>70367.399999999994</v>
      </c>
      <c r="AX276" s="451">
        <v>0</v>
      </c>
      <c r="AY276" s="451">
        <v>0</v>
      </c>
      <c r="AZ276" s="451">
        <v>0</v>
      </c>
      <c r="BA276" s="451">
        <v>0</v>
      </c>
      <c r="BB276" s="451">
        <v>6244.59</v>
      </c>
      <c r="BC276" s="451">
        <v>0</v>
      </c>
      <c r="BD276" s="451">
        <v>0</v>
      </c>
      <c r="BE276" s="451">
        <v>6244.59</v>
      </c>
      <c r="BF276" s="451">
        <v>0</v>
      </c>
      <c r="BG276" s="451">
        <v>0</v>
      </c>
      <c r="BH276" s="451">
        <v>0</v>
      </c>
      <c r="BI276" s="451">
        <v>0</v>
      </c>
      <c r="BJ276" s="451">
        <v>344575.97</v>
      </c>
      <c r="BK276" s="451">
        <v>0</v>
      </c>
      <c r="BL276" s="451">
        <v>0</v>
      </c>
      <c r="BM276" s="451">
        <v>344575.97</v>
      </c>
      <c r="BN276" s="451">
        <v>502431.03</v>
      </c>
      <c r="BO276" s="451">
        <v>0</v>
      </c>
      <c r="BP276" s="451">
        <v>0</v>
      </c>
      <c r="BQ276" s="451">
        <v>502431.03</v>
      </c>
      <c r="BR276" s="451">
        <v>4913395.5999999996</v>
      </c>
      <c r="BS276" s="451">
        <v>0</v>
      </c>
      <c r="BT276" s="451">
        <v>0</v>
      </c>
      <c r="BU276" s="451">
        <v>4913395.5999999996</v>
      </c>
      <c r="BV276" s="451">
        <v>-196318.95</v>
      </c>
      <c r="BW276" s="451">
        <v>0</v>
      </c>
      <c r="BX276" s="451">
        <v>0</v>
      </c>
      <c r="BY276" s="451">
        <v>-196318.95</v>
      </c>
      <c r="BZ276" s="451">
        <v>168258.12</v>
      </c>
      <c r="CA276" s="451">
        <v>0</v>
      </c>
      <c r="CB276" s="451">
        <v>0</v>
      </c>
      <c r="CC276" s="451">
        <v>168258.12</v>
      </c>
      <c r="CD276" s="451">
        <v>-902.98</v>
      </c>
      <c r="CE276" s="451">
        <v>0</v>
      </c>
      <c r="CF276" s="451">
        <v>0</v>
      </c>
      <c r="CG276" s="451">
        <v>-902.98</v>
      </c>
      <c r="CH276" s="451">
        <v>58169.62</v>
      </c>
      <c r="CI276" s="451">
        <v>0</v>
      </c>
      <c r="CJ276" s="451">
        <v>0</v>
      </c>
      <c r="CK276" s="451">
        <v>58169.62</v>
      </c>
      <c r="CL276" s="451">
        <v>0</v>
      </c>
      <c r="CM276" s="451">
        <v>0</v>
      </c>
      <c r="CN276" s="451">
        <v>0</v>
      </c>
      <c r="CO276" s="451">
        <v>0</v>
      </c>
      <c r="CP276" s="451">
        <v>17591.849999999999</v>
      </c>
      <c r="CQ276" s="451">
        <v>0</v>
      </c>
      <c r="CR276" s="451">
        <v>0</v>
      </c>
      <c r="CS276" s="451">
        <v>17591.849999999999</v>
      </c>
      <c r="CT276" s="451">
        <v>0</v>
      </c>
      <c r="CU276" s="451">
        <v>0</v>
      </c>
      <c r="CV276" s="451">
        <v>0</v>
      </c>
      <c r="CW276" s="451">
        <v>0</v>
      </c>
      <c r="CX276" s="451">
        <v>6244.56</v>
      </c>
      <c r="CY276" s="451">
        <v>0</v>
      </c>
      <c r="CZ276" s="451">
        <v>0</v>
      </c>
      <c r="DA276" s="451">
        <v>6244.56</v>
      </c>
      <c r="DB276" s="451">
        <v>0</v>
      </c>
      <c r="DC276" s="451">
        <v>0</v>
      </c>
      <c r="DD276" s="451">
        <v>0</v>
      </c>
      <c r="DE276" s="451">
        <v>0</v>
      </c>
      <c r="DF276" s="451">
        <v>0</v>
      </c>
      <c r="DG276" s="451">
        <v>0</v>
      </c>
      <c r="DH276" s="451">
        <v>0</v>
      </c>
      <c r="DI276" s="451">
        <v>0</v>
      </c>
      <c r="DJ276" s="451">
        <v>0</v>
      </c>
      <c r="DK276" s="451">
        <v>0</v>
      </c>
      <c r="DL276" s="451">
        <v>0</v>
      </c>
      <c r="DM276" s="451">
        <v>0</v>
      </c>
      <c r="DN276" s="451">
        <v>0</v>
      </c>
      <c r="DO276" s="451">
        <v>0</v>
      </c>
      <c r="DP276" s="451">
        <v>0</v>
      </c>
      <c r="DQ276" s="451">
        <v>0</v>
      </c>
      <c r="DR276" s="451">
        <v>0</v>
      </c>
      <c r="DS276" s="451">
        <v>0</v>
      </c>
      <c r="DT276" s="451">
        <v>0</v>
      </c>
      <c r="DU276" s="451">
        <v>0</v>
      </c>
      <c r="DV276" s="451">
        <v>0</v>
      </c>
      <c r="DW276" s="451">
        <v>0</v>
      </c>
      <c r="DX276" s="451">
        <v>0</v>
      </c>
      <c r="DY276" s="451">
        <v>0</v>
      </c>
      <c r="DZ276" s="451">
        <v>0</v>
      </c>
      <c r="EA276" s="451">
        <v>0</v>
      </c>
      <c r="EB276" s="451">
        <v>0</v>
      </c>
      <c r="EC276" s="451">
        <v>0</v>
      </c>
      <c r="ED276" s="451">
        <v>0</v>
      </c>
      <c r="EE276" s="451">
        <v>0</v>
      </c>
      <c r="EF276" s="451">
        <v>0</v>
      </c>
      <c r="EG276" s="451">
        <v>0</v>
      </c>
      <c r="EH276" s="451">
        <v>0</v>
      </c>
      <c r="EI276" s="451">
        <v>0</v>
      </c>
      <c r="EJ276" s="451">
        <v>0</v>
      </c>
      <c r="EK276" s="451">
        <v>0</v>
      </c>
      <c r="EL276" s="451">
        <v>0</v>
      </c>
      <c r="EM276" s="451">
        <v>0</v>
      </c>
    </row>
    <row r="277" spans="1:143" ht="12.75" x14ac:dyDescent="0.2">
      <c r="A277" s="446">
        <v>271</v>
      </c>
      <c r="B277" s="447" t="s">
        <v>425</v>
      </c>
      <c r="C277" s="448" t="s">
        <v>1100</v>
      </c>
      <c r="D277" s="449" t="s">
        <v>1095</v>
      </c>
      <c r="E277" s="450" t="s">
        <v>424</v>
      </c>
      <c r="F277" s="451">
        <v>196259.77</v>
      </c>
      <c r="G277" s="451">
        <v>0</v>
      </c>
      <c r="H277" s="451">
        <v>0</v>
      </c>
      <c r="I277" s="451">
        <v>196259.77</v>
      </c>
      <c r="J277" s="451">
        <v>-608205.66</v>
      </c>
      <c r="K277" s="451">
        <v>0</v>
      </c>
      <c r="L277" s="451">
        <v>0</v>
      </c>
      <c r="M277" s="451">
        <v>-608205.66</v>
      </c>
      <c r="N277" s="451">
        <v>24175.1</v>
      </c>
      <c r="O277" s="451">
        <v>0</v>
      </c>
      <c r="P277" s="451">
        <v>0</v>
      </c>
      <c r="Q277" s="451">
        <v>24175.1</v>
      </c>
      <c r="R277" s="451">
        <v>130247.86</v>
      </c>
      <c r="S277" s="451">
        <v>0</v>
      </c>
      <c r="T277" s="451">
        <v>0</v>
      </c>
      <c r="U277" s="451">
        <v>130247.86</v>
      </c>
      <c r="V277" s="451">
        <v>5437006.25</v>
      </c>
      <c r="W277" s="451">
        <v>0</v>
      </c>
      <c r="X277" s="451">
        <v>0</v>
      </c>
      <c r="Y277" s="451">
        <v>5437006.25</v>
      </c>
      <c r="Z277" s="451">
        <v>237753.13</v>
      </c>
      <c r="AA277" s="451">
        <v>0</v>
      </c>
      <c r="AB277" s="451">
        <v>0</v>
      </c>
      <c r="AC277" s="451">
        <v>237753.13</v>
      </c>
      <c r="AD277" s="451">
        <v>1120484.8500000001</v>
      </c>
      <c r="AE277" s="451">
        <v>0</v>
      </c>
      <c r="AF277" s="451">
        <v>0</v>
      </c>
      <c r="AG277" s="451">
        <v>1120484.8500000001</v>
      </c>
      <c r="AH277" s="451">
        <v>-33801.68</v>
      </c>
      <c r="AI277" s="451">
        <v>0</v>
      </c>
      <c r="AJ277" s="451">
        <v>0</v>
      </c>
      <c r="AK277" s="451">
        <v>-33801.68</v>
      </c>
      <c r="AL277" s="451">
        <v>2888182.25</v>
      </c>
      <c r="AM277" s="451">
        <v>0</v>
      </c>
      <c r="AN277" s="451">
        <v>0</v>
      </c>
      <c r="AO277" s="451">
        <v>2888182.25</v>
      </c>
      <c r="AP277" s="451">
        <v>-139876.65</v>
      </c>
      <c r="AQ277" s="451">
        <v>0</v>
      </c>
      <c r="AR277" s="451">
        <v>0</v>
      </c>
      <c r="AS277" s="451">
        <v>-139876.65</v>
      </c>
      <c r="AT277" s="451">
        <v>125775.38</v>
      </c>
      <c r="AU277" s="451">
        <v>0</v>
      </c>
      <c r="AV277" s="451">
        <v>0</v>
      </c>
      <c r="AW277" s="451">
        <v>125775.38</v>
      </c>
      <c r="AX277" s="451">
        <v>0</v>
      </c>
      <c r="AY277" s="451">
        <v>0</v>
      </c>
      <c r="AZ277" s="451">
        <v>0</v>
      </c>
      <c r="BA277" s="451">
        <v>0</v>
      </c>
      <c r="BB277" s="451">
        <v>0</v>
      </c>
      <c r="BC277" s="451">
        <v>0</v>
      </c>
      <c r="BD277" s="451">
        <v>0</v>
      </c>
      <c r="BE277" s="451">
        <v>0</v>
      </c>
      <c r="BF277" s="451">
        <v>0</v>
      </c>
      <c r="BG277" s="451">
        <v>0</v>
      </c>
      <c r="BH277" s="451">
        <v>0</v>
      </c>
      <c r="BI277" s="451">
        <v>0</v>
      </c>
      <c r="BJ277" s="451">
        <v>3418.47</v>
      </c>
      <c r="BK277" s="451">
        <v>0</v>
      </c>
      <c r="BL277" s="451">
        <v>0</v>
      </c>
      <c r="BM277" s="451">
        <v>3418.47</v>
      </c>
      <c r="BN277" s="451">
        <v>123.01</v>
      </c>
      <c r="BO277" s="451">
        <v>0</v>
      </c>
      <c r="BP277" s="451">
        <v>0</v>
      </c>
      <c r="BQ277" s="451">
        <v>123.01</v>
      </c>
      <c r="BR277" s="451">
        <v>2745972.9</v>
      </c>
      <c r="BS277" s="451">
        <v>0</v>
      </c>
      <c r="BT277" s="451">
        <v>0</v>
      </c>
      <c r="BU277" s="451">
        <v>2745972.9</v>
      </c>
      <c r="BV277" s="451">
        <v>-63150.01</v>
      </c>
      <c r="BW277" s="451">
        <v>0</v>
      </c>
      <c r="BX277" s="451">
        <v>0</v>
      </c>
      <c r="BY277" s="451">
        <v>-63150.01</v>
      </c>
      <c r="BZ277" s="451">
        <v>25821.35</v>
      </c>
      <c r="CA277" s="451">
        <v>0</v>
      </c>
      <c r="CB277" s="451">
        <v>0</v>
      </c>
      <c r="CC277" s="451">
        <v>25821.35</v>
      </c>
      <c r="CD277" s="451">
        <v>-2791.41</v>
      </c>
      <c r="CE277" s="451">
        <v>0</v>
      </c>
      <c r="CF277" s="451">
        <v>0</v>
      </c>
      <c r="CG277" s="451">
        <v>-2791.41</v>
      </c>
      <c r="CH277" s="451">
        <v>33277.269999999997</v>
      </c>
      <c r="CI277" s="451">
        <v>0</v>
      </c>
      <c r="CJ277" s="451">
        <v>0</v>
      </c>
      <c r="CK277" s="451">
        <v>33277.269999999997</v>
      </c>
      <c r="CL277" s="451">
        <v>-18254.62</v>
      </c>
      <c r="CM277" s="451">
        <v>0</v>
      </c>
      <c r="CN277" s="451">
        <v>0</v>
      </c>
      <c r="CO277" s="451">
        <v>-18254.62</v>
      </c>
      <c r="CP277" s="451">
        <v>2422.04</v>
      </c>
      <c r="CQ277" s="451">
        <v>0</v>
      </c>
      <c r="CR277" s="451">
        <v>0</v>
      </c>
      <c r="CS277" s="451">
        <v>2422.04</v>
      </c>
      <c r="CT277" s="451">
        <v>0</v>
      </c>
      <c r="CU277" s="451">
        <v>0</v>
      </c>
      <c r="CV277" s="451">
        <v>0</v>
      </c>
      <c r="CW277" s="451">
        <v>0</v>
      </c>
      <c r="CX277" s="451">
        <v>0</v>
      </c>
      <c r="CY277" s="451">
        <v>0</v>
      </c>
      <c r="CZ277" s="451">
        <v>0</v>
      </c>
      <c r="DA277" s="451">
        <v>0</v>
      </c>
      <c r="DB277" s="451">
        <v>0</v>
      </c>
      <c r="DC277" s="451">
        <v>0</v>
      </c>
      <c r="DD277" s="451">
        <v>0</v>
      </c>
      <c r="DE277" s="451">
        <v>0</v>
      </c>
      <c r="DF277" s="451">
        <v>0</v>
      </c>
      <c r="DG277" s="451">
        <v>0</v>
      </c>
      <c r="DH277" s="451">
        <v>0</v>
      </c>
      <c r="DI277" s="451">
        <v>0</v>
      </c>
      <c r="DJ277" s="451">
        <v>0</v>
      </c>
      <c r="DK277" s="451">
        <v>0</v>
      </c>
      <c r="DL277" s="451">
        <v>0</v>
      </c>
      <c r="DM277" s="451">
        <v>0</v>
      </c>
      <c r="DN277" s="451">
        <v>0</v>
      </c>
      <c r="DO277" s="451">
        <v>0</v>
      </c>
      <c r="DP277" s="451">
        <v>0</v>
      </c>
      <c r="DQ277" s="451">
        <v>0</v>
      </c>
      <c r="DR277" s="451">
        <v>0</v>
      </c>
      <c r="DS277" s="451">
        <v>0</v>
      </c>
      <c r="DT277" s="451">
        <v>0</v>
      </c>
      <c r="DU277" s="451">
        <v>0</v>
      </c>
      <c r="DV277" s="451">
        <v>0</v>
      </c>
      <c r="DW277" s="451">
        <v>0</v>
      </c>
      <c r="DX277" s="451">
        <v>0</v>
      </c>
      <c r="DY277" s="451">
        <v>0</v>
      </c>
      <c r="DZ277" s="451">
        <v>0</v>
      </c>
      <c r="EA277" s="451">
        <v>0</v>
      </c>
      <c r="EB277" s="451">
        <v>0</v>
      </c>
      <c r="EC277" s="451">
        <v>0</v>
      </c>
      <c r="ED277" s="451">
        <v>0</v>
      </c>
      <c r="EE277" s="451">
        <v>0</v>
      </c>
      <c r="EF277" s="451">
        <v>0</v>
      </c>
      <c r="EG277" s="451">
        <v>0</v>
      </c>
      <c r="EH277" s="451">
        <v>0</v>
      </c>
      <c r="EI277" s="451">
        <v>0</v>
      </c>
      <c r="EJ277" s="451">
        <v>0</v>
      </c>
      <c r="EK277" s="451">
        <v>0</v>
      </c>
      <c r="EL277" s="451">
        <v>0</v>
      </c>
      <c r="EM277" s="451">
        <v>0</v>
      </c>
    </row>
    <row r="278" spans="1:143" ht="12.75" x14ac:dyDescent="0.2">
      <c r="A278" s="446">
        <v>272</v>
      </c>
      <c r="B278" s="447" t="s">
        <v>427</v>
      </c>
      <c r="C278" s="448" t="s">
        <v>1093</v>
      </c>
      <c r="D278" s="449" t="s">
        <v>1103</v>
      </c>
      <c r="E278" s="450" t="s">
        <v>426</v>
      </c>
      <c r="F278" s="451">
        <v>22544</v>
      </c>
      <c r="G278" s="451">
        <v>0</v>
      </c>
      <c r="H278" s="451">
        <v>0</v>
      </c>
      <c r="I278" s="451">
        <v>22544</v>
      </c>
      <c r="J278" s="451">
        <v>-31809</v>
      </c>
      <c r="K278" s="451">
        <v>0</v>
      </c>
      <c r="L278" s="451">
        <v>0</v>
      </c>
      <c r="M278" s="451">
        <v>-31809</v>
      </c>
      <c r="N278" s="451">
        <v>218</v>
      </c>
      <c r="O278" s="451">
        <v>0</v>
      </c>
      <c r="P278" s="451">
        <v>0</v>
      </c>
      <c r="Q278" s="451">
        <v>218</v>
      </c>
      <c r="R278" s="451">
        <v>88762</v>
      </c>
      <c r="S278" s="451">
        <v>0</v>
      </c>
      <c r="T278" s="451">
        <v>0</v>
      </c>
      <c r="U278" s="451">
        <v>88762</v>
      </c>
      <c r="V278" s="451">
        <v>1085187</v>
      </c>
      <c r="W278" s="451">
        <v>0</v>
      </c>
      <c r="X278" s="451">
        <v>0</v>
      </c>
      <c r="Y278" s="451">
        <v>1085187</v>
      </c>
      <c r="Z278" s="451">
        <v>78137</v>
      </c>
      <c r="AA278" s="451">
        <v>0</v>
      </c>
      <c r="AB278" s="451">
        <v>0</v>
      </c>
      <c r="AC278" s="451">
        <v>78137</v>
      </c>
      <c r="AD278" s="451">
        <v>644006</v>
      </c>
      <c r="AE278" s="451">
        <v>0</v>
      </c>
      <c r="AF278" s="451">
        <v>0</v>
      </c>
      <c r="AG278" s="451">
        <v>644006</v>
      </c>
      <c r="AH278" s="451">
        <v>-6851</v>
      </c>
      <c r="AI278" s="451">
        <v>0</v>
      </c>
      <c r="AJ278" s="451">
        <v>0</v>
      </c>
      <c r="AK278" s="451">
        <v>-6851</v>
      </c>
      <c r="AL278" s="451">
        <v>1071694</v>
      </c>
      <c r="AM278" s="451">
        <v>0</v>
      </c>
      <c r="AN278" s="451">
        <v>0</v>
      </c>
      <c r="AO278" s="451">
        <v>1071694</v>
      </c>
      <c r="AP278" s="451">
        <v>20852</v>
      </c>
      <c r="AQ278" s="451">
        <v>0</v>
      </c>
      <c r="AR278" s="451">
        <v>0</v>
      </c>
      <c r="AS278" s="451">
        <v>20852</v>
      </c>
      <c r="AT278" s="451">
        <v>27488</v>
      </c>
      <c r="AU278" s="451">
        <v>0</v>
      </c>
      <c r="AV278" s="451">
        <v>0</v>
      </c>
      <c r="AW278" s="451">
        <v>27488</v>
      </c>
      <c r="AX278" s="451">
        <v>-79</v>
      </c>
      <c r="AY278" s="451">
        <v>0</v>
      </c>
      <c r="AZ278" s="451">
        <v>0</v>
      </c>
      <c r="BA278" s="451">
        <v>-79</v>
      </c>
      <c r="BB278" s="451">
        <v>0</v>
      </c>
      <c r="BC278" s="451">
        <v>0</v>
      </c>
      <c r="BD278" s="451">
        <v>0</v>
      </c>
      <c r="BE278" s="451">
        <v>0</v>
      </c>
      <c r="BF278" s="451">
        <v>0</v>
      </c>
      <c r="BG278" s="451">
        <v>0</v>
      </c>
      <c r="BH278" s="451">
        <v>0</v>
      </c>
      <c r="BI278" s="451">
        <v>0</v>
      </c>
      <c r="BJ278" s="451">
        <v>94063</v>
      </c>
      <c r="BK278" s="451">
        <v>0</v>
      </c>
      <c r="BL278" s="451">
        <v>0</v>
      </c>
      <c r="BM278" s="451">
        <v>94063</v>
      </c>
      <c r="BN278" s="451">
        <v>52371</v>
      </c>
      <c r="BO278" s="451">
        <v>0</v>
      </c>
      <c r="BP278" s="451">
        <v>0</v>
      </c>
      <c r="BQ278" s="451">
        <v>52371</v>
      </c>
      <c r="BR278" s="451">
        <v>1712072</v>
      </c>
      <c r="BS278" s="451">
        <v>0</v>
      </c>
      <c r="BT278" s="451">
        <v>0</v>
      </c>
      <c r="BU278" s="451">
        <v>1712072</v>
      </c>
      <c r="BV278" s="451">
        <v>-208970</v>
      </c>
      <c r="BW278" s="451">
        <v>0</v>
      </c>
      <c r="BX278" s="451">
        <v>0</v>
      </c>
      <c r="BY278" s="451">
        <v>-208970</v>
      </c>
      <c r="BZ278" s="451">
        <v>20148</v>
      </c>
      <c r="CA278" s="451">
        <v>0</v>
      </c>
      <c r="CB278" s="451">
        <v>0</v>
      </c>
      <c r="CC278" s="451">
        <v>20148</v>
      </c>
      <c r="CD278" s="451">
        <v>0</v>
      </c>
      <c r="CE278" s="451">
        <v>0</v>
      </c>
      <c r="CF278" s="451">
        <v>0</v>
      </c>
      <c r="CG278" s="451">
        <v>0</v>
      </c>
      <c r="CH278" s="451">
        <v>4150</v>
      </c>
      <c r="CI278" s="451">
        <v>0</v>
      </c>
      <c r="CJ278" s="451">
        <v>0</v>
      </c>
      <c r="CK278" s="451">
        <v>4150</v>
      </c>
      <c r="CL278" s="451">
        <v>0</v>
      </c>
      <c r="CM278" s="451">
        <v>0</v>
      </c>
      <c r="CN278" s="451">
        <v>0</v>
      </c>
      <c r="CO278" s="451">
        <v>0</v>
      </c>
      <c r="CP278" s="451">
        <v>2308</v>
      </c>
      <c r="CQ278" s="451">
        <v>0</v>
      </c>
      <c r="CR278" s="451">
        <v>0</v>
      </c>
      <c r="CS278" s="451">
        <v>2308</v>
      </c>
      <c r="CT278" s="451">
        <v>0</v>
      </c>
      <c r="CU278" s="451">
        <v>0</v>
      </c>
      <c r="CV278" s="451">
        <v>0</v>
      </c>
      <c r="CW278" s="451">
        <v>0</v>
      </c>
      <c r="CX278" s="451">
        <v>0</v>
      </c>
      <c r="CY278" s="451">
        <v>0</v>
      </c>
      <c r="CZ278" s="451">
        <v>0</v>
      </c>
      <c r="DA278" s="451">
        <v>0</v>
      </c>
      <c r="DB278" s="451">
        <v>0</v>
      </c>
      <c r="DC278" s="451">
        <v>0</v>
      </c>
      <c r="DD278" s="451">
        <v>0</v>
      </c>
      <c r="DE278" s="451">
        <v>0</v>
      </c>
      <c r="DF278" s="451">
        <v>0</v>
      </c>
      <c r="DG278" s="451">
        <v>0</v>
      </c>
      <c r="DH278" s="451">
        <v>0</v>
      </c>
      <c r="DI278" s="451">
        <v>0</v>
      </c>
      <c r="DJ278" s="451">
        <v>0</v>
      </c>
      <c r="DK278" s="451">
        <v>0</v>
      </c>
      <c r="DL278" s="451">
        <v>0</v>
      </c>
      <c r="DM278" s="451">
        <v>0</v>
      </c>
      <c r="DN278" s="451">
        <v>0</v>
      </c>
      <c r="DO278" s="451">
        <v>0</v>
      </c>
      <c r="DP278" s="451">
        <v>0</v>
      </c>
      <c r="DQ278" s="451">
        <v>0</v>
      </c>
      <c r="DR278" s="451">
        <v>0</v>
      </c>
      <c r="DS278" s="451">
        <v>0</v>
      </c>
      <c r="DT278" s="451">
        <v>0</v>
      </c>
      <c r="DU278" s="451">
        <v>0</v>
      </c>
      <c r="DV278" s="451">
        <v>0</v>
      </c>
      <c r="DW278" s="451">
        <v>0</v>
      </c>
      <c r="DX278" s="451">
        <v>0</v>
      </c>
      <c r="DY278" s="451">
        <v>0</v>
      </c>
      <c r="DZ278" s="451">
        <v>0</v>
      </c>
      <c r="EA278" s="451">
        <v>0</v>
      </c>
      <c r="EB278" s="451">
        <v>0</v>
      </c>
      <c r="EC278" s="451">
        <v>0</v>
      </c>
      <c r="ED278" s="451">
        <v>0</v>
      </c>
      <c r="EE278" s="451">
        <v>0</v>
      </c>
      <c r="EF278" s="451">
        <v>0</v>
      </c>
      <c r="EG278" s="451">
        <v>0</v>
      </c>
      <c r="EH278" s="451">
        <v>0</v>
      </c>
      <c r="EI278" s="451">
        <v>0</v>
      </c>
      <c r="EJ278" s="451">
        <v>0</v>
      </c>
      <c r="EK278" s="451">
        <v>0</v>
      </c>
      <c r="EL278" s="451">
        <v>0</v>
      </c>
      <c r="EM278" s="451">
        <v>0</v>
      </c>
    </row>
    <row r="279" spans="1:143" ht="12.75" x14ac:dyDescent="0.2">
      <c r="A279" s="446">
        <v>273</v>
      </c>
      <c r="B279" s="447" t="s">
        <v>429</v>
      </c>
      <c r="C279" s="448" t="s">
        <v>1093</v>
      </c>
      <c r="D279" s="449" t="s">
        <v>1094</v>
      </c>
      <c r="E279" s="450" t="s">
        <v>428</v>
      </c>
      <c r="F279" s="451">
        <v>135854.66</v>
      </c>
      <c r="G279" s="451">
        <v>0</v>
      </c>
      <c r="H279" s="451">
        <v>0</v>
      </c>
      <c r="I279" s="451">
        <v>135854.66</v>
      </c>
      <c r="J279" s="451">
        <v>-83499</v>
      </c>
      <c r="K279" s="451">
        <v>0</v>
      </c>
      <c r="L279" s="451">
        <v>0</v>
      </c>
      <c r="M279" s="451">
        <v>-83499</v>
      </c>
      <c r="N279" s="451">
        <v>4331</v>
      </c>
      <c r="O279" s="451">
        <v>0</v>
      </c>
      <c r="P279" s="451">
        <v>0</v>
      </c>
      <c r="Q279" s="451">
        <v>4331</v>
      </c>
      <c r="R279" s="451">
        <v>-4285.04</v>
      </c>
      <c r="S279" s="451">
        <v>0</v>
      </c>
      <c r="T279" s="451">
        <v>0</v>
      </c>
      <c r="U279" s="451">
        <v>-4285.04</v>
      </c>
      <c r="V279" s="451">
        <v>1926460.88</v>
      </c>
      <c r="W279" s="451">
        <v>0</v>
      </c>
      <c r="X279" s="451">
        <v>0</v>
      </c>
      <c r="Y279" s="451">
        <v>1926460.88</v>
      </c>
      <c r="Z279" s="451">
        <v>135249.96</v>
      </c>
      <c r="AA279" s="451">
        <v>0</v>
      </c>
      <c r="AB279" s="451">
        <v>0</v>
      </c>
      <c r="AC279" s="451">
        <v>135249.96</v>
      </c>
      <c r="AD279" s="451">
        <v>376842.54</v>
      </c>
      <c r="AE279" s="451">
        <v>0</v>
      </c>
      <c r="AF279" s="451">
        <v>0</v>
      </c>
      <c r="AG279" s="451">
        <v>376842.54</v>
      </c>
      <c r="AH279" s="451">
        <v>-6018.06</v>
      </c>
      <c r="AI279" s="451">
        <v>0</v>
      </c>
      <c r="AJ279" s="451">
        <v>0</v>
      </c>
      <c r="AK279" s="451">
        <v>-6018.06</v>
      </c>
      <c r="AL279" s="451">
        <v>2301385</v>
      </c>
      <c r="AM279" s="451">
        <v>0</v>
      </c>
      <c r="AN279" s="451">
        <v>0</v>
      </c>
      <c r="AO279" s="451">
        <v>2301385</v>
      </c>
      <c r="AP279" s="451">
        <v>12507.65</v>
      </c>
      <c r="AQ279" s="451">
        <v>0</v>
      </c>
      <c r="AR279" s="451">
        <v>0</v>
      </c>
      <c r="AS279" s="451">
        <v>12507.65</v>
      </c>
      <c r="AT279" s="451">
        <v>30783</v>
      </c>
      <c r="AU279" s="451">
        <v>0</v>
      </c>
      <c r="AV279" s="451">
        <v>0</v>
      </c>
      <c r="AW279" s="451">
        <v>30783</v>
      </c>
      <c r="AX279" s="451">
        <v>0</v>
      </c>
      <c r="AY279" s="451">
        <v>0</v>
      </c>
      <c r="AZ279" s="451">
        <v>0</v>
      </c>
      <c r="BA279" s="451">
        <v>0</v>
      </c>
      <c r="BB279" s="451">
        <v>14436.13</v>
      </c>
      <c r="BC279" s="451">
        <v>0</v>
      </c>
      <c r="BD279" s="451">
        <v>0</v>
      </c>
      <c r="BE279" s="451">
        <v>14436.13</v>
      </c>
      <c r="BF279" s="451">
        <v>0</v>
      </c>
      <c r="BG279" s="451">
        <v>0</v>
      </c>
      <c r="BH279" s="451">
        <v>0</v>
      </c>
      <c r="BI279" s="451">
        <v>0</v>
      </c>
      <c r="BJ279" s="451">
        <v>3957.57</v>
      </c>
      <c r="BK279" s="451">
        <v>0</v>
      </c>
      <c r="BL279" s="451">
        <v>0</v>
      </c>
      <c r="BM279" s="451">
        <v>3957.57</v>
      </c>
      <c r="BN279" s="451">
        <v>14952.04</v>
      </c>
      <c r="BO279" s="451">
        <v>0</v>
      </c>
      <c r="BP279" s="451">
        <v>0</v>
      </c>
      <c r="BQ279" s="451">
        <v>14952.04</v>
      </c>
      <c r="BR279" s="451">
        <v>666355.34</v>
      </c>
      <c r="BS279" s="451">
        <v>0</v>
      </c>
      <c r="BT279" s="451">
        <v>0</v>
      </c>
      <c r="BU279" s="451">
        <v>666355.34</v>
      </c>
      <c r="BV279" s="451">
        <v>-11578</v>
      </c>
      <c r="BW279" s="451">
        <v>0</v>
      </c>
      <c r="BX279" s="451">
        <v>0</v>
      </c>
      <c r="BY279" s="451">
        <v>-11578</v>
      </c>
      <c r="BZ279" s="451">
        <v>50767</v>
      </c>
      <c r="CA279" s="451">
        <v>0</v>
      </c>
      <c r="CB279" s="451">
        <v>0</v>
      </c>
      <c r="CC279" s="451">
        <v>50767</v>
      </c>
      <c r="CD279" s="451">
        <v>1521.85</v>
      </c>
      <c r="CE279" s="451">
        <v>0</v>
      </c>
      <c r="CF279" s="451">
        <v>0</v>
      </c>
      <c r="CG279" s="451">
        <v>1521.85</v>
      </c>
      <c r="CH279" s="451">
        <v>12988</v>
      </c>
      <c r="CI279" s="451">
        <v>0</v>
      </c>
      <c r="CJ279" s="451">
        <v>0</v>
      </c>
      <c r="CK279" s="451">
        <v>12988</v>
      </c>
      <c r="CL279" s="451">
        <v>0.11</v>
      </c>
      <c r="CM279" s="451">
        <v>0</v>
      </c>
      <c r="CN279" s="451">
        <v>0</v>
      </c>
      <c r="CO279" s="451">
        <v>0.11</v>
      </c>
      <c r="CP279" s="451">
        <v>37</v>
      </c>
      <c r="CQ279" s="451">
        <v>0</v>
      </c>
      <c r="CR279" s="451">
        <v>0</v>
      </c>
      <c r="CS279" s="451">
        <v>37</v>
      </c>
      <c r="CT279" s="451">
        <v>0</v>
      </c>
      <c r="CU279" s="451">
        <v>0</v>
      </c>
      <c r="CV279" s="451">
        <v>0</v>
      </c>
      <c r="CW279" s="451">
        <v>0</v>
      </c>
      <c r="CX279" s="451">
        <v>14436.13</v>
      </c>
      <c r="CY279" s="451">
        <v>0</v>
      </c>
      <c r="CZ279" s="451">
        <v>0</v>
      </c>
      <c r="DA279" s="451">
        <v>14436.13</v>
      </c>
      <c r="DB279" s="451">
        <v>0</v>
      </c>
      <c r="DC279" s="451">
        <v>0</v>
      </c>
      <c r="DD279" s="451">
        <v>0</v>
      </c>
      <c r="DE279" s="451">
        <v>0</v>
      </c>
      <c r="DF279" s="451">
        <v>5082</v>
      </c>
      <c r="DG279" s="451">
        <v>0</v>
      </c>
      <c r="DH279" s="451">
        <v>0</v>
      </c>
      <c r="DI279" s="451">
        <v>5082</v>
      </c>
      <c r="DJ279" s="451">
        <v>0</v>
      </c>
      <c r="DK279" s="451">
        <v>0</v>
      </c>
      <c r="DL279" s="451">
        <v>0</v>
      </c>
      <c r="DM279" s="451">
        <v>0</v>
      </c>
      <c r="DN279" s="451">
        <v>0</v>
      </c>
      <c r="DO279" s="451">
        <v>0</v>
      </c>
      <c r="DP279" s="451">
        <v>0</v>
      </c>
      <c r="DQ279" s="451">
        <v>0</v>
      </c>
      <c r="DR279" s="451">
        <v>0</v>
      </c>
      <c r="DS279" s="451">
        <v>0</v>
      </c>
      <c r="DT279" s="451">
        <v>0</v>
      </c>
      <c r="DU279" s="451">
        <v>0</v>
      </c>
      <c r="DV279" s="451">
        <v>0</v>
      </c>
      <c r="DW279" s="451">
        <v>0</v>
      </c>
      <c r="DX279" s="451">
        <v>0</v>
      </c>
      <c r="DY279" s="451">
        <v>0</v>
      </c>
      <c r="DZ279" s="451">
        <v>0</v>
      </c>
      <c r="EA279" s="451">
        <v>0</v>
      </c>
      <c r="EB279" s="451">
        <v>11107.15</v>
      </c>
      <c r="EC279" s="451">
        <v>0</v>
      </c>
      <c r="ED279" s="451">
        <v>0</v>
      </c>
      <c r="EE279" s="451">
        <v>11107.15</v>
      </c>
      <c r="EF279" s="451">
        <v>3415.91</v>
      </c>
      <c r="EG279" s="451">
        <v>0</v>
      </c>
      <c r="EH279" s="451">
        <v>0</v>
      </c>
      <c r="EI279" s="451">
        <v>3415.91</v>
      </c>
      <c r="EJ279" s="451">
        <v>3520.88</v>
      </c>
      <c r="EK279" s="451">
        <v>0</v>
      </c>
      <c r="EL279" s="451">
        <v>0</v>
      </c>
      <c r="EM279" s="451">
        <v>3520.88</v>
      </c>
    </row>
    <row r="280" spans="1:143" ht="12.75" x14ac:dyDescent="0.2">
      <c r="A280" s="446">
        <v>274</v>
      </c>
      <c r="B280" s="447" t="s">
        <v>431</v>
      </c>
      <c r="C280" s="448" t="s">
        <v>1093</v>
      </c>
      <c r="D280" s="449" t="s">
        <v>1102</v>
      </c>
      <c r="E280" s="450" t="s">
        <v>430</v>
      </c>
      <c r="F280" s="451">
        <v>158551</v>
      </c>
      <c r="G280" s="451">
        <v>0</v>
      </c>
      <c r="H280" s="451">
        <v>0</v>
      </c>
      <c r="I280" s="451">
        <v>158551</v>
      </c>
      <c r="J280" s="451">
        <v>-123908</v>
      </c>
      <c r="K280" s="451">
        <v>0</v>
      </c>
      <c r="L280" s="451">
        <v>0</v>
      </c>
      <c r="M280" s="451">
        <v>-123908</v>
      </c>
      <c r="N280" s="451">
        <v>55444</v>
      </c>
      <c r="O280" s="451">
        <v>0</v>
      </c>
      <c r="P280" s="451">
        <v>0</v>
      </c>
      <c r="Q280" s="451">
        <v>55444</v>
      </c>
      <c r="R280" s="451">
        <v>51392</v>
      </c>
      <c r="S280" s="451">
        <v>0</v>
      </c>
      <c r="T280" s="451">
        <v>0</v>
      </c>
      <c r="U280" s="451">
        <v>51392</v>
      </c>
      <c r="V280" s="451">
        <v>2253790</v>
      </c>
      <c r="W280" s="451">
        <v>0</v>
      </c>
      <c r="X280" s="451">
        <v>0</v>
      </c>
      <c r="Y280" s="451">
        <v>2253790</v>
      </c>
      <c r="Z280" s="451">
        <v>78891</v>
      </c>
      <c r="AA280" s="451">
        <v>0</v>
      </c>
      <c r="AB280" s="451">
        <v>0</v>
      </c>
      <c r="AC280" s="451">
        <v>78891</v>
      </c>
      <c r="AD280" s="451">
        <v>771007</v>
      </c>
      <c r="AE280" s="451">
        <v>0</v>
      </c>
      <c r="AF280" s="451">
        <v>0</v>
      </c>
      <c r="AG280" s="451">
        <v>771007</v>
      </c>
      <c r="AH280" s="451">
        <v>-20048</v>
      </c>
      <c r="AI280" s="451">
        <v>0</v>
      </c>
      <c r="AJ280" s="451">
        <v>0</v>
      </c>
      <c r="AK280" s="451">
        <v>-20048</v>
      </c>
      <c r="AL280" s="451">
        <v>3017592</v>
      </c>
      <c r="AM280" s="451">
        <v>0</v>
      </c>
      <c r="AN280" s="451">
        <v>0</v>
      </c>
      <c r="AO280" s="451">
        <v>3017592</v>
      </c>
      <c r="AP280" s="451">
        <v>10803</v>
      </c>
      <c r="AQ280" s="451">
        <v>0</v>
      </c>
      <c r="AR280" s="451">
        <v>0</v>
      </c>
      <c r="AS280" s="451">
        <v>10803</v>
      </c>
      <c r="AT280" s="451">
        <v>45268</v>
      </c>
      <c r="AU280" s="451">
        <v>0</v>
      </c>
      <c r="AV280" s="451">
        <v>0</v>
      </c>
      <c r="AW280" s="451">
        <v>45268</v>
      </c>
      <c r="AX280" s="451">
        <v>56</v>
      </c>
      <c r="AY280" s="451">
        <v>0</v>
      </c>
      <c r="AZ280" s="451">
        <v>0</v>
      </c>
      <c r="BA280" s="451">
        <v>56</v>
      </c>
      <c r="BB280" s="451">
        <v>36531</v>
      </c>
      <c r="BC280" s="451">
        <v>0</v>
      </c>
      <c r="BD280" s="451">
        <v>0</v>
      </c>
      <c r="BE280" s="451">
        <v>36531</v>
      </c>
      <c r="BF280" s="451">
        <v>0</v>
      </c>
      <c r="BG280" s="451">
        <v>0</v>
      </c>
      <c r="BH280" s="451">
        <v>0</v>
      </c>
      <c r="BI280" s="451">
        <v>0</v>
      </c>
      <c r="BJ280" s="451">
        <v>65638</v>
      </c>
      <c r="BK280" s="451">
        <v>0</v>
      </c>
      <c r="BL280" s="451">
        <v>0</v>
      </c>
      <c r="BM280" s="451">
        <v>65638</v>
      </c>
      <c r="BN280" s="451">
        <v>13041</v>
      </c>
      <c r="BO280" s="451">
        <v>0</v>
      </c>
      <c r="BP280" s="451">
        <v>0</v>
      </c>
      <c r="BQ280" s="451">
        <v>13041</v>
      </c>
      <c r="BR280" s="451">
        <v>1674108</v>
      </c>
      <c r="BS280" s="451">
        <v>0</v>
      </c>
      <c r="BT280" s="451">
        <v>0</v>
      </c>
      <c r="BU280" s="451">
        <v>1674108</v>
      </c>
      <c r="BV280" s="451">
        <v>-49821</v>
      </c>
      <c r="BW280" s="451">
        <v>0</v>
      </c>
      <c r="BX280" s="451">
        <v>0</v>
      </c>
      <c r="BY280" s="451">
        <v>-49821</v>
      </c>
      <c r="BZ280" s="451">
        <v>136385</v>
      </c>
      <c r="CA280" s="451">
        <v>0</v>
      </c>
      <c r="CB280" s="451">
        <v>0</v>
      </c>
      <c r="CC280" s="451">
        <v>136385</v>
      </c>
      <c r="CD280" s="451">
        <v>4195</v>
      </c>
      <c r="CE280" s="451">
        <v>0</v>
      </c>
      <c r="CF280" s="451">
        <v>0</v>
      </c>
      <c r="CG280" s="451">
        <v>4195</v>
      </c>
      <c r="CH280" s="451">
        <v>48231</v>
      </c>
      <c r="CI280" s="451">
        <v>0</v>
      </c>
      <c r="CJ280" s="451">
        <v>0</v>
      </c>
      <c r="CK280" s="451">
        <v>48231</v>
      </c>
      <c r="CL280" s="451">
        <v>-8025</v>
      </c>
      <c r="CM280" s="451">
        <v>0</v>
      </c>
      <c r="CN280" s="451">
        <v>0</v>
      </c>
      <c r="CO280" s="451">
        <v>-8025</v>
      </c>
      <c r="CP280" s="451">
        <v>2284</v>
      </c>
      <c r="CQ280" s="451">
        <v>0</v>
      </c>
      <c r="CR280" s="451">
        <v>0</v>
      </c>
      <c r="CS280" s="451">
        <v>2284</v>
      </c>
      <c r="CT280" s="451">
        <v>14</v>
      </c>
      <c r="CU280" s="451">
        <v>0</v>
      </c>
      <c r="CV280" s="451">
        <v>0</v>
      </c>
      <c r="CW280" s="451">
        <v>14</v>
      </c>
      <c r="CX280" s="451">
        <v>11210</v>
      </c>
      <c r="CY280" s="451">
        <v>0</v>
      </c>
      <c r="CZ280" s="451">
        <v>0</v>
      </c>
      <c r="DA280" s="451">
        <v>11210</v>
      </c>
      <c r="DB280" s="451">
        <v>550</v>
      </c>
      <c r="DC280" s="451">
        <v>0</v>
      </c>
      <c r="DD280" s="451">
        <v>0</v>
      </c>
      <c r="DE280" s="451">
        <v>550</v>
      </c>
      <c r="DF280" s="451">
        <v>8676</v>
      </c>
      <c r="DG280" s="451">
        <v>0</v>
      </c>
      <c r="DH280" s="451">
        <v>0</v>
      </c>
      <c r="DI280" s="451">
        <v>8676</v>
      </c>
      <c r="DJ280" s="451">
        <v>-112</v>
      </c>
      <c r="DK280" s="451">
        <v>0</v>
      </c>
      <c r="DL280" s="451">
        <v>0</v>
      </c>
      <c r="DM280" s="451">
        <v>-112</v>
      </c>
      <c r="DN280" s="451">
        <v>0</v>
      </c>
      <c r="DO280" s="451">
        <v>0</v>
      </c>
      <c r="DP280" s="451">
        <v>0</v>
      </c>
      <c r="DQ280" s="451">
        <v>0</v>
      </c>
      <c r="DR280" s="451">
        <v>0</v>
      </c>
      <c r="DS280" s="451">
        <v>0</v>
      </c>
      <c r="DT280" s="451">
        <v>0</v>
      </c>
      <c r="DU280" s="451">
        <v>0</v>
      </c>
      <c r="DV280" s="451">
        <v>0</v>
      </c>
      <c r="DW280" s="451">
        <v>0</v>
      </c>
      <c r="DX280" s="451">
        <v>114</v>
      </c>
      <c r="DY280" s="451">
        <v>0</v>
      </c>
      <c r="DZ280" s="451">
        <v>0</v>
      </c>
      <c r="EA280" s="451">
        <v>114</v>
      </c>
      <c r="EB280" s="451">
        <v>3974</v>
      </c>
      <c r="EC280" s="451">
        <v>0</v>
      </c>
      <c r="ED280" s="451">
        <v>0</v>
      </c>
      <c r="EE280" s="451">
        <v>3974</v>
      </c>
      <c r="EF280" s="451">
        <v>0</v>
      </c>
      <c r="EG280" s="451">
        <v>0</v>
      </c>
      <c r="EH280" s="451">
        <v>0</v>
      </c>
      <c r="EI280" s="451">
        <v>0</v>
      </c>
      <c r="EJ280" s="451">
        <v>0</v>
      </c>
      <c r="EK280" s="451">
        <v>0</v>
      </c>
      <c r="EL280" s="451">
        <v>0</v>
      </c>
      <c r="EM280" s="451">
        <v>0</v>
      </c>
    </row>
    <row r="281" spans="1:143" ht="12.75" x14ac:dyDescent="0.2">
      <c r="A281" s="446">
        <v>275</v>
      </c>
      <c r="B281" s="447" t="s">
        <v>433</v>
      </c>
      <c r="C281" s="448" t="s">
        <v>1093</v>
      </c>
      <c r="D281" s="449" t="s">
        <v>1102</v>
      </c>
      <c r="E281" s="450" t="s">
        <v>432</v>
      </c>
      <c r="F281" s="451">
        <v>437734</v>
      </c>
      <c r="G281" s="451">
        <v>0</v>
      </c>
      <c r="H281" s="451">
        <v>0</v>
      </c>
      <c r="I281" s="451">
        <v>437734</v>
      </c>
      <c r="J281" s="451">
        <v>-171701</v>
      </c>
      <c r="K281" s="451">
        <v>0</v>
      </c>
      <c r="L281" s="451">
        <v>0</v>
      </c>
      <c r="M281" s="451">
        <v>-171701</v>
      </c>
      <c r="N281" s="451">
        <v>144100</v>
      </c>
      <c r="O281" s="451">
        <v>0</v>
      </c>
      <c r="P281" s="451">
        <v>0</v>
      </c>
      <c r="Q281" s="451">
        <v>144100</v>
      </c>
      <c r="R281" s="451">
        <v>10764</v>
      </c>
      <c r="S281" s="451">
        <v>0</v>
      </c>
      <c r="T281" s="451">
        <v>0</v>
      </c>
      <c r="U281" s="451">
        <v>10764</v>
      </c>
      <c r="V281" s="451">
        <v>3361462</v>
      </c>
      <c r="W281" s="451">
        <v>0</v>
      </c>
      <c r="X281" s="451">
        <v>0</v>
      </c>
      <c r="Y281" s="451">
        <v>3361462</v>
      </c>
      <c r="Z281" s="451">
        <v>71778</v>
      </c>
      <c r="AA281" s="451">
        <v>0</v>
      </c>
      <c r="AB281" s="451">
        <v>0</v>
      </c>
      <c r="AC281" s="451">
        <v>71778</v>
      </c>
      <c r="AD281" s="451">
        <v>558565</v>
      </c>
      <c r="AE281" s="451">
        <v>0</v>
      </c>
      <c r="AF281" s="451">
        <v>0</v>
      </c>
      <c r="AG281" s="451">
        <v>558565</v>
      </c>
      <c r="AH281" s="451">
        <v>-13556</v>
      </c>
      <c r="AI281" s="451">
        <v>0</v>
      </c>
      <c r="AJ281" s="451">
        <v>0</v>
      </c>
      <c r="AK281" s="451">
        <v>-13556</v>
      </c>
      <c r="AL281" s="451">
        <v>2011152</v>
      </c>
      <c r="AM281" s="451">
        <v>0</v>
      </c>
      <c r="AN281" s="451">
        <v>0</v>
      </c>
      <c r="AO281" s="451">
        <v>2011152</v>
      </c>
      <c r="AP281" s="451">
        <v>-4923</v>
      </c>
      <c r="AQ281" s="451">
        <v>0</v>
      </c>
      <c r="AR281" s="451">
        <v>0</v>
      </c>
      <c r="AS281" s="451">
        <v>-4923</v>
      </c>
      <c r="AT281" s="451">
        <v>72272</v>
      </c>
      <c r="AU281" s="451">
        <v>0</v>
      </c>
      <c r="AV281" s="451">
        <v>0</v>
      </c>
      <c r="AW281" s="451">
        <v>72272</v>
      </c>
      <c r="AX281" s="451">
        <v>0</v>
      </c>
      <c r="AY281" s="451">
        <v>0</v>
      </c>
      <c r="AZ281" s="451">
        <v>0</v>
      </c>
      <c r="BA281" s="451">
        <v>0</v>
      </c>
      <c r="BB281" s="451">
        <v>49032</v>
      </c>
      <c r="BC281" s="451">
        <v>0</v>
      </c>
      <c r="BD281" s="451">
        <v>0</v>
      </c>
      <c r="BE281" s="451">
        <v>49032</v>
      </c>
      <c r="BF281" s="451">
        <v>-10</v>
      </c>
      <c r="BG281" s="451">
        <v>0</v>
      </c>
      <c r="BH281" s="451">
        <v>0</v>
      </c>
      <c r="BI281" s="451">
        <v>-10</v>
      </c>
      <c r="BJ281" s="451">
        <v>0</v>
      </c>
      <c r="BK281" s="451">
        <v>0</v>
      </c>
      <c r="BL281" s="451">
        <v>0</v>
      </c>
      <c r="BM281" s="451">
        <v>0</v>
      </c>
      <c r="BN281" s="451">
        <v>525</v>
      </c>
      <c r="BO281" s="451">
        <v>0</v>
      </c>
      <c r="BP281" s="451">
        <v>0</v>
      </c>
      <c r="BQ281" s="451">
        <v>525</v>
      </c>
      <c r="BR281" s="451">
        <v>945437</v>
      </c>
      <c r="BS281" s="451">
        <v>0</v>
      </c>
      <c r="BT281" s="451">
        <v>0</v>
      </c>
      <c r="BU281" s="451">
        <v>945437</v>
      </c>
      <c r="BV281" s="451">
        <v>73400</v>
      </c>
      <c r="BW281" s="451">
        <v>0</v>
      </c>
      <c r="BX281" s="451">
        <v>0</v>
      </c>
      <c r="BY281" s="451">
        <v>73400</v>
      </c>
      <c r="BZ281" s="451">
        <v>90246</v>
      </c>
      <c r="CA281" s="451">
        <v>0</v>
      </c>
      <c r="CB281" s="451">
        <v>0</v>
      </c>
      <c r="CC281" s="451">
        <v>90246</v>
      </c>
      <c r="CD281" s="451">
        <v>-1207</v>
      </c>
      <c r="CE281" s="451">
        <v>0</v>
      </c>
      <c r="CF281" s="451">
        <v>0</v>
      </c>
      <c r="CG281" s="451">
        <v>-1207</v>
      </c>
      <c r="CH281" s="451">
        <v>52837</v>
      </c>
      <c r="CI281" s="451">
        <v>0</v>
      </c>
      <c r="CJ281" s="451">
        <v>0</v>
      </c>
      <c r="CK281" s="451">
        <v>52837</v>
      </c>
      <c r="CL281" s="451">
        <v>0</v>
      </c>
      <c r="CM281" s="451">
        <v>0</v>
      </c>
      <c r="CN281" s="451">
        <v>0</v>
      </c>
      <c r="CO281" s="451">
        <v>0</v>
      </c>
      <c r="CP281" s="451">
        <v>7211</v>
      </c>
      <c r="CQ281" s="451">
        <v>0</v>
      </c>
      <c r="CR281" s="451">
        <v>0</v>
      </c>
      <c r="CS281" s="451">
        <v>7211</v>
      </c>
      <c r="CT281" s="451">
        <v>0</v>
      </c>
      <c r="CU281" s="451">
        <v>0</v>
      </c>
      <c r="CV281" s="451">
        <v>0</v>
      </c>
      <c r="CW281" s="451">
        <v>0</v>
      </c>
      <c r="CX281" s="451">
        <v>34237</v>
      </c>
      <c r="CY281" s="451">
        <v>0</v>
      </c>
      <c r="CZ281" s="451">
        <v>0</v>
      </c>
      <c r="DA281" s="451">
        <v>34237</v>
      </c>
      <c r="DB281" s="451">
        <v>1326</v>
      </c>
      <c r="DC281" s="451">
        <v>0</v>
      </c>
      <c r="DD281" s="451">
        <v>0</v>
      </c>
      <c r="DE281" s="451">
        <v>1326</v>
      </c>
      <c r="DF281" s="451">
        <v>3142</v>
      </c>
      <c r="DG281" s="451">
        <v>0</v>
      </c>
      <c r="DH281" s="451">
        <v>0</v>
      </c>
      <c r="DI281" s="451">
        <v>3142</v>
      </c>
      <c r="DJ281" s="451">
        <v>0</v>
      </c>
      <c r="DK281" s="451">
        <v>0</v>
      </c>
      <c r="DL281" s="451">
        <v>0</v>
      </c>
      <c r="DM281" s="451">
        <v>0</v>
      </c>
      <c r="DN281" s="451">
        <v>0</v>
      </c>
      <c r="DO281" s="451">
        <v>0</v>
      </c>
      <c r="DP281" s="451">
        <v>0</v>
      </c>
      <c r="DQ281" s="451">
        <v>0</v>
      </c>
      <c r="DR281" s="451">
        <v>0</v>
      </c>
      <c r="DS281" s="451">
        <v>0</v>
      </c>
      <c r="DT281" s="451">
        <v>0</v>
      </c>
      <c r="DU281" s="451">
        <v>0</v>
      </c>
      <c r="DV281" s="451">
        <v>0</v>
      </c>
      <c r="DW281" s="451">
        <v>0</v>
      </c>
      <c r="DX281" s="451">
        <v>0</v>
      </c>
      <c r="DY281" s="451">
        <v>0</v>
      </c>
      <c r="DZ281" s="451">
        <v>0</v>
      </c>
      <c r="EA281" s="451">
        <v>0</v>
      </c>
      <c r="EB281" s="451">
        <v>15464</v>
      </c>
      <c r="EC281" s="451">
        <v>0</v>
      </c>
      <c r="ED281" s="451">
        <v>0</v>
      </c>
      <c r="EE281" s="451">
        <v>15464</v>
      </c>
      <c r="EF281" s="451">
        <v>11019</v>
      </c>
      <c r="EG281" s="451">
        <v>0</v>
      </c>
      <c r="EH281" s="451">
        <v>0</v>
      </c>
      <c r="EI281" s="451">
        <v>11019</v>
      </c>
      <c r="EJ281" s="451">
        <v>0</v>
      </c>
      <c r="EK281" s="451">
        <v>0</v>
      </c>
      <c r="EL281" s="451">
        <v>0</v>
      </c>
      <c r="EM281" s="451">
        <v>0</v>
      </c>
    </row>
    <row r="282" spans="1:143" ht="12.75" x14ac:dyDescent="0.2">
      <c r="A282" s="446">
        <v>276</v>
      </c>
      <c r="B282" s="447" t="s">
        <v>435</v>
      </c>
      <c r="C282" s="448" t="s">
        <v>794</v>
      </c>
      <c r="D282" s="449" t="s">
        <v>1103</v>
      </c>
      <c r="E282" s="450" t="s">
        <v>750</v>
      </c>
      <c r="F282" s="451">
        <v>69509.600000000006</v>
      </c>
      <c r="G282" s="451">
        <v>0</v>
      </c>
      <c r="H282" s="451">
        <v>0</v>
      </c>
      <c r="I282" s="451">
        <v>69509.600000000006</v>
      </c>
      <c r="J282" s="451">
        <v>-119398.64</v>
      </c>
      <c r="K282" s="451">
        <v>0</v>
      </c>
      <c r="L282" s="451">
        <v>0</v>
      </c>
      <c r="M282" s="451">
        <v>-119398.64</v>
      </c>
      <c r="N282" s="451">
        <v>112550.77</v>
      </c>
      <c r="O282" s="451">
        <v>0</v>
      </c>
      <c r="P282" s="451">
        <v>0</v>
      </c>
      <c r="Q282" s="451">
        <v>112550.77</v>
      </c>
      <c r="R282" s="451">
        <v>190752.65</v>
      </c>
      <c r="S282" s="451">
        <v>0</v>
      </c>
      <c r="T282" s="451">
        <v>0</v>
      </c>
      <c r="U282" s="451">
        <v>190752.65</v>
      </c>
      <c r="V282" s="451">
        <v>2438258.35</v>
      </c>
      <c r="W282" s="451">
        <v>0</v>
      </c>
      <c r="X282" s="451">
        <v>0</v>
      </c>
      <c r="Y282" s="451">
        <v>2438258.35</v>
      </c>
      <c r="Z282" s="451">
        <v>110285.18</v>
      </c>
      <c r="AA282" s="451">
        <v>0</v>
      </c>
      <c r="AB282" s="451">
        <v>0</v>
      </c>
      <c r="AC282" s="451">
        <v>110285.18</v>
      </c>
      <c r="AD282" s="451">
        <v>1345333.31</v>
      </c>
      <c r="AE282" s="451">
        <v>0</v>
      </c>
      <c r="AF282" s="451">
        <v>0</v>
      </c>
      <c r="AG282" s="451">
        <v>1345333.31</v>
      </c>
      <c r="AH282" s="451">
        <v>29278.89</v>
      </c>
      <c r="AI282" s="451">
        <v>0</v>
      </c>
      <c r="AJ282" s="451">
        <v>0</v>
      </c>
      <c r="AK282" s="451">
        <v>29278.89</v>
      </c>
      <c r="AL282" s="451">
        <v>3919823.05</v>
      </c>
      <c r="AM282" s="451">
        <v>0</v>
      </c>
      <c r="AN282" s="451">
        <v>0</v>
      </c>
      <c r="AO282" s="451">
        <v>3919823.05</v>
      </c>
      <c r="AP282" s="451">
        <v>212386.19</v>
      </c>
      <c r="AQ282" s="451">
        <v>0</v>
      </c>
      <c r="AR282" s="451">
        <v>0</v>
      </c>
      <c r="AS282" s="451">
        <v>212386.19</v>
      </c>
      <c r="AT282" s="451">
        <v>33416.54</v>
      </c>
      <c r="AU282" s="451">
        <v>0</v>
      </c>
      <c r="AV282" s="451">
        <v>0</v>
      </c>
      <c r="AW282" s="451">
        <v>33416.54</v>
      </c>
      <c r="AX282" s="451">
        <v>0</v>
      </c>
      <c r="AY282" s="451">
        <v>0</v>
      </c>
      <c r="AZ282" s="451">
        <v>0</v>
      </c>
      <c r="BA282" s="451">
        <v>0</v>
      </c>
      <c r="BB282" s="451">
        <v>7756.11</v>
      </c>
      <c r="BC282" s="451">
        <v>0</v>
      </c>
      <c r="BD282" s="451">
        <v>0</v>
      </c>
      <c r="BE282" s="451">
        <v>7756.11</v>
      </c>
      <c r="BF282" s="451">
        <v>0</v>
      </c>
      <c r="BG282" s="451">
        <v>0</v>
      </c>
      <c r="BH282" s="451">
        <v>0</v>
      </c>
      <c r="BI282" s="451">
        <v>0</v>
      </c>
      <c r="BJ282" s="451">
        <v>147792.13</v>
      </c>
      <c r="BK282" s="451">
        <v>0</v>
      </c>
      <c r="BL282" s="451">
        <v>0</v>
      </c>
      <c r="BM282" s="451">
        <v>147792.13</v>
      </c>
      <c r="BN282" s="451">
        <v>129467.6</v>
      </c>
      <c r="BO282" s="451">
        <v>0</v>
      </c>
      <c r="BP282" s="451">
        <v>0</v>
      </c>
      <c r="BQ282" s="451">
        <v>129467.6</v>
      </c>
      <c r="BR282" s="451">
        <v>2153338.61</v>
      </c>
      <c r="BS282" s="451">
        <v>0</v>
      </c>
      <c r="BT282" s="451">
        <v>0</v>
      </c>
      <c r="BU282" s="451">
        <v>2153338.61</v>
      </c>
      <c r="BV282" s="451">
        <v>237468.49</v>
      </c>
      <c r="BW282" s="451">
        <v>0</v>
      </c>
      <c r="BX282" s="451">
        <v>0</v>
      </c>
      <c r="BY282" s="451">
        <v>237468.49</v>
      </c>
      <c r="BZ282" s="451">
        <v>216311.75</v>
      </c>
      <c r="CA282" s="451">
        <v>0</v>
      </c>
      <c r="CB282" s="451">
        <v>0</v>
      </c>
      <c r="CC282" s="451">
        <v>216311.75</v>
      </c>
      <c r="CD282" s="451">
        <v>3742.26</v>
      </c>
      <c r="CE282" s="451">
        <v>0</v>
      </c>
      <c r="CF282" s="451">
        <v>0</v>
      </c>
      <c r="CG282" s="451">
        <v>3742.26</v>
      </c>
      <c r="CH282" s="451">
        <v>44941.88</v>
      </c>
      <c r="CI282" s="451">
        <v>0</v>
      </c>
      <c r="CJ282" s="451">
        <v>0</v>
      </c>
      <c r="CK282" s="451">
        <v>44941.88</v>
      </c>
      <c r="CL282" s="451">
        <v>0</v>
      </c>
      <c r="CM282" s="451">
        <v>0</v>
      </c>
      <c r="CN282" s="451">
        <v>0</v>
      </c>
      <c r="CO282" s="451">
        <v>0</v>
      </c>
      <c r="CP282" s="451">
        <v>2322.0300000000002</v>
      </c>
      <c r="CQ282" s="451">
        <v>0</v>
      </c>
      <c r="CR282" s="451">
        <v>0</v>
      </c>
      <c r="CS282" s="451">
        <v>2322.0300000000002</v>
      </c>
      <c r="CT282" s="451">
        <v>0</v>
      </c>
      <c r="CU282" s="451">
        <v>0</v>
      </c>
      <c r="CV282" s="451">
        <v>0</v>
      </c>
      <c r="CW282" s="451">
        <v>0</v>
      </c>
      <c r="CX282" s="451">
        <v>7756.11</v>
      </c>
      <c r="CY282" s="451">
        <v>0</v>
      </c>
      <c r="CZ282" s="451">
        <v>0</v>
      </c>
      <c r="DA282" s="451">
        <v>7756.11</v>
      </c>
      <c r="DB282" s="451">
        <v>2185.88</v>
      </c>
      <c r="DC282" s="451">
        <v>0</v>
      </c>
      <c r="DD282" s="451">
        <v>0</v>
      </c>
      <c r="DE282" s="451">
        <v>2185.88</v>
      </c>
      <c r="DF282" s="451">
        <v>0</v>
      </c>
      <c r="DG282" s="451">
        <v>0</v>
      </c>
      <c r="DH282" s="451">
        <v>0</v>
      </c>
      <c r="DI282" s="451">
        <v>0</v>
      </c>
      <c r="DJ282" s="451">
        <v>0</v>
      </c>
      <c r="DK282" s="451">
        <v>0</v>
      </c>
      <c r="DL282" s="451">
        <v>0</v>
      </c>
      <c r="DM282" s="451">
        <v>0</v>
      </c>
      <c r="DN282" s="451">
        <v>0</v>
      </c>
      <c r="DO282" s="451">
        <v>0</v>
      </c>
      <c r="DP282" s="451">
        <v>0</v>
      </c>
      <c r="DQ282" s="451">
        <v>0</v>
      </c>
      <c r="DR282" s="451">
        <v>0</v>
      </c>
      <c r="DS282" s="451">
        <v>0</v>
      </c>
      <c r="DT282" s="451">
        <v>0</v>
      </c>
      <c r="DU282" s="451">
        <v>0</v>
      </c>
      <c r="DV282" s="451">
        <v>0</v>
      </c>
      <c r="DW282" s="451">
        <v>0</v>
      </c>
      <c r="DX282" s="451">
        <v>0</v>
      </c>
      <c r="DY282" s="451">
        <v>0</v>
      </c>
      <c r="DZ282" s="451">
        <v>0</v>
      </c>
      <c r="EA282" s="451">
        <v>0</v>
      </c>
      <c r="EB282" s="451">
        <v>7189.2</v>
      </c>
      <c r="EC282" s="451">
        <v>0</v>
      </c>
      <c r="ED282" s="451">
        <v>0</v>
      </c>
      <c r="EE282" s="451">
        <v>7189.2</v>
      </c>
      <c r="EF282" s="451">
        <v>1871.64</v>
      </c>
      <c r="EG282" s="451">
        <v>0</v>
      </c>
      <c r="EH282" s="451">
        <v>0</v>
      </c>
      <c r="EI282" s="451">
        <v>1871.64</v>
      </c>
      <c r="EJ282" s="451">
        <v>0</v>
      </c>
      <c r="EK282" s="451">
        <v>0</v>
      </c>
      <c r="EL282" s="451">
        <v>0</v>
      </c>
      <c r="EM282" s="451">
        <v>0</v>
      </c>
    </row>
    <row r="283" spans="1:143" ht="12.75" x14ac:dyDescent="0.2">
      <c r="A283" s="446">
        <v>277</v>
      </c>
      <c r="B283" s="447" t="s">
        <v>437</v>
      </c>
      <c r="C283" s="448" t="s">
        <v>1093</v>
      </c>
      <c r="D283" s="449" t="s">
        <v>1097</v>
      </c>
      <c r="E283" s="450" t="s">
        <v>436</v>
      </c>
      <c r="F283" s="451">
        <v>130970</v>
      </c>
      <c r="G283" s="451">
        <v>0</v>
      </c>
      <c r="H283" s="451">
        <v>0</v>
      </c>
      <c r="I283" s="451">
        <v>130970</v>
      </c>
      <c r="J283" s="451">
        <v>-61595</v>
      </c>
      <c r="K283" s="451">
        <v>0</v>
      </c>
      <c r="L283" s="451">
        <v>0</v>
      </c>
      <c r="M283" s="451">
        <v>-61595</v>
      </c>
      <c r="N283" s="451">
        <v>16570</v>
      </c>
      <c r="O283" s="451">
        <v>0</v>
      </c>
      <c r="P283" s="451">
        <v>0</v>
      </c>
      <c r="Q283" s="451">
        <v>16570</v>
      </c>
      <c r="R283" s="451">
        <v>66549</v>
      </c>
      <c r="S283" s="451">
        <v>0</v>
      </c>
      <c r="T283" s="451">
        <v>0</v>
      </c>
      <c r="U283" s="451">
        <v>66549</v>
      </c>
      <c r="V283" s="451">
        <v>4059294</v>
      </c>
      <c r="W283" s="451">
        <v>0</v>
      </c>
      <c r="X283" s="451">
        <v>0</v>
      </c>
      <c r="Y283" s="451">
        <v>4059294</v>
      </c>
      <c r="Z283" s="451">
        <v>71101</v>
      </c>
      <c r="AA283" s="451">
        <v>0</v>
      </c>
      <c r="AB283" s="451">
        <v>0</v>
      </c>
      <c r="AC283" s="451">
        <v>71101</v>
      </c>
      <c r="AD283" s="451">
        <v>462785</v>
      </c>
      <c r="AE283" s="451">
        <v>0</v>
      </c>
      <c r="AF283" s="451">
        <v>0</v>
      </c>
      <c r="AG283" s="451">
        <v>462785</v>
      </c>
      <c r="AH283" s="451">
        <v>2423</v>
      </c>
      <c r="AI283" s="451">
        <v>0</v>
      </c>
      <c r="AJ283" s="451">
        <v>0</v>
      </c>
      <c r="AK283" s="451">
        <v>2423</v>
      </c>
      <c r="AL283" s="451">
        <v>1996996</v>
      </c>
      <c r="AM283" s="451">
        <v>0</v>
      </c>
      <c r="AN283" s="451">
        <v>0</v>
      </c>
      <c r="AO283" s="451">
        <v>1996996</v>
      </c>
      <c r="AP283" s="451">
        <v>-36183</v>
      </c>
      <c r="AQ283" s="451">
        <v>0</v>
      </c>
      <c r="AR283" s="451">
        <v>0</v>
      </c>
      <c r="AS283" s="451">
        <v>-36183</v>
      </c>
      <c r="AT283" s="451">
        <v>114939</v>
      </c>
      <c r="AU283" s="451">
        <v>0</v>
      </c>
      <c r="AV283" s="451">
        <v>0</v>
      </c>
      <c r="AW283" s="451">
        <v>114939</v>
      </c>
      <c r="AX283" s="451">
        <v>178</v>
      </c>
      <c r="AY283" s="451">
        <v>0</v>
      </c>
      <c r="AZ283" s="451">
        <v>0</v>
      </c>
      <c r="BA283" s="451">
        <v>178</v>
      </c>
      <c r="BB283" s="451">
        <v>43889</v>
      </c>
      <c r="BC283" s="451">
        <v>0</v>
      </c>
      <c r="BD283" s="451">
        <v>0</v>
      </c>
      <c r="BE283" s="451">
        <v>43889</v>
      </c>
      <c r="BF283" s="451">
        <v>-3468</v>
      </c>
      <c r="BG283" s="451">
        <v>0</v>
      </c>
      <c r="BH283" s="451">
        <v>0</v>
      </c>
      <c r="BI283" s="451">
        <v>-3468</v>
      </c>
      <c r="BJ283" s="451">
        <v>1624</v>
      </c>
      <c r="BK283" s="451">
        <v>0</v>
      </c>
      <c r="BL283" s="451">
        <v>0</v>
      </c>
      <c r="BM283" s="451">
        <v>1624</v>
      </c>
      <c r="BN283" s="451">
        <v>1416</v>
      </c>
      <c r="BO283" s="451">
        <v>0</v>
      </c>
      <c r="BP283" s="451">
        <v>0</v>
      </c>
      <c r="BQ283" s="451">
        <v>1416</v>
      </c>
      <c r="BR283" s="451">
        <v>523121</v>
      </c>
      <c r="BS283" s="451">
        <v>0</v>
      </c>
      <c r="BT283" s="451">
        <v>0</v>
      </c>
      <c r="BU283" s="451">
        <v>523121</v>
      </c>
      <c r="BV283" s="451">
        <v>-37888</v>
      </c>
      <c r="BW283" s="451">
        <v>0</v>
      </c>
      <c r="BX283" s="451">
        <v>0</v>
      </c>
      <c r="BY283" s="451">
        <v>-37888</v>
      </c>
      <c r="BZ283" s="451">
        <v>27954</v>
      </c>
      <c r="CA283" s="451">
        <v>0</v>
      </c>
      <c r="CB283" s="451">
        <v>0</v>
      </c>
      <c r="CC283" s="451">
        <v>27954</v>
      </c>
      <c r="CD283" s="451">
        <v>-196</v>
      </c>
      <c r="CE283" s="451">
        <v>0</v>
      </c>
      <c r="CF283" s="451">
        <v>0</v>
      </c>
      <c r="CG283" s="451">
        <v>-196</v>
      </c>
      <c r="CH283" s="451">
        <v>131</v>
      </c>
      <c r="CI283" s="451">
        <v>0</v>
      </c>
      <c r="CJ283" s="451">
        <v>0</v>
      </c>
      <c r="CK283" s="451">
        <v>131</v>
      </c>
      <c r="CL283" s="451">
        <v>0</v>
      </c>
      <c r="CM283" s="451">
        <v>0</v>
      </c>
      <c r="CN283" s="451">
        <v>0</v>
      </c>
      <c r="CO283" s="451">
        <v>0</v>
      </c>
      <c r="CP283" s="451">
        <v>0</v>
      </c>
      <c r="CQ283" s="451">
        <v>0</v>
      </c>
      <c r="CR283" s="451">
        <v>0</v>
      </c>
      <c r="CS283" s="451">
        <v>0</v>
      </c>
      <c r="CT283" s="451">
        <v>0</v>
      </c>
      <c r="CU283" s="451">
        <v>0</v>
      </c>
      <c r="CV283" s="451">
        <v>0</v>
      </c>
      <c r="CW283" s="451">
        <v>0</v>
      </c>
      <c r="CX283" s="451">
        <v>43889</v>
      </c>
      <c r="CY283" s="451">
        <v>0</v>
      </c>
      <c r="CZ283" s="451">
        <v>0</v>
      </c>
      <c r="DA283" s="451">
        <v>43889</v>
      </c>
      <c r="DB283" s="451">
        <v>-3468</v>
      </c>
      <c r="DC283" s="451">
        <v>0</v>
      </c>
      <c r="DD283" s="451">
        <v>0</v>
      </c>
      <c r="DE283" s="451">
        <v>-3468</v>
      </c>
      <c r="DF283" s="451">
        <v>0</v>
      </c>
      <c r="DG283" s="451">
        <v>0</v>
      </c>
      <c r="DH283" s="451">
        <v>0</v>
      </c>
      <c r="DI283" s="451">
        <v>0</v>
      </c>
      <c r="DJ283" s="451">
        <v>0</v>
      </c>
      <c r="DK283" s="451">
        <v>0</v>
      </c>
      <c r="DL283" s="451">
        <v>0</v>
      </c>
      <c r="DM283" s="451">
        <v>0</v>
      </c>
      <c r="DN283" s="451">
        <v>0</v>
      </c>
      <c r="DO283" s="451">
        <v>0</v>
      </c>
      <c r="DP283" s="451">
        <v>0</v>
      </c>
      <c r="DQ283" s="451">
        <v>0</v>
      </c>
      <c r="DR283" s="451">
        <v>0</v>
      </c>
      <c r="DS283" s="451">
        <v>0</v>
      </c>
      <c r="DT283" s="451">
        <v>0</v>
      </c>
      <c r="DU283" s="451">
        <v>0</v>
      </c>
      <c r="DV283" s="451">
        <v>0</v>
      </c>
      <c r="DW283" s="451">
        <v>0</v>
      </c>
      <c r="DX283" s="451">
        <v>0</v>
      </c>
      <c r="DY283" s="451">
        <v>0</v>
      </c>
      <c r="DZ283" s="451">
        <v>0</v>
      </c>
      <c r="EA283" s="451">
        <v>0</v>
      </c>
      <c r="EB283" s="451">
        <v>0</v>
      </c>
      <c r="EC283" s="451">
        <v>0</v>
      </c>
      <c r="ED283" s="451">
        <v>0</v>
      </c>
      <c r="EE283" s="451">
        <v>0</v>
      </c>
      <c r="EF283" s="451">
        <v>0</v>
      </c>
      <c r="EG283" s="451">
        <v>0</v>
      </c>
      <c r="EH283" s="451">
        <v>0</v>
      </c>
      <c r="EI283" s="451">
        <v>0</v>
      </c>
      <c r="EJ283" s="451">
        <v>0</v>
      </c>
      <c r="EK283" s="451">
        <v>0</v>
      </c>
      <c r="EL283" s="451">
        <v>0</v>
      </c>
      <c r="EM283" s="451">
        <v>0</v>
      </c>
    </row>
    <row r="284" spans="1:143" ht="12.75" x14ac:dyDescent="0.2">
      <c r="A284" s="446">
        <v>278</v>
      </c>
      <c r="B284" s="447" t="s">
        <v>439</v>
      </c>
      <c r="C284" s="448" t="s">
        <v>1093</v>
      </c>
      <c r="D284" s="449" t="s">
        <v>1094</v>
      </c>
      <c r="E284" s="450" t="s">
        <v>438</v>
      </c>
      <c r="F284" s="451">
        <v>95813</v>
      </c>
      <c r="G284" s="451">
        <v>0</v>
      </c>
      <c r="H284" s="451">
        <v>0</v>
      </c>
      <c r="I284" s="451">
        <v>95813</v>
      </c>
      <c r="J284" s="451">
        <v>-146118</v>
      </c>
      <c r="K284" s="451">
        <v>0</v>
      </c>
      <c r="L284" s="451">
        <v>0</v>
      </c>
      <c r="M284" s="451">
        <v>-146118</v>
      </c>
      <c r="N284" s="451">
        <v>55624</v>
      </c>
      <c r="O284" s="451">
        <v>0</v>
      </c>
      <c r="P284" s="451">
        <v>0</v>
      </c>
      <c r="Q284" s="451">
        <v>55624</v>
      </c>
      <c r="R284" s="451">
        <v>60181</v>
      </c>
      <c r="S284" s="451">
        <v>0</v>
      </c>
      <c r="T284" s="451">
        <v>0</v>
      </c>
      <c r="U284" s="451">
        <v>60181</v>
      </c>
      <c r="V284" s="451">
        <v>2257762</v>
      </c>
      <c r="W284" s="451">
        <v>0</v>
      </c>
      <c r="X284" s="451">
        <v>0</v>
      </c>
      <c r="Y284" s="451">
        <v>2257762</v>
      </c>
      <c r="Z284" s="451">
        <v>183543</v>
      </c>
      <c r="AA284" s="451">
        <v>0</v>
      </c>
      <c r="AB284" s="451">
        <v>0</v>
      </c>
      <c r="AC284" s="451">
        <v>183543</v>
      </c>
      <c r="AD284" s="451">
        <v>929224</v>
      </c>
      <c r="AE284" s="451">
        <v>0</v>
      </c>
      <c r="AF284" s="451">
        <v>0</v>
      </c>
      <c r="AG284" s="451">
        <v>929224</v>
      </c>
      <c r="AH284" s="451">
        <v>12964</v>
      </c>
      <c r="AI284" s="451">
        <v>0</v>
      </c>
      <c r="AJ284" s="451">
        <v>0</v>
      </c>
      <c r="AK284" s="451">
        <v>12964</v>
      </c>
      <c r="AL284" s="451">
        <v>2555551</v>
      </c>
      <c r="AM284" s="451">
        <v>0</v>
      </c>
      <c r="AN284" s="451">
        <v>0</v>
      </c>
      <c r="AO284" s="451">
        <v>2555551</v>
      </c>
      <c r="AP284" s="451">
        <v>29051</v>
      </c>
      <c r="AQ284" s="451">
        <v>0</v>
      </c>
      <c r="AR284" s="451">
        <v>0</v>
      </c>
      <c r="AS284" s="451">
        <v>29051</v>
      </c>
      <c r="AT284" s="451">
        <v>73811</v>
      </c>
      <c r="AU284" s="451">
        <v>0</v>
      </c>
      <c r="AV284" s="451">
        <v>0</v>
      </c>
      <c r="AW284" s="451">
        <v>73811</v>
      </c>
      <c r="AX284" s="451">
        <v>0</v>
      </c>
      <c r="AY284" s="451">
        <v>0</v>
      </c>
      <c r="AZ284" s="451">
        <v>0</v>
      </c>
      <c r="BA284" s="451">
        <v>0</v>
      </c>
      <c r="BB284" s="451">
        <v>22687</v>
      </c>
      <c r="BC284" s="451">
        <v>0</v>
      </c>
      <c r="BD284" s="451">
        <v>0</v>
      </c>
      <c r="BE284" s="451">
        <v>22687</v>
      </c>
      <c r="BF284" s="451">
        <v>-790</v>
      </c>
      <c r="BG284" s="451">
        <v>0</v>
      </c>
      <c r="BH284" s="451">
        <v>0</v>
      </c>
      <c r="BI284" s="451">
        <v>-790</v>
      </c>
      <c r="BJ284" s="451">
        <v>16638</v>
      </c>
      <c r="BK284" s="451">
        <v>0</v>
      </c>
      <c r="BL284" s="451">
        <v>0</v>
      </c>
      <c r="BM284" s="451">
        <v>16638</v>
      </c>
      <c r="BN284" s="451">
        <v>30360</v>
      </c>
      <c r="BO284" s="451">
        <v>0</v>
      </c>
      <c r="BP284" s="451">
        <v>0</v>
      </c>
      <c r="BQ284" s="451">
        <v>30360</v>
      </c>
      <c r="BR284" s="451">
        <v>1717976</v>
      </c>
      <c r="BS284" s="451">
        <v>0</v>
      </c>
      <c r="BT284" s="451">
        <v>0</v>
      </c>
      <c r="BU284" s="451">
        <v>1717976</v>
      </c>
      <c r="BV284" s="451">
        <v>-202332</v>
      </c>
      <c r="BW284" s="451">
        <v>0</v>
      </c>
      <c r="BX284" s="451">
        <v>0</v>
      </c>
      <c r="BY284" s="451">
        <v>-202332</v>
      </c>
      <c r="BZ284" s="451">
        <v>165065</v>
      </c>
      <c r="CA284" s="451">
        <v>0</v>
      </c>
      <c r="CB284" s="451">
        <v>0</v>
      </c>
      <c r="CC284" s="451">
        <v>165065</v>
      </c>
      <c r="CD284" s="451">
        <v>2011</v>
      </c>
      <c r="CE284" s="451">
        <v>0</v>
      </c>
      <c r="CF284" s="451">
        <v>0</v>
      </c>
      <c r="CG284" s="451">
        <v>2011</v>
      </c>
      <c r="CH284" s="451">
        <v>53052</v>
      </c>
      <c r="CI284" s="451">
        <v>0</v>
      </c>
      <c r="CJ284" s="451">
        <v>0</v>
      </c>
      <c r="CK284" s="451">
        <v>53052</v>
      </c>
      <c r="CL284" s="451">
        <v>2387</v>
      </c>
      <c r="CM284" s="451">
        <v>0</v>
      </c>
      <c r="CN284" s="451">
        <v>0</v>
      </c>
      <c r="CO284" s="451">
        <v>2387</v>
      </c>
      <c r="CP284" s="451">
        <v>18453</v>
      </c>
      <c r="CQ284" s="451">
        <v>0</v>
      </c>
      <c r="CR284" s="451">
        <v>0</v>
      </c>
      <c r="CS284" s="451">
        <v>18453</v>
      </c>
      <c r="CT284" s="451">
        <v>0</v>
      </c>
      <c r="CU284" s="451">
        <v>0</v>
      </c>
      <c r="CV284" s="451">
        <v>0</v>
      </c>
      <c r="CW284" s="451">
        <v>0</v>
      </c>
      <c r="CX284" s="451">
        <v>43214</v>
      </c>
      <c r="CY284" s="451">
        <v>0</v>
      </c>
      <c r="CZ284" s="451">
        <v>0</v>
      </c>
      <c r="DA284" s="451">
        <v>43214</v>
      </c>
      <c r="DB284" s="451">
        <v>4884</v>
      </c>
      <c r="DC284" s="451">
        <v>0</v>
      </c>
      <c r="DD284" s="451">
        <v>0</v>
      </c>
      <c r="DE284" s="451">
        <v>4884</v>
      </c>
      <c r="DF284" s="451">
        <v>20675</v>
      </c>
      <c r="DG284" s="451">
        <v>0</v>
      </c>
      <c r="DH284" s="451">
        <v>0</v>
      </c>
      <c r="DI284" s="451">
        <v>20675</v>
      </c>
      <c r="DJ284" s="451">
        <v>-790</v>
      </c>
      <c r="DK284" s="451">
        <v>0</v>
      </c>
      <c r="DL284" s="451">
        <v>0</v>
      </c>
      <c r="DM284" s="451">
        <v>-790</v>
      </c>
      <c r="DN284" s="451">
        <v>0</v>
      </c>
      <c r="DO284" s="451">
        <v>0</v>
      </c>
      <c r="DP284" s="451">
        <v>0</v>
      </c>
      <c r="DQ284" s="451">
        <v>0</v>
      </c>
      <c r="DR284" s="451">
        <v>0</v>
      </c>
      <c r="DS284" s="451">
        <v>0</v>
      </c>
      <c r="DT284" s="451">
        <v>0</v>
      </c>
      <c r="DU284" s="451">
        <v>0</v>
      </c>
      <c r="DV284" s="451">
        <v>0</v>
      </c>
      <c r="DW284" s="451">
        <v>0</v>
      </c>
      <c r="DX284" s="451">
        <v>0</v>
      </c>
      <c r="DY284" s="451">
        <v>0</v>
      </c>
      <c r="DZ284" s="451">
        <v>0</v>
      </c>
      <c r="EA284" s="451">
        <v>0</v>
      </c>
      <c r="EB284" s="451">
        <v>0</v>
      </c>
      <c r="EC284" s="451">
        <v>0</v>
      </c>
      <c r="ED284" s="451">
        <v>0</v>
      </c>
      <c r="EE284" s="451">
        <v>0</v>
      </c>
      <c r="EF284" s="451">
        <v>0</v>
      </c>
      <c r="EG284" s="451">
        <v>0</v>
      </c>
      <c r="EH284" s="451">
        <v>0</v>
      </c>
      <c r="EI284" s="451">
        <v>0</v>
      </c>
      <c r="EJ284" s="451">
        <v>0</v>
      </c>
      <c r="EK284" s="451">
        <v>0</v>
      </c>
      <c r="EL284" s="451">
        <v>0</v>
      </c>
      <c r="EM284" s="451">
        <v>0</v>
      </c>
    </row>
    <row r="285" spans="1:143" ht="12.75" x14ac:dyDescent="0.2">
      <c r="A285" s="446">
        <v>279</v>
      </c>
      <c r="B285" s="447" t="s">
        <v>441</v>
      </c>
      <c r="C285" s="448" t="s">
        <v>1093</v>
      </c>
      <c r="D285" s="449" t="s">
        <v>1102</v>
      </c>
      <c r="E285" s="450" t="s">
        <v>440</v>
      </c>
      <c r="F285" s="451">
        <v>51194.96</v>
      </c>
      <c r="G285" s="451">
        <v>0</v>
      </c>
      <c r="H285" s="451">
        <v>0</v>
      </c>
      <c r="I285" s="451">
        <v>51194.96</v>
      </c>
      <c r="J285" s="451">
        <v>-49031.25</v>
      </c>
      <c r="K285" s="451">
        <v>0</v>
      </c>
      <c r="L285" s="451">
        <v>0</v>
      </c>
      <c r="M285" s="451">
        <v>-49031.25</v>
      </c>
      <c r="N285" s="451">
        <v>12843</v>
      </c>
      <c r="O285" s="451">
        <v>0</v>
      </c>
      <c r="P285" s="451">
        <v>0</v>
      </c>
      <c r="Q285" s="451">
        <v>12843</v>
      </c>
      <c r="R285" s="451">
        <v>39919</v>
      </c>
      <c r="S285" s="451">
        <v>0</v>
      </c>
      <c r="T285" s="451">
        <v>0</v>
      </c>
      <c r="U285" s="451">
        <v>39919</v>
      </c>
      <c r="V285" s="451">
        <v>1605095.2</v>
      </c>
      <c r="W285" s="451">
        <v>0</v>
      </c>
      <c r="X285" s="451">
        <v>0</v>
      </c>
      <c r="Y285" s="451">
        <v>1605095.2</v>
      </c>
      <c r="Z285" s="451">
        <v>55239.18</v>
      </c>
      <c r="AA285" s="451">
        <v>0</v>
      </c>
      <c r="AB285" s="451">
        <v>0</v>
      </c>
      <c r="AC285" s="451">
        <v>55239.18</v>
      </c>
      <c r="AD285" s="451">
        <v>653534.19999999995</v>
      </c>
      <c r="AE285" s="451">
        <v>0</v>
      </c>
      <c r="AF285" s="451">
        <v>0</v>
      </c>
      <c r="AG285" s="451">
        <v>653534.19999999995</v>
      </c>
      <c r="AH285" s="451">
        <v>11546.49</v>
      </c>
      <c r="AI285" s="451">
        <v>0</v>
      </c>
      <c r="AJ285" s="451">
        <v>0</v>
      </c>
      <c r="AK285" s="451">
        <v>11546.49</v>
      </c>
      <c r="AL285" s="451">
        <v>1088348.3500000001</v>
      </c>
      <c r="AM285" s="451">
        <v>0</v>
      </c>
      <c r="AN285" s="451">
        <v>0</v>
      </c>
      <c r="AO285" s="451">
        <v>1088348.3500000001</v>
      </c>
      <c r="AP285" s="451">
        <v>-4856.59</v>
      </c>
      <c r="AQ285" s="451">
        <v>0</v>
      </c>
      <c r="AR285" s="451">
        <v>0</v>
      </c>
      <c r="AS285" s="451">
        <v>-4856.59</v>
      </c>
      <c r="AT285" s="451">
        <v>33080.120000000003</v>
      </c>
      <c r="AU285" s="451">
        <v>0</v>
      </c>
      <c r="AV285" s="451">
        <v>0</v>
      </c>
      <c r="AW285" s="451">
        <v>33080.120000000003</v>
      </c>
      <c r="AX285" s="451">
        <v>621.78</v>
      </c>
      <c r="AY285" s="451">
        <v>0</v>
      </c>
      <c r="AZ285" s="451">
        <v>0</v>
      </c>
      <c r="BA285" s="451">
        <v>621.78</v>
      </c>
      <c r="BB285" s="451">
        <v>7024.98</v>
      </c>
      <c r="BC285" s="451">
        <v>0</v>
      </c>
      <c r="BD285" s="451">
        <v>0</v>
      </c>
      <c r="BE285" s="451">
        <v>7024.98</v>
      </c>
      <c r="BF285" s="451">
        <v>0</v>
      </c>
      <c r="BG285" s="451">
        <v>0</v>
      </c>
      <c r="BH285" s="451">
        <v>0</v>
      </c>
      <c r="BI285" s="451">
        <v>0</v>
      </c>
      <c r="BJ285" s="451">
        <v>13975.26</v>
      </c>
      <c r="BK285" s="451">
        <v>0</v>
      </c>
      <c r="BL285" s="451">
        <v>0</v>
      </c>
      <c r="BM285" s="451">
        <v>13975.26</v>
      </c>
      <c r="BN285" s="451">
        <v>-53246.02</v>
      </c>
      <c r="BO285" s="451">
        <v>0</v>
      </c>
      <c r="BP285" s="451">
        <v>0</v>
      </c>
      <c r="BQ285" s="451">
        <v>-53246.02</v>
      </c>
      <c r="BR285" s="451">
        <v>710735</v>
      </c>
      <c r="BS285" s="451">
        <v>0</v>
      </c>
      <c r="BT285" s="451">
        <v>0</v>
      </c>
      <c r="BU285" s="451">
        <v>710735</v>
      </c>
      <c r="BV285" s="451">
        <v>375947.08</v>
      </c>
      <c r="BW285" s="451">
        <v>0</v>
      </c>
      <c r="BX285" s="451">
        <v>0</v>
      </c>
      <c r="BY285" s="451">
        <v>375947.08</v>
      </c>
      <c r="BZ285" s="451">
        <v>40941.660000000003</v>
      </c>
      <c r="CA285" s="451">
        <v>0</v>
      </c>
      <c r="CB285" s="451">
        <v>0</v>
      </c>
      <c r="CC285" s="451">
        <v>40941.660000000003</v>
      </c>
      <c r="CD285" s="451">
        <v>-2103.39</v>
      </c>
      <c r="CE285" s="451">
        <v>0</v>
      </c>
      <c r="CF285" s="451">
        <v>0</v>
      </c>
      <c r="CG285" s="451">
        <v>-2103.39</v>
      </c>
      <c r="CH285" s="451">
        <v>4806.6499999999996</v>
      </c>
      <c r="CI285" s="451">
        <v>0</v>
      </c>
      <c r="CJ285" s="451">
        <v>0</v>
      </c>
      <c r="CK285" s="451">
        <v>4806.6499999999996</v>
      </c>
      <c r="CL285" s="451">
        <v>4046</v>
      </c>
      <c r="CM285" s="451">
        <v>0</v>
      </c>
      <c r="CN285" s="451">
        <v>0</v>
      </c>
      <c r="CO285" s="451">
        <v>4046</v>
      </c>
      <c r="CP285" s="451">
        <v>357.96</v>
      </c>
      <c r="CQ285" s="451">
        <v>0</v>
      </c>
      <c r="CR285" s="451">
        <v>0</v>
      </c>
      <c r="CS285" s="451">
        <v>357.96</v>
      </c>
      <c r="CT285" s="451">
        <v>155.44</v>
      </c>
      <c r="CU285" s="451">
        <v>0</v>
      </c>
      <c r="CV285" s="451">
        <v>0</v>
      </c>
      <c r="CW285" s="451">
        <v>155.44</v>
      </c>
      <c r="CX285" s="451">
        <v>2738.86</v>
      </c>
      <c r="CY285" s="451">
        <v>0</v>
      </c>
      <c r="CZ285" s="451">
        <v>0</v>
      </c>
      <c r="DA285" s="451">
        <v>2738.86</v>
      </c>
      <c r="DB285" s="451">
        <v>0</v>
      </c>
      <c r="DC285" s="451">
        <v>0</v>
      </c>
      <c r="DD285" s="451">
        <v>0</v>
      </c>
      <c r="DE285" s="451">
        <v>0</v>
      </c>
      <c r="DF285" s="451">
        <v>0</v>
      </c>
      <c r="DG285" s="451">
        <v>0</v>
      </c>
      <c r="DH285" s="451">
        <v>0</v>
      </c>
      <c r="DI285" s="451">
        <v>0</v>
      </c>
      <c r="DJ285" s="451">
        <v>0</v>
      </c>
      <c r="DK285" s="451">
        <v>0</v>
      </c>
      <c r="DL285" s="451">
        <v>0</v>
      </c>
      <c r="DM285" s="451">
        <v>0</v>
      </c>
      <c r="DN285" s="451">
        <v>0</v>
      </c>
      <c r="DO285" s="451">
        <v>0</v>
      </c>
      <c r="DP285" s="451">
        <v>0</v>
      </c>
      <c r="DQ285" s="451">
        <v>0</v>
      </c>
      <c r="DR285" s="451">
        <v>0</v>
      </c>
      <c r="DS285" s="451">
        <v>0</v>
      </c>
      <c r="DT285" s="451">
        <v>0</v>
      </c>
      <c r="DU285" s="451">
        <v>0</v>
      </c>
      <c r="DV285" s="451">
        <v>0</v>
      </c>
      <c r="DW285" s="451">
        <v>0</v>
      </c>
      <c r="DX285" s="451">
        <v>0</v>
      </c>
      <c r="DY285" s="451">
        <v>0</v>
      </c>
      <c r="DZ285" s="451">
        <v>0</v>
      </c>
      <c r="EA285" s="451">
        <v>0</v>
      </c>
      <c r="EB285" s="451">
        <v>2149</v>
      </c>
      <c r="EC285" s="451">
        <v>0</v>
      </c>
      <c r="ED285" s="451">
        <v>0</v>
      </c>
      <c r="EE285" s="451">
        <v>2149</v>
      </c>
      <c r="EF285" s="451">
        <v>0</v>
      </c>
      <c r="EG285" s="451">
        <v>0</v>
      </c>
      <c r="EH285" s="451">
        <v>0</v>
      </c>
      <c r="EI285" s="451">
        <v>0</v>
      </c>
      <c r="EJ285" s="451">
        <v>0</v>
      </c>
      <c r="EK285" s="451">
        <v>0</v>
      </c>
      <c r="EL285" s="451">
        <v>0</v>
      </c>
      <c r="EM285" s="451">
        <v>0</v>
      </c>
    </row>
    <row r="286" spans="1:143" ht="12.75" x14ac:dyDescent="0.2">
      <c r="A286" s="446">
        <v>280</v>
      </c>
      <c r="B286" s="447" t="s">
        <v>443</v>
      </c>
      <c r="C286" s="448" t="s">
        <v>1093</v>
      </c>
      <c r="D286" s="449" t="s">
        <v>1094</v>
      </c>
      <c r="E286" s="450" t="s">
        <v>442</v>
      </c>
      <c r="F286" s="451">
        <v>159151.79999999999</v>
      </c>
      <c r="G286" s="451">
        <v>0</v>
      </c>
      <c r="H286" s="451">
        <v>0</v>
      </c>
      <c r="I286" s="451">
        <v>159151.79999999999</v>
      </c>
      <c r="J286" s="451">
        <v>-189540.4</v>
      </c>
      <c r="K286" s="451">
        <v>0</v>
      </c>
      <c r="L286" s="451">
        <v>0</v>
      </c>
      <c r="M286" s="451">
        <v>-189540.4</v>
      </c>
      <c r="N286" s="451">
        <v>15958.8</v>
      </c>
      <c r="O286" s="451">
        <v>0</v>
      </c>
      <c r="P286" s="451">
        <v>0</v>
      </c>
      <c r="Q286" s="451">
        <v>15958.8</v>
      </c>
      <c r="R286" s="451">
        <v>122320.39</v>
      </c>
      <c r="S286" s="451">
        <v>0</v>
      </c>
      <c r="T286" s="451">
        <v>0</v>
      </c>
      <c r="U286" s="451">
        <v>122320.39</v>
      </c>
      <c r="V286" s="451">
        <v>3338812.42</v>
      </c>
      <c r="W286" s="451">
        <v>0</v>
      </c>
      <c r="X286" s="451">
        <v>0</v>
      </c>
      <c r="Y286" s="451">
        <v>3338812.42</v>
      </c>
      <c r="Z286" s="451">
        <v>161037.09</v>
      </c>
      <c r="AA286" s="451">
        <v>0</v>
      </c>
      <c r="AB286" s="451">
        <v>0</v>
      </c>
      <c r="AC286" s="451">
        <v>161037.09</v>
      </c>
      <c r="AD286" s="451">
        <v>635769.97</v>
      </c>
      <c r="AE286" s="451">
        <v>0</v>
      </c>
      <c r="AF286" s="451">
        <v>0</v>
      </c>
      <c r="AG286" s="451">
        <v>635769.97</v>
      </c>
      <c r="AH286" s="451">
        <v>-25307.56</v>
      </c>
      <c r="AI286" s="451">
        <v>0</v>
      </c>
      <c r="AJ286" s="451">
        <v>0</v>
      </c>
      <c r="AK286" s="451">
        <v>-25307.56</v>
      </c>
      <c r="AL286" s="451">
        <v>3398978.4</v>
      </c>
      <c r="AM286" s="451">
        <v>0</v>
      </c>
      <c r="AN286" s="451">
        <v>0</v>
      </c>
      <c r="AO286" s="451">
        <v>3398978.4</v>
      </c>
      <c r="AP286" s="451">
        <v>382768.59</v>
      </c>
      <c r="AQ286" s="451">
        <v>0</v>
      </c>
      <c r="AR286" s="451">
        <v>0</v>
      </c>
      <c r="AS286" s="451">
        <v>382768.59</v>
      </c>
      <c r="AT286" s="451">
        <v>36860.080000000002</v>
      </c>
      <c r="AU286" s="451">
        <v>0</v>
      </c>
      <c r="AV286" s="451">
        <v>0</v>
      </c>
      <c r="AW286" s="451">
        <v>36860.080000000002</v>
      </c>
      <c r="AX286" s="451">
        <v>0</v>
      </c>
      <c r="AY286" s="451">
        <v>0</v>
      </c>
      <c r="AZ286" s="451">
        <v>0</v>
      </c>
      <c r="BA286" s="451">
        <v>0</v>
      </c>
      <c r="BB286" s="451">
        <v>4980.84</v>
      </c>
      <c r="BC286" s="451">
        <v>0</v>
      </c>
      <c r="BD286" s="451">
        <v>0</v>
      </c>
      <c r="BE286" s="451">
        <v>4980.84</v>
      </c>
      <c r="BF286" s="451">
        <v>0</v>
      </c>
      <c r="BG286" s="451">
        <v>0</v>
      </c>
      <c r="BH286" s="451">
        <v>0</v>
      </c>
      <c r="BI286" s="451">
        <v>0</v>
      </c>
      <c r="BJ286" s="451">
        <v>2363.14</v>
      </c>
      <c r="BK286" s="451">
        <v>0</v>
      </c>
      <c r="BL286" s="451">
        <v>0</v>
      </c>
      <c r="BM286" s="451">
        <v>2363.14</v>
      </c>
      <c r="BN286" s="451">
        <v>-2090.41</v>
      </c>
      <c r="BO286" s="451">
        <v>0</v>
      </c>
      <c r="BP286" s="451">
        <v>0</v>
      </c>
      <c r="BQ286" s="451">
        <v>-2090.41</v>
      </c>
      <c r="BR286" s="451">
        <v>1173583.79</v>
      </c>
      <c r="BS286" s="451">
        <v>0</v>
      </c>
      <c r="BT286" s="451">
        <v>0</v>
      </c>
      <c r="BU286" s="451">
        <v>1173583.79</v>
      </c>
      <c r="BV286" s="451">
        <v>93362.72</v>
      </c>
      <c r="BW286" s="451">
        <v>0</v>
      </c>
      <c r="BX286" s="451">
        <v>0</v>
      </c>
      <c r="BY286" s="451">
        <v>93362.72</v>
      </c>
      <c r="BZ286" s="451">
        <v>147752.29</v>
      </c>
      <c r="CA286" s="451">
        <v>0</v>
      </c>
      <c r="CB286" s="451">
        <v>0</v>
      </c>
      <c r="CC286" s="451">
        <v>147752.29</v>
      </c>
      <c r="CD286" s="451">
        <v>953.26</v>
      </c>
      <c r="CE286" s="451">
        <v>0</v>
      </c>
      <c r="CF286" s="451">
        <v>0</v>
      </c>
      <c r="CG286" s="451">
        <v>953.26</v>
      </c>
      <c r="CH286" s="451">
        <v>30791.47</v>
      </c>
      <c r="CI286" s="451">
        <v>0</v>
      </c>
      <c r="CJ286" s="451">
        <v>0</v>
      </c>
      <c r="CK286" s="451">
        <v>30791.47</v>
      </c>
      <c r="CL286" s="451">
        <v>-3472.69</v>
      </c>
      <c r="CM286" s="451">
        <v>0</v>
      </c>
      <c r="CN286" s="451">
        <v>0</v>
      </c>
      <c r="CO286" s="451">
        <v>-3472.69</v>
      </c>
      <c r="CP286" s="451">
        <v>0</v>
      </c>
      <c r="CQ286" s="451">
        <v>0</v>
      </c>
      <c r="CR286" s="451">
        <v>0</v>
      </c>
      <c r="CS286" s="451">
        <v>0</v>
      </c>
      <c r="CT286" s="451">
        <v>0</v>
      </c>
      <c r="CU286" s="451">
        <v>0</v>
      </c>
      <c r="CV286" s="451">
        <v>0</v>
      </c>
      <c r="CW286" s="451">
        <v>0</v>
      </c>
      <c r="CX286" s="451">
        <v>718.27</v>
      </c>
      <c r="CY286" s="451">
        <v>0</v>
      </c>
      <c r="CZ286" s="451">
        <v>0</v>
      </c>
      <c r="DA286" s="451">
        <v>718.27</v>
      </c>
      <c r="DB286" s="451">
        <v>0</v>
      </c>
      <c r="DC286" s="451">
        <v>0</v>
      </c>
      <c r="DD286" s="451">
        <v>0</v>
      </c>
      <c r="DE286" s="451">
        <v>0</v>
      </c>
      <c r="DF286" s="451">
        <v>0</v>
      </c>
      <c r="DG286" s="451">
        <v>0</v>
      </c>
      <c r="DH286" s="451">
        <v>0</v>
      </c>
      <c r="DI286" s="451">
        <v>0</v>
      </c>
      <c r="DJ286" s="451">
        <v>0</v>
      </c>
      <c r="DK286" s="451">
        <v>0</v>
      </c>
      <c r="DL286" s="451">
        <v>0</v>
      </c>
      <c r="DM286" s="451">
        <v>0</v>
      </c>
      <c r="DN286" s="451">
        <v>0</v>
      </c>
      <c r="DO286" s="451">
        <v>0</v>
      </c>
      <c r="DP286" s="451">
        <v>0</v>
      </c>
      <c r="DQ286" s="451">
        <v>0</v>
      </c>
      <c r="DR286" s="451">
        <v>0</v>
      </c>
      <c r="DS286" s="451">
        <v>0</v>
      </c>
      <c r="DT286" s="451">
        <v>0</v>
      </c>
      <c r="DU286" s="451">
        <v>0</v>
      </c>
      <c r="DV286" s="451">
        <v>0</v>
      </c>
      <c r="DW286" s="451">
        <v>0</v>
      </c>
      <c r="DX286" s="451">
        <v>0</v>
      </c>
      <c r="DY286" s="451">
        <v>0</v>
      </c>
      <c r="DZ286" s="451">
        <v>0</v>
      </c>
      <c r="EA286" s="451">
        <v>0</v>
      </c>
      <c r="EB286" s="451">
        <v>0</v>
      </c>
      <c r="EC286" s="451">
        <v>0</v>
      </c>
      <c r="ED286" s="451">
        <v>0</v>
      </c>
      <c r="EE286" s="451">
        <v>0</v>
      </c>
      <c r="EF286" s="451">
        <v>0</v>
      </c>
      <c r="EG286" s="451">
        <v>0</v>
      </c>
      <c r="EH286" s="451">
        <v>0</v>
      </c>
      <c r="EI286" s="451">
        <v>0</v>
      </c>
      <c r="EJ286" s="451">
        <v>0</v>
      </c>
      <c r="EK286" s="451">
        <v>0</v>
      </c>
      <c r="EL286" s="451">
        <v>0</v>
      </c>
      <c r="EM286" s="451">
        <v>0</v>
      </c>
    </row>
    <row r="287" spans="1:143" ht="12.75" x14ac:dyDescent="0.2">
      <c r="A287" s="446">
        <v>281</v>
      </c>
      <c r="B287" s="447" t="s">
        <v>445</v>
      </c>
      <c r="C287" s="448" t="s">
        <v>1093</v>
      </c>
      <c r="D287" s="449" t="s">
        <v>1097</v>
      </c>
      <c r="E287" s="450" t="s">
        <v>444</v>
      </c>
      <c r="F287" s="451">
        <v>67773</v>
      </c>
      <c r="G287" s="451">
        <v>0</v>
      </c>
      <c r="H287" s="451">
        <v>0</v>
      </c>
      <c r="I287" s="451">
        <v>67773</v>
      </c>
      <c r="J287" s="451">
        <v>-62986</v>
      </c>
      <c r="K287" s="451">
        <v>0</v>
      </c>
      <c r="L287" s="451">
        <v>0</v>
      </c>
      <c r="M287" s="451">
        <v>-62986</v>
      </c>
      <c r="N287" s="451">
        <v>292786</v>
      </c>
      <c r="O287" s="451">
        <v>0</v>
      </c>
      <c r="P287" s="451">
        <v>0</v>
      </c>
      <c r="Q287" s="451">
        <v>292786</v>
      </c>
      <c r="R287" s="451">
        <v>-402535</v>
      </c>
      <c r="S287" s="451">
        <v>0</v>
      </c>
      <c r="T287" s="451">
        <v>0</v>
      </c>
      <c r="U287" s="451">
        <v>-402535</v>
      </c>
      <c r="V287" s="451">
        <v>874437</v>
      </c>
      <c r="W287" s="451">
        <v>0</v>
      </c>
      <c r="X287" s="451">
        <v>0</v>
      </c>
      <c r="Y287" s="451">
        <v>874437</v>
      </c>
      <c r="Z287" s="451">
        <v>47036</v>
      </c>
      <c r="AA287" s="451">
        <v>0</v>
      </c>
      <c r="AB287" s="451">
        <v>0</v>
      </c>
      <c r="AC287" s="451">
        <v>47036</v>
      </c>
      <c r="AD287" s="451">
        <v>542662</v>
      </c>
      <c r="AE287" s="451">
        <v>0</v>
      </c>
      <c r="AF287" s="451">
        <v>0</v>
      </c>
      <c r="AG287" s="451">
        <v>542662</v>
      </c>
      <c r="AH287" s="451">
        <v>-6661</v>
      </c>
      <c r="AI287" s="451">
        <v>0</v>
      </c>
      <c r="AJ287" s="451">
        <v>0</v>
      </c>
      <c r="AK287" s="451">
        <v>-6661</v>
      </c>
      <c r="AL287" s="451">
        <v>2200285</v>
      </c>
      <c r="AM287" s="451">
        <v>0</v>
      </c>
      <c r="AN287" s="451">
        <v>0</v>
      </c>
      <c r="AO287" s="451">
        <v>2200285</v>
      </c>
      <c r="AP287" s="451">
        <v>-100192</v>
      </c>
      <c r="AQ287" s="451">
        <v>0</v>
      </c>
      <c r="AR287" s="451">
        <v>0</v>
      </c>
      <c r="AS287" s="451">
        <v>-100192</v>
      </c>
      <c r="AT287" s="451">
        <v>25396</v>
      </c>
      <c r="AU287" s="451">
        <v>0</v>
      </c>
      <c r="AV287" s="451">
        <v>0</v>
      </c>
      <c r="AW287" s="451">
        <v>25396</v>
      </c>
      <c r="AX287" s="451">
        <v>0</v>
      </c>
      <c r="AY287" s="451">
        <v>0</v>
      </c>
      <c r="AZ287" s="451">
        <v>0</v>
      </c>
      <c r="BA287" s="451">
        <v>0</v>
      </c>
      <c r="BB287" s="451">
        <v>2897</v>
      </c>
      <c r="BC287" s="451">
        <v>0</v>
      </c>
      <c r="BD287" s="451">
        <v>0</v>
      </c>
      <c r="BE287" s="451">
        <v>2897</v>
      </c>
      <c r="BF287" s="451">
        <v>-66</v>
      </c>
      <c r="BG287" s="451">
        <v>0</v>
      </c>
      <c r="BH287" s="451">
        <v>0</v>
      </c>
      <c r="BI287" s="451">
        <v>-66</v>
      </c>
      <c r="BJ287" s="451">
        <v>14915</v>
      </c>
      <c r="BK287" s="451">
        <v>0</v>
      </c>
      <c r="BL287" s="451">
        <v>0</v>
      </c>
      <c r="BM287" s="451">
        <v>14915</v>
      </c>
      <c r="BN287" s="451">
        <v>195443</v>
      </c>
      <c r="BO287" s="451">
        <v>0</v>
      </c>
      <c r="BP287" s="451">
        <v>0</v>
      </c>
      <c r="BQ287" s="451">
        <v>195443</v>
      </c>
      <c r="BR287" s="451">
        <v>1244041</v>
      </c>
      <c r="BS287" s="451">
        <v>0</v>
      </c>
      <c r="BT287" s="451">
        <v>0</v>
      </c>
      <c r="BU287" s="451">
        <v>1244041</v>
      </c>
      <c r="BV287" s="451">
        <v>56158</v>
      </c>
      <c r="BW287" s="451">
        <v>0</v>
      </c>
      <c r="BX287" s="451">
        <v>0</v>
      </c>
      <c r="BY287" s="451">
        <v>56158</v>
      </c>
      <c r="BZ287" s="451">
        <v>102058</v>
      </c>
      <c r="CA287" s="451">
        <v>0</v>
      </c>
      <c r="CB287" s="451">
        <v>0</v>
      </c>
      <c r="CC287" s="451">
        <v>102058</v>
      </c>
      <c r="CD287" s="451">
        <v>-421</v>
      </c>
      <c r="CE287" s="451">
        <v>0</v>
      </c>
      <c r="CF287" s="451">
        <v>0</v>
      </c>
      <c r="CG287" s="451">
        <v>-421</v>
      </c>
      <c r="CH287" s="451">
        <v>139415</v>
      </c>
      <c r="CI287" s="451">
        <v>0</v>
      </c>
      <c r="CJ287" s="451">
        <v>0</v>
      </c>
      <c r="CK287" s="451">
        <v>139415</v>
      </c>
      <c r="CL287" s="451">
        <v>0</v>
      </c>
      <c r="CM287" s="451">
        <v>0</v>
      </c>
      <c r="CN287" s="451">
        <v>0</v>
      </c>
      <c r="CO287" s="451">
        <v>0</v>
      </c>
      <c r="CP287" s="451">
        <v>6349</v>
      </c>
      <c r="CQ287" s="451">
        <v>0</v>
      </c>
      <c r="CR287" s="451">
        <v>0</v>
      </c>
      <c r="CS287" s="451">
        <v>6349</v>
      </c>
      <c r="CT287" s="451">
        <v>0</v>
      </c>
      <c r="CU287" s="451">
        <v>0</v>
      </c>
      <c r="CV287" s="451">
        <v>0</v>
      </c>
      <c r="CW287" s="451">
        <v>0</v>
      </c>
      <c r="CX287" s="451">
        <v>2897</v>
      </c>
      <c r="CY287" s="451">
        <v>0</v>
      </c>
      <c r="CZ287" s="451">
        <v>0</v>
      </c>
      <c r="DA287" s="451">
        <v>2897</v>
      </c>
      <c r="DB287" s="451">
        <v>-65.91</v>
      </c>
      <c r="DC287" s="451">
        <v>0</v>
      </c>
      <c r="DD287" s="451">
        <v>0</v>
      </c>
      <c r="DE287" s="451">
        <v>-65.91</v>
      </c>
      <c r="DF287" s="451">
        <v>0</v>
      </c>
      <c r="DG287" s="451">
        <v>0</v>
      </c>
      <c r="DH287" s="451">
        <v>0</v>
      </c>
      <c r="DI287" s="451">
        <v>0</v>
      </c>
      <c r="DJ287" s="451">
        <v>0</v>
      </c>
      <c r="DK287" s="451">
        <v>0</v>
      </c>
      <c r="DL287" s="451">
        <v>0</v>
      </c>
      <c r="DM287" s="451">
        <v>0</v>
      </c>
      <c r="DN287" s="451">
        <v>0</v>
      </c>
      <c r="DO287" s="451">
        <v>0</v>
      </c>
      <c r="DP287" s="451">
        <v>0</v>
      </c>
      <c r="DQ287" s="451">
        <v>0</v>
      </c>
      <c r="DR287" s="451">
        <v>0</v>
      </c>
      <c r="DS287" s="451">
        <v>0</v>
      </c>
      <c r="DT287" s="451">
        <v>0</v>
      </c>
      <c r="DU287" s="451">
        <v>0</v>
      </c>
      <c r="DV287" s="451">
        <v>0</v>
      </c>
      <c r="DW287" s="451">
        <v>0</v>
      </c>
      <c r="DX287" s="451">
        <v>0</v>
      </c>
      <c r="DY287" s="451">
        <v>0</v>
      </c>
      <c r="DZ287" s="451">
        <v>0</v>
      </c>
      <c r="EA287" s="451">
        <v>0</v>
      </c>
      <c r="EB287" s="451">
        <v>0</v>
      </c>
      <c r="EC287" s="451">
        <v>0</v>
      </c>
      <c r="ED287" s="451">
        <v>0</v>
      </c>
      <c r="EE287" s="451">
        <v>0</v>
      </c>
      <c r="EF287" s="451">
        <v>0</v>
      </c>
      <c r="EG287" s="451">
        <v>0</v>
      </c>
      <c r="EH287" s="451">
        <v>0</v>
      </c>
      <c r="EI287" s="451">
        <v>0</v>
      </c>
      <c r="EJ287" s="451">
        <v>0</v>
      </c>
      <c r="EK287" s="451">
        <v>0</v>
      </c>
      <c r="EL287" s="451">
        <v>0</v>
      </c>
      <c r="EM287" s="451">
        <v>0</v>
      </c>
    </row>
    <row r="288" spans="1:143" ht="12.75" x14ac:dyDescent="0.2">
      <c r="A288" s="446">
        <v>282</v>
      </c>
      <c r="B288" s="447" t="s">
        <v>447</v>
      </c>
      <c r="C288" s="448" t="s">
        <v>794</v>
      </c>
      <c r="D288" s="449" t="s">
        <v>1097</v>
      </c>
      <c r="E288" s="450" t="s">
        <v>751</v>
      </c>
      <c r="F288" s="451">
        <v>1239064</v>
      </c>
      <c r="G288" s="451">
        <v>0</v>
      </c>
      <c r="H288" s="451">
        <v>0</v>
      </c>
      <c r="I288" s="451">
        <v>1239064</v>
      </c>
      <c r="J288" s="451">
        <v>-76817</v>
      </c>
      <c r="K288" s="451">
        <v>0</v>
      </c>
      <c r="L288" s="451">
        <v>0</v>
      </c>
      <c r="M288" s="451">
        <v>-76817</v>
      </c>
      <c r="N288" s="451">
        <v>52221</v>
      </c>
      <c r="O288" s="451">
        <v>0</v>
      </c>
      <c r="P288" s="451">
        <v>0</v>
      </c>
      <c r="Q288" s="451">
        <v>52221</v>
      </c>
      <c r="R288" s="451">
        <v>39498</v>
      </c>
      <c r="S288" s="451">
        <v>0</v>
      </c>
      <c r="T288" s="451">
        <v>0</v>
      </c>
      <c r="U288" s="451">
        <v>39498</v>
      </c>
      <c r="V288" s="451">
        <v>1835219</v>
      </c>
      <c r="W288" s="451">
        <v>0</v>
      </c>
      <c r="X288" s="451">
        <v>0</v>
      </c>
      <c r="Y288" s="451">
        <v>1835219</v>
      </c>
      <c r="Z288" s="451">
        <v>173605</v>
      </c>
      <c r="AA288" s="451">
        <v>0</v>
      </c>
      <c r="AB288" s="451">
        <v>0</v>
      </c>
      <c r="AC288" s="451">
        <v>173605</v>
      </c>
      <c r="AD288" s="451">
        <v>2228643</v>
      </c>
      <c r="AE288" s="451">
        <v>0</v>
      </c>
      <c r="AF288" s="451">
        <v>0</v>
      </c>
      <c r="AG288" s="451">
        <v>2228643</v>
      </c>
      <c r="AH288" s="451">
        <v>44530</v>
      </c>
      <c r="AI288" s="451">
        <v>0</v>
      </c>
      <c r="AJ288" s="451">
        <v>0</v>
      </c>
      <c r="AK288" s="451">
        <v>44530</v>
      </c>
      <c r="AL288" s="451">
        <v>2836033</v>
      </c>
      <c r="AM288" s="451">
        <v>0</v>
      </c>
      <c r="AN288" s="451">
        <v>0</v>
      </c>
      <c r="AO288" s="451">
        <v>2836033</v>
      </c>
      <c r="AP288" s="451">
        <v>87671</v>
      </c>
      <c r="AQ288" s="451">
        <v>0</v>
      </c>
      <c r="AR288" s="451">
        <v>0</v>
      </c>
      <c r="AS288" s="451">
        <v>87671</v>
      </c>
      <c r="AT288" s="451">
        <v>33111</v>
      </c>
      <c r="AU288" s="451">
        <v>0</v>
      </c>
      <c r="AV288" s="451">
        <v>0</v>
      </c>
      <c r="AW288" s="451">
        <v>33111</v>
      </c>
      <c r="AX288" s="451">
        <v>0</v>
      </c>
      <c r="AY288" s="451">
        <v>0</v>
      </c>
      <c r="AZ288" s="451">
        <v>0</v>
      </c>
      <c r="BA288" s="451">
        <v>0</v>
      </c>
      <c r="BB288" s="451">
        <v>111</v>
      </c>
      <c r="BC288" s="451">
        <v>0</v>
      </c>
      <c r="BD288" s="451">
        <v>0</v>
      </c>
      <c r="BE288" s="451">
        <v>111</v>
      </c>
      <c r="BF288" s="451">
        <v>-1276</v>
      </c>
      <c r="BG288" s="451">
        <v>0</v>
      </c>
      <c r="BH288" s="451">
        <v>0</v>
      </c>
      <c r="BI288" s="451">
        <v>-1276</v>
      </c>
      <c r="BJ288" s="451">
        <v>1599406</v>
      </c>
      <c r="BK288" s="451">
        <v>0</v>
      </c>
      <c r="BL288" s="451">
        <v>0</v>
      </c>
      <c r="BM288" s="451">
        <v>1599406</v>
      </c>
      <c r="BN288" s="451">
        <v>-644.25</v>
      </c>
      <c r="BO288" s="451">
        <v>0</v>
      </c>
      <c r="BP288" s="451">
        <v>0</v>
      </c>
      <c r="BQ288" s="451">
        <v>-644.25</v>
      </c>
      <c r="BR288" s="451">
        <v>9743407.3599999994</v>
      </c>
      <c r="BS288" s="451">
        <v>0</v>
      </c>
      <c r="BT288" s="451">
        <v>0</v>
      </c>
      <c r="BU288" s="451">
        <v>9743407.3599999994</v>
      </c>
      <c r="BV288" s="451">
        <v>-482102</v>
      </c>
      <c r="BW288" s="451">
        <v>0</v>
      </c>
      <c r="BX288" s="451">
        <v>0</v>
      </c>
      <c r="BY288" s="451">
        <v>-482102</v>
      </c>
      <c r="BZ288" s="451">
        <v>40811</v>
      </c>
      <c r="CA288" s="451">
        <v>0</v>
      </c>
      <c r="CB288" s="451">
        <v>0</v>
      </c>
      <c r="CC288" s="451">
        <v>40811</v>
      </c>
      <c r="CD288" s="451">
        <v>-1249</v>
      </c>
      <c r="CE288" s="451">
        <v>0</v>
      </c>
      <c r="CF288" s="451">
        <v>0</v>
      </c>
      <c r="CG288" s="451">
        <v>-1249</v>
      </c>
      <c r="CH288" s="451">
        <v>25969</v>
      </c>
      <c r="CI288" s="451">
        <v>0</v>
      </c>
      <c r="CJ288" s="451">
        <v>0</v>
      </c>
      <c r="CK288" s="451">
        <v>25969</v>
      </c>
      <c r="CL288" s="451">
        <v>-6967</v>
      </c>
      <c r="CM288" s="451">
        <v>0</v>
      </c>
      <c r="CN288" s="451">
        <v>0</v>
      </c>
      <c r="CO288" s="451">
        <v>-6967</v>
      </c>
      <c r="CP288" s="451">
        <v>892</v>
      </c>
      <c r="CQ288" s="451">
        <v>0</v>
      </c>
      <c r="CR288" s="451">
        <v>0</v>
      </c>
      <c r="CS288" s="451">
        <v>892</v>
      </c>
      <c r="CT288" s="451">
        <v>0</v>
      </c>
      <c r="CU288" s="451">
        <v>0</v>
      </c>
      <c r="CV288" s="451">
        <v>0</v>
      </c>
      <c r="CW288" s="451">
        <v>0</v>
      </c>
      <c r="CX288" s="451">
        <v>0</v>
      </c>
      <c r="CY288" s="451">
        <v>0</v>
      </c>
      <c r="CZ288" s="451">
        <v>0</v>
      </c>
      <c r="DA288" s="451">
        <v>0</v>
      </c>
      <c r="DB288" s="451">
        <v>0</v>
      </c>
      <c r="DC288" s="451">
        <v>0</v>
      </c>
      <c r="DD288" s="451">
        <v>0</v>
      </c>
      <c r="DE288" s="451">
        <v>0</v>
      </c>
      <c r="DF288" s="451">
        <v>0</v>
      </c>
      <c r="DG288" s="451">
        <v>0</v>
      </c>
      <c r="DH288" s="451">
        <v>0</v>
      </c>
      <c r="DI288" s="451">
        <v>0</v>
      </c>
      <c r="DJ288" s="451">
        <v>0</v>
      </c>
      <c r="DK288" s="451">
        <v>0</v>
      </c>
      <c r="DL288" s="451">
        <v>0</v>
      </c>
      <c r="DM288" s="451">
        <v>0</v>
      </c>
      <c r="DN288" s="451">
        <v>0</v>
      </c>
      <c r="DO288" s="451">
        <v>0</v>
      </c>
      <c r="DP288" s="451">
        <v>0</v>
      </c>
      <c r="DQ288" s="451">
        <v>0</v>
      </c>
      <c r="DR288" s="451">
        <v>0</v>
      </c>
      <c r="DS288" s="451">
        <v>0</v>
      </c>
      <c r="DT288" s="451">
        <v>0</v>
      </c>
      <c r="DU288" s="451">
        <v>0</v>
      </c>
      <c r="DV288" s="451">
        <v>0</v>
      </c>
      <c r="DW288" s="451">
        <v>0</v>
      </c>
      <c r="DX288" s="451">
        <v>0</v>
      </c>
      <c r="DY288" s="451">
        <v>0</v>
      </c>
      <c r="DZ288" s="451">
        <v>0</v>
      </c>
      <c r="EA288" s="451">
        <v>0</v>
      </c>
      <c r="EB288" s="451">
        <v>11264</v>
      </c>
      <c r="EC288" s="451">
        <v>0</v>
      </c>
      <c r="ED288" s="451">
        <v>0</v>
      </c>
      <c r="EE288" s="451">
        <v>11264</v>
      </c>
      <c r="EF288" s="451">
        <v>11083</v>
      </c>
      <c r="EG288" s="451">
        <v>0</v>
      </c>
      <c r="EH288" s="451">
        <v>0</v>
      </c>
      <c r="EI288" s="451">
        <v>11083</v>
      </c>
      <c r="EJ288" s="451">
        <v>1574</v>
      </c>
      <c r="EK288" s="451">
        <v>0</v>
      </c>
      <c r="EL288" s="451">
        <v>0</v>
      </c>
      <c r="EM288" s="451">
        <v>1574</v>
      </c>
    </row>
    <row r="289" spans="1:143" ht="12.75" x14ac:dyDescent="0.2">
      <c r="A289" s="446">
        <v>283</v>
      </c>
      <c r="B289" s="447" t="s">
        <v>449</v>
      </c>
      <c r="C289" s="448" t="s">
        <v>1093</v>
      </c>
      <c r="D289" s="449" t="s">
        <v>1094</v>
      </c>
      <c r="E289" s="450" t="s">
        <v>752</v>
      </c>
      <c r="F289" s="451">
        <v>210274</v>
      </c>
      <c r="G289" s="451">
        <v>0</v>
      </c>
      <c r="H289" s="451">
        <v>0</v>
      </c>
      <c r="I289" s="451">
        <v>210274</v>
      </c>
      <c r="J289" s="451">
        <v>-190900</v>
      </c>
      <c r="K289" s="451">
        <v>0</v>
      </c>
      <c r="L289" s="451">
        <v>0</v>
      </c>
      <c r="M289" s="451">
        <v>-190900</v>
      </c>
      <c r="N289" s="451">
        <v>18430</v>
      </c>
      <c r="O289" s="451">
        <v>0</v>
      </c>
      <c r="P289" s="451">
        <v>0</v>
      </c>
      <c r="Q289" s="451">
        <v>18430</v>
      </c>
      <c r="R289" s="451">
        <v>422199</v>
      </c>
      <c r="S289" s="451">
        <v>0</v>
      </c>
      <c r="T289" s="451">
        <v>0</v>
      </c>
      <c r="U289" s="451">
        <v>422199</v>
      </c>
      <c r="V289" s="451">
        <v>1580725</v>
      </c>
      <c r="W289" s="451">
        <v>0</v>
      </c>
      <c r="X289" s="451">
        <v>0</v>
      </c>
      <c r="Y289" s="451">
        <v>1580725</v>
      </c>
      <c r="Z289" s="451">
        <v>162025</v>
      </c>
      <c r="AA289" s="451">
        <v>0</v>
      </c>
      <c r="AB289" s="451">
        <v>0</v>
      </c>
      <c r="AC289" s="451">
        <v>162025</v>
      </c>
      <c r="AD289" s="451">
        <v>1077625</v>
      </c>
      <c r="AE289" s="451">
        <v>0</v>
      </c>
      <c r="AF289" s="451">
        <v>0</v>
      </c>
      <c r="AG289" s="451">
        <v>1077625</v>
      </c>
      <c r="AH289" s="451">
        <v>3251</v>
      </c>
      <c r="AI289" s="451">
        <v>0</v>
      </c>
      <c r="AJ289" s="451">
        <v>0</v>
      </c>
      <c r="AK289" s="451">
        <v>3251</v>
      </c>
      <c r="AL289" s="451">
        <v>4319358</v>
      </c>
      <c r="AM289" s="451">
        <v>0</v>
      </c>
      <c r="AN289" s="451">
        <v>0</v>
      </c>
      <c r="AO289" s="451">
        <v>4319358</v>
      </c>
      <c r="AP289" s="451">
        <v>55424</v>
      </c>
      <c r="AQ289" s="451">
        <v>0</v>
      </c>
      <c r="AR289" s="451">
        <v>0</v>
      </c>
      <c r="AS289" s="451">
        <v>55424</v>
      </c>
      <c r="AT289" s="451">
        <v>83602</v>
      </c>
      <c r="AU289" s="451">
        <v>0</v>
      </c>
      <c r="AV289" s="451">
        <v>0</v>
      </c>
      <c r="AW289" s="451">
        <v>83602</v>
      </c>
      <c r="AX289" s="451">
        <v>0</v>
      </c>
      <c r="AY289" s="451">
        <v>0</v>
      </c>
      <c r="AZ289" s="451">
        <v>0</v>
      </c>
      <c r="BA289" s="451">
        <v>0</v>
      </c>
      <c r="BB289" s="451">
        <v>10671</v>
      </c>
      <c r="BC289" s="451">
        <v>0</v>
      </c>
      <c r="BD289" s="451">
        <v>0</v>
      </c>
      <c r="BE289" s="451">
        <v>10671</v>
      </c>
      <c r="BF289" s="451">
        <v>0</v>
      </c>
      <c r="BG289" s="451">
        <v>0</v>
      </c>
      <c r="BH289" s="451">
        <v>0</v>
      </c>
      <c r="BI289" s="451">
        <v>0</v>
      </c>
      <c r="BJ289" s="451">
        <v>19696</v>
      </c>
      <c r="BK289" s="451">
        <v>0</v>
      </c>
      <c r="BL289" s="451">
        <v>0</v>
      </c>
      <c r="BM289" s="451">
        <v>19696</v>
      </c>
      <c r="BN289" s="451">
        <v>-56405</v>
      </c>
      <c r="BO289" s="451">
        <v>0</v>
      </c>
      <c r="BP289" s="451">
        <v>0</v>
      </c>
      <c r="BQ289" s="451">
        <v>-56405</v>
      </c>
      <c r="BR289" s="451">
        <v>2009074</v>
      </c>
      <c r="BS289" s="451">
        <v>0</v>
      </c>
      <c r="BT289" s="451">
        <v>0</v>
      </c>
      <c r="BU289" s="451">
        <v>2009074</v>
      </c>
      <c r="BV289" s="451">
        <v>145817</v>
      </c>
      <c r="BW289" s="451">
        <v>0</v>
      </c>
      <c r="BX289" s="451">
        <v>0</v>
      </c>
      <c r="BY289" s="451">
        <v>145817</v>
      </c>
      <c r="BZ289" s="451">
        <v>77201</v>
      </c>
      <c r="CA289" s="451">
        <v>0</v>
      </c>
      <c r="CB289" s="451">
        <v>0</v>
      </c>
      <c r="CC289" s="451">
        <v>77201</v>
      </c>
      <c r="CD289" s="451">
        <v>4613</v>
      </c>
      <c r="CE289" s="451">
        <v>0</v>
      </c>
      <c r="CF289" s="451">
        <v>0</v>
      </c>
      <c r="CG289" s="451">
        <v>4613</v>
      </c>
      <c r="CH289" s="451">
        <v>0</v>
      </c>
      <c r="CI289" s="451">
        <v>0</v>
      </c>
      <c r="CJ289" s="451">
        <v>0</v>
      </c>
      <c r="CK289" s="451">
        <v>0</v>
      </c>
      <c r="CL289" s="451">
        <v>0</v>
      </c>
      <c r="CM289" s="451">
        <v>0</v>
      </c>
      <c r="CN289" s="451">
        <v>0</v>
      </c>
      <c r="CO289" s="451">
        <v>0</v>
      </c>
      <c r="CP289" s="451">
        <v>17561</v>
      </c>
      <c r="CQ289" s="451">
        <v>0</v>
      </c>
      <c r="CR289" s="451">
        <v>0</v>
      </c>
      <c r="CS289" s="451">
        <v>17561</v>
      </c>
      <c r="CT289" s="451">
        <v>0</v>
      </c>
      <c r="CU289" s="451">
        <v>0</v>
      </c>
      <c r="CV289" s="451">
        <v>0</v>
      </c>
      <c r="CW289" s="451">
        <v>0</v>
      </c>
      <c r="CX289" s="451">
        <v>3468</v>
      </c>
      <c r="CY289" s="451">
        <v>0</v>
      </c>
      <c r="CZ289" s="451">
        <v>0</v>
      </c>
      <c r="DA289" s="451">
        <v>3468</v>
      </c>
      <c r="DB289" s="451">
        <v>0</v>
      </c>
      <c r="DC289" s="451">
        <v>0</v>
      </c>
      <c r="DD289" s="451">
        <v>0</v>
      </c>
      <c r="DE289" s="451">
        <v>0</v>
      </c>
      <c r="DF289" s="451">
        <v>17464</v>
      </c>
      <c r="DG289" s="451">
        <v>0</v>
      </c>
      <c r="DH289" s="451">
        <v>0</v>
      </c>
      <c r="DI289" s="451">
        <v>17464</v>
      </c>
      <c r="DJ289" s="451">
        <v>-324</v>
      </c>
      <c r="DK289" s="451">
        <v>0</v>
      </c>
      <c r="DL289" s="451">
        <v>0</v>
      </c>
      <c r="DM289" s="451">
        <v>-324</v>
      </c>
      <c r="DN289" s="451">
        <v>0</v>
      </c>
      <c r="DO289" s="451">
        <v>0</v>
      </c>
      <c r="DP289" s="451">
        <v>0</v>
      </c>
      <c r="DQ289" s="451">
        <v>0</v>
      </c>
      <c r="DR289" s="451">
        <v>0</v>
      </c>
      <c r="DS289" s="451">
        <v>0</v>
      </c>
      <c r="DT289" s="451">
        <v>0</v>
      </c>
      <c r="DU289" s="451">
        <v>0</v>
      </c>
      <c r="DV289" s="451">
        <v>0</v>
      </c>
      <c r="DW289" s="451">
        <v>0</v>
      </c>
      <c r="DX289" s="451">
        <v>0</v>
      </c>
      <c r="DY289" s="451">
        <v>0</v>
      </c>
      <c r="DZ289" s="451">
        <v>0</v>
      </c>
      <c r="EA289" s="451">
        <v>0</v>
      </c>
      <c r="EB289" s="451">
        <v>273503</v>
      </c>
      <c r="EC289" s="451">
        <v>0</v>
      </c>
      <c r="ED289" s="451">
        <v>0</v>
      </c>
      <c r="EE289" s="451">
        <v>273503</v>
      </c>
      <c r="EF289" s="451">
        <v>0</v>
      </c>
      <c r="EG289" s="451">
        <v>0</v>
      </c>
      <c r="EH289" s="451">
        <v>0</v>
      </c>
      <c r="EI289" s="451">
        <v>0</v>
      </c>
      <c r="EJ289" s="451">
        <v>0</v>
      </c>
      <c r="EK289" s="451">
        <v>0</v>
      </c>
      <c r="EL289" s="451">
        <v>0</v>
      </c>
      <c r="EM289" s="451">
        <v>0</v>
      </c>
    </row>
    <row r="290" spans="1:143" ht="12.75" x14ac:dyDescent="0.2">
      <c r="A290" s="446">
        <v>284</v>
      </c>
      <c r="B290" s="447" t="s">
        <v>451</v>
      </c>
      <c r="C290" s="448" t="s">
        <v>794</v>
      </c>
      <c r="D290" s="449" t="s">
        <v>1102</v>
      </c>
      <c r="E290" s="450" t="s">
        <v>753</v>
      </c>
      <c r="F290" s="451">
        <v>202329</v>
      </c>
      <c r="G290" s="451">
        <v>0</v>
      </c>
      <c r="H290" s="451">
        <v>0</v>
      </c>
      <c r="I290" s="451">
        <v>202329</v>
      </c>
      <c r="J290" s="451">
        <v>-159399</v>
      </c>
      <c r="K290" s="451">
        <v>0</v>
      </c>
      <c r="L290" s="451">
        <v>0</v>
      </c>
      <c r="M290" s="451">
        <v>-159399</v>
      </c>
      <c r="N290" s="451">
        <v>32632</v>
      </c>
      <c r="O290" s="451">
        <v>0</v>
      </c>
      <c r="P290" s="451">
        <v>0</v>
      </c>
      <c r="Q290" s="451">
        <v>32632</v>
      </c>
      <c r="R290" s="451">
        <v>34031</v>
      </c>
      <c r="S290" s="451">
        <v>0</v>
      </c>
      <c r="T290" s="451">
        <v>0</v>
      </c>
      <c r="U290" s="451">
        <v>34031</v>
      </c>
      <c r="V290" s="451">
        <v>3921386</v>
      </c>
      <c r="W290" s="451">
        <v>0</v>
      </c>
      <c r="X290" s="451">
        <v>0</v>
      </c>
      <c r="Y290" s="451">
        <v>3921386</v>
      </c>
      <c r="Z290" s="451">
        <v>140419</v>
      </c>
      <c r="AA290" s="451">
        <v>0</v>
      </c>
      <c r="AB290" s="451">
        <v>0</v>
      </c>
      <c r="AC290" s="451">
        <v>140419</v>
      </c>
      <c r="AD290" s="451">
        <v>705691</v>
      </c>
      <c r="AE290" s="451">
        <v>0</v>
      </c>
      <c r="AF290" s="451">
        <v>0</v>
      </c>
      <c r="AG290" s="451">
        <v>705691</v>
      </c>
      <c r="AH290" s="451">
        <v>-17557</v>
      </c>
      <c r="AI290" s="451">
        <v>0</v>
      </c>
      <c r="AJ290" s="451">
        <v>0</v>
      </c>
      <c r="AK290" s="451">
        <v>-17557</v>
      </c>
      <c r="AL290" s="451">
        <v>3272465</v>
      </c>
      <c r="AM290" s="451">
        <v>0</v>
      </c>
      <c r="AN290" s="451">
        <v>0</v>
      </c>
      <c r="AO290" s="451">
        <v>3272465</v>
      </c>
      <c r="AP290" s="451">
        <v>3750</v>
      </c>
      <c r="AQ290" s="451">
        <v>0</v>
      </c>
      <c r="AR290" s="451">
        <v>0</v>
      </c>
      <c r="AS290" s="451">
        <v>3750</v>
      </c>
      <c r="AT290" s="451">
        <v>143012</v>
      </c>
      <c r="AU290" s="451">
        <v>0</v>
      </c>
      <c r="AV290" s="451">
        <v>0</v>
      </c>
      <c r="AW290" s="451">
        <v>143012</v>
      </c>
      <c r="AX290" s="451">
        <v>-1743</v>
      </c>
      <c r="AY290" s="451">
        <v>0</v>
      </c>
      <c r="AZ290" s="451">
        <v>0</v>
      </c>
      <c r="BA290" s="451">
        <v>-1743</v>
      </c>
      <c r="BB290" s="451">
        <v>0</v>
      </c>
      <c r="BC290" s="451">
        <v>0</v>
      </c>
      <c r="BD290" s="451">
        <v>0</v>
      </c>
      <c r="BE290" s="451">
        <v>0</v>
      </c>
      <c r="BF290" s="451">
        <v>0</v>
      </c>
      <c r="BG290" s="451">
        <v>0</v>
      </c>
      <c r="BH290" s="451">
        <v>0</v>
      </c>
      <c r="BI290" s="451">
        <v>0</v>
      </c>
      <c r="BJ290" s="451">
        <v>640</v>
      </c>
      <c r="BK290" s="451">
        <v>0</v>
      </c>
      <c r="BL290" s="451">
        <v>0</v>
      </c>
      <c r="BM290" s="451">
        <v>640</v>
      </c>
      <c r="BN290" s="451">
        <v>4777</v>
      </c>
      <c r="BO290" s="451">
        <v>0</v>
      </c>
      <c r="BP290" s="451">
        <v>0</v>
      </c>
      <c r="BQ290" s="451">
        <v>4777</v>
      </c>
      <c r="BR290" s="451">
        <v>1489060</v>
      </c>
      <c r="BS290" s="451">
        <v>0</v>
      </c>
      <c r="BT290" s="451">
        <v>0</v>
      </c>
      <c r="BU290" s="451">
        <v>1489060</v>
      </c>
      <c r="BV290" s="451">
        <v>31791</v>
      </c>
      <c r="BW290" s="451">
        <v>0</v>
      </c>
      <c r="BX290" s="451">
        <v>0</v>
      </c>
      <c r="BY290" s="451">
        <v>31791</v>
      </c>
      <c r="BZ290" s="451">
        <v>70771</v>
      </c>
      <c r="CA290" s="451">
        <v>0</v>
      </c>
      <c r="CB290" s="451">
        <v>0</v>
      </c>
      <c r="CC290" s="451">
        <v>70771</v>
      </c>
      <c r="CD290" s="451">
        <v>-105</v>
      </c>
      <c r="CE290" s="451">
        <v>0</v>
      </c>
      <c r="CF290" s="451">
        <v>0</v>
      </c>
      <c r="CG290" s="451">
        <v>-105</v>
      </c>
      <c r="CH290" s="451">
        <v>326113</v>
      </c>
      <c r="CI290" s="451">
        <v>0</v>
      </c>
      <c r="CJ290" s="451">
        <v>0</v>
      </c>
      <c r="CK290" s="451">
        <v>326113</v>
      </c>
      <c r="CL290" s="451">
        <v>71</v>
      </c>
      <c r="CM290" s="451">
        <v>0</v>
      </c>
      <c r="CN290" s="451">
        <v>0</v>
      </c>
      <c r="CO290" s="451">
        <v>71</v>
      </c>
      <c r="CP290" s="451">
        <v>4779</v>
      </c>
      <c r="CQ290" s="451">
        <v>0</v>
      </c>
      <c r="CR290" s="451">
        <v>0</v>
      </c>
      <c r="CS290" s="451">
        <v>4779</v>
      </c>
      <c r="CT290" s="451">
        <v>0</v>
      </c>
      <c r="CU290" s="451">
        <v>0</v>
      </c>
      <c r="CV290" s="451">
        <v>0</v>
      </c>
      <c r="CW290" s="451">
        <v>0</v>
      </c>
      <c r="CX290" s="451">
        <v>0</v>
      </c>
      <c r="CY290" s="451">
        <v>0</v>
      </c>
      <c r="CZ290" s="451">
        <v>0</v>
      </c>
      <c r="DA290" s="451">
        <v>0</v>
      </c>
      <c r="DB290" s="451">
        <v>0</v>
      </c>
      <c r="DC290" s="451">
        <v>0</v>
      </c>
      <c r="DD290" s="451">
        <v>0</v>
      </c>
      <c r="DE290" s="451">
        <v>0</v>
      </c>
      <c r="DF290" s="451">
        <v>0</v>
      </c>
      <c r="DG290" s="451">
        <v>0</v>
      </c>
      <c r="DH290" s="451">
        <v>0</v>
      </c>
      <c r="DI290" s="451">
        <v>0</v>
      </c>
      <c r="DJ290" s="451">
        <v>0</v>
      </c>
      <c r="DK290" s="451">
        <v>0</v>
      </c>
      <c r="DL290" s="451">
        <v>0</v>
      </c>
      <c r="DM290" s="451">
        <v>0</v>
      </c>
      <c r="DN290" s="451">
        <v>0</v>
      </c>
      <c r="DO290" s="451">
        <v>0</v>
      </c>
      <c r="DP290" s="451">
        <v>0</v>
      </c>
      <c r="DQ290" s="451">
        <v>0</v>
      </c>
      <c r="DR290" s="451">
        <v>0</v>
      </c>
      <c r="DS290" s="451">
        <v>0</v>
      </c>
      <c r="DT290" s="451">
        <v>0</v>
      </c>
      <c r="DU290" s="451">
        <v>0</v>
      </c>
      <c r="DV290" s="451">
        <v>0</v>
      </c>
      <c r="DW290" s="451">
        <v>0</v>
      </c>
      <c r="DX290" s="451">
        <v>0</v>
      </c>
      <c r="DY290" s="451">
        <v>0</v>
      </c>
      <c r="DZ290" s="451">
        <v>0</v>
      </c>
      <c r="EA290" s="451">
        <v>0</v>
      </c>
      <c r="EB290" s="451">
        <v>0</v>
      </c>
      <c r="EC290" s="451">
        <v>0</v>
      </c>
      <c r="ED290" s="451">
        <v>0</v>
      </c>
      <c r="EE290" s="451">
        <v>0</v>
      </c>
      <c r="EF290" s="451">
        <v>0</v>
      </c>
      <c r="EG290" s="451">
        <v>0</v>
      </c>
      <c r="EH290" s="451">
        <v>0</v>
      </c>
      <c r="EI290" s="451">
        <v>0</v>
      </c>
      <c r="EJ290" s="451">
        <v>0</v>
      </c>
      <c r="EK290" s="451">
        <v>0</v>
      </c>
      <c r="EL290" s="451">
        <v>0</v>
      </c>
      <c r="EM290" s="451">
        <v>0</v>
      </c>
    </row>
    <row r="291" spans="1:143" ht="12.75" x14ac:dyDescent="0.2">
      <c r="A291" s="446">
        <v>285</v>
      </c>
      <c r="B291" s="447" t="s">
        <v>453</v>
      </c>
      <c r="C291" s="448" t="s">
        <v>1093</v>
      </c>
      <c r="D291" s="449" t="s">
        <v>1102</v>
      </c>
      <c r="E291" s="450" t="s">
        <v>452</v>
      </c>
      <c r="F291" s="451">
        <v>203026</v>
      </c>
      <c r="G291" s="451">
        <v>0</v>
      </c>
      <c r="H291" s="451">
        <v>0</v>
      </c>
      <c r="I291" s="451">
        <v>203026</v>
      </c>
      <c r="J291" s="451">
        <v>-80032</v>
      </c>
      <c r="K291" s="451">
        <v>0</v>
      </c>
      <c r="L291" s="451">
        <v>0</v>
      </c>
      <c r="M291" s="451">
        <v>-80032</v>
      </c>
      <c r="N291" s="451">
        <v>0</v>
      </c>
      <c r="O291" s="451">
        <v>0</v>
      </c>
      <c r="P291" s="451">
        <v>0</v>
      </c>
      <c r="Q291" s="451">
        <v>0</v>
      </c>
      <c r="R291" s="451">
        <v>-2251</v>
      </c>
      <c r="S291" s="451">
        <v>0</v>
      </c>
      <c r="T291" s="451">
        <v>0</v>
      </c>
      <c r="U291" s="451">
        <v>-2251</v>
      </c>
      <c r="V291" s="451">
        <v>2554339</v>
      </c>
      <c r="W291" s="451">
        <v>0</v>
      </c>
      <c r="X291" s="451">
        <v>0</v>
      </c>
      <c r="Y291" s="451">
        <v>2554339</v>
      </c>
      <c r="Z291" s="451">
        <v>172367</v>
      </c>
      <c r="AA291" s="451">
        <v>0</v>
      </c>
      <c r="AB291" s="451">
        <v>0</v>
      </c>
      <c r="AC291" s="451">
        <v>172367</v>
      </c>
      <c r="AD291" s="451">
        <v>181360</v>
      </c>
      <c r="AE291" s="451">
        <v>0</v>
      </c>
      <c r="AF291" s="451">
        <v>0</v>
      </c>
      <c r="AG291" s="451">
        <v>181360</v>
      </c>
      <c r="AH291" s="451">
        <v>1077</v>
      </c>
      <c r="AI291" s="451">
        <v>0</v>
      </c>
      <c r="AJ291" s="451">
        <v>0</v>
      </c>
      <c r="AK291" s="451">
        <v>1077</v>
      </c>
      <c r="AL291" s="451">
        <v>1054518</v>
      </c>
      <c r="AM291" s="451">
        <v>0</v>
      </c>
      <c r="AN291" s="451">
        <v>0</v>
      </c>
      <c r="AO291" s="451">
        <v>1054518</v>
      </c>
      <c r="AP291" s="451">
        <v>2264</v>
      </c>
      <c r="AQ291" s="451">
        <v>0</v>
      </c>
      <c r="AR291" s="451">
        <v>0</v>
      </c>
      <c r="AS291" s="451">
        <v>2264</v>
      </c>
      <c r="AT291" s="451">
        <v>10716</v>
      </c>
      <c r="AU291" s="451">
        <v>0</v>
      </c>
      <c r="AV291" s="451">
        <v>0</v>
      </c>
      <c r="AW291" s="451">
        <v>10716</v>
      </c>
      <c r="AX291" s="451">
        <v>0</v>
      </c>
      <c r="AY291" s="451">
        <v>0</v>
      </c>
      <c r="AZ291" s="451">
        <v>0</v>
      </c>
      <c r="BA291" s="451">
        <v>0</v>
      </c>
      <c r="BB291" s="451">
        <v>58287</v>
      </c>
      <c r="BC291" s="451">
        <v>0</v>
      </c>
      <c r="BD291" s="451">
        <v>0</v>
      </c>
      <c r="BE291" s="451">
        <v>58287</v>
      </c>
      <c r="BF291" s="451">
        <v>-4763</v>
      </c>
      <c r="BG291" s="451">
        <v>0</v>
      </c>
      <c r="BH291" s="451">
        <v>0</v>
      </c>
      <c r="BI291" s="451">
        <v>-4763</v>
      </c>
      <c r="BJ291" s="451">
        <v>3355</v>
      </c>
      <c r="BK291" s="451">
        <v>0</v>
      </c>
      <c r="BL291" s="451">
        <v>0</v>
      </c>
      <c r="BM291" s="451">
        <v>3355</v>
      </c>
      <c r="BN291" s="451">
        <v>0</v>
      </c>
      <c r="BO291" s="451">
        <v>0</v>
      </c>
      <c r="BP291" s="451">
        <v>0</v>
      </c>
      <c r="BQ291" s="451">
        <v>0</v>
      </c>
      <c r="BR291" s="451">
        <v>415107</v>
      </c>
      <c r="BS291" s="451">
        <v>0</v>
      </c>
      <c r="BT291" s="451">
        <v>0</v>
      </c>
      <c r="BU291" s="451">
        <v>415107</v>
      </c>
      <c r="BV291" s="451">
        <v>30616</v>
      </c>
      <c r="BW291" s="451">
        <v>0</v>
      </c>
      <c r="BX291" s="451">
        <v>0</v>
      </c>
      <c r="BY291" s="451">
        <v>30616</v>
      </c>
      <c r="BZ291" s="451">
        <v>64575</v>
      </c>
      <c r="CA291" s="451">
        <v>0</v>
      </c>
      <c r="CB291" s="451">
        <v>0</v>
      </c>
      <c r="CC291" s="451">
        <v>64575</v>
      </c>
      <c r="CD291" s="451">
        <v>273</v>
      </c>
      <c r="CE291" s="451">
        <v>0</v>
      </c>
      <c r="CF291" s="451">
        <v>0</v>
      </c>
      <c r="CG291" s="451">
        <v>273</v>
      </c>
      <c r="CH291" s="451">
        <v>19569</v>
      </c>
      <c r="CI291" s="451">
        <v>0</v>
      </c>
      <c r="CJ291" s="451">
        <v>0</v>
      </c>
      <c r="CK291" s="451">
        <v>19569</v>
      </c>
      <c r="CL291" s="451">
        <v>-686</v>
      </c>
      <c r="CM291" s="451">
        <v>0</v>
      </c>
      <c r="CN291" s="451">
        <v>0</v>
      </c>
      <c r="CO291" s="451">
        <v>-686</v>
      </c>
      <c r="CP291" s="451">
        <v>2220</v>
      </c>
      <c r="CQ291" s="451">
        <v>0</v>
      </c>
      <c r="CR291" s="451">
        <v>0</v>
      </c>
      <c r="CS291" s="451">
        <v>2220</v>
      </c>
      <c r="CT291" s="451">
        <v>0</v>
      </c>
      <c r="CU291" s="451">
        <v>0</v>
      </c>
      <c r="CV291" s="451">
        <v>0</v>
      </c>
      <c r="CW291" s="451">
        <v>0</v>
      </c>
      <c r="CX291" s="451">
        <v>14718</v>
      </c>
      <c r="CY291" s="451">
        <v>0</v>
      </c>
      <c r="CZ291" s="451">
        <v>0</v>
      </c>
      <c r="DA291" s="451">
        <v>14718</v>
      </c>
      <c r="DB291" s="451">
        <v>0</v>
      </c>
      <c r="DC291" s="451">
        <v>0</v>
      </c>
      <c r="DD291" s="451">
        <v>0</v>
      </c>
      <c r="DE291" s="451">
        <v>0</v>
      </c>
      <c r="DF291" s="451">
        <v>5336</v>
      </c>
      <c r="DG291" s="451">
        <v>0</v>
      </c>
      <c r="DH291" s="451">
        <v>0</v>
      </c>
      <c r="DI291" s="451">
        <v>5336</v>
      </c>
      <c r="DJ291" s="451">
        <v>0</v>
      </c>
      <c r="DK291" s="451">
        <v>0</v>
      </c>
      <c r="DL291" s="451">
        <v>0</v>
      </c>
      <c r="DM291" s="451">
        <v>0</v>
      </c>
      <c r="DN291" s="451">
        <v>300</v>
      </c>
      <c r="DO291" s="451">
        <v>0</v>
      </c>
      <c r="DP291" s="451">
        <v>0</v>
      </c>
      <c r="DQ291" s="451">
        <v>300</v>
      </c>
      <c r="DR291" s="451">
        <v>0</v>
      </c>
      <c r="DS291" s="451">
        <v>0</v>
      </c>
      <c r="DT291" s="451">
        <v>0</v>
      </c>
      <c r="DU291" s="451">
        <v>0</v>
      </c>
      <c r="DV291" s="451">
        <v>0</v>
      </c>
      <c r="DW291" s="451">
        <v>0</v>
      </c>
      <c r="DX291" s="451">
        <v>0</v>
      </c>
      <c r="DY291" s="451">
        <v>0</v>
      </c>
      <c r="DZ291" s="451">
        <v>0</v>
      </c>
      <c r="EA291" s="451">
        <v>0</v>
      </c>
      <c r="EB291" s="451">
        <v>0</v>
      </c>
      <c r="EC291" s="451">
        <v>0</v>
      </c>
      <c r="ED291" s="451">
        <v>0</v>
      </c>
      <c r="EE291" s="451">
        <v>0</v>
      </c>
      <c r="EF291" s="451">
        <v>12118</v>
      </c>
      <c r="EG291" s="451">
        <v>0</v>
      </c>
      <c r="EH291" s="451">
        <v>0</v>
      </c>
      <c r="EI291" s="451">
        <v>12118</v>
      </c>
      <c r="EJ291" s="451">
        <v>0</v>
      </c>
      <c r="EK291" s="451">
        <v>0</v>
      </c>
      <c r="EL291" s="451">
        <v>0</v>
      </c>
      <c r="EM291" s="451">
        <v>0</v>
      </c>
    </row>
    <row r="292" spans="1:143" ht="12.75" x14ac:dyDescent="0.2">
      <c r="A292" s="446">
        <v>286</v>
      </c>
      <c r="B292" s="447" t="s">
        <v>455</v>
      </c>
      <c r="C292" s="448" t="s">
        <v>1104</v>
      </c>
      <c r="D292" s="449" t="s">
        <v>1099</v>
      </c>
      <c r="E292" s="450" t="s">
        <v>454</v>
      </c>
      <c r="F292" s="451">
        <v>1119297.98</v>
      </c>
      <c r="G292" s="451">
        <v>0</v>
      </c>
      <c r="H292" s="451">
        <v>0</v>
      </c>
      <c r="I292" s="451">
        <v>1119297.98</v>
      </c>
      <c r="J292" s="451">
        <v>-389801.14</v>
      </c>
      <c r="K292" s="451">
        <v>0</v>
      </c>
      <c r="L292" s="451">
        <v>0</v>
      </c>
      <c r="M292" s="451">
        <v>-389801.14</v>
      </c>
      <c r="N292" s="451">
        <v>85118.6</v>
      </c>
      <c r="O292" s="451">
        <v>0</v>
      </c>
      <c r="P292" s="451">
        <v>0</v>
      </c>
      <c r="Q292" s="451">
        <v>85118.6</v>
      </c>
      <c r="R292" s="451">
        <v>195513.59</v>
      </c>
      <c r="S292" s="451">
        <v>0</v>
      </c>
      <c r="T292" s="451">
        <v>0</v>
      </c>
      <c r="U292" s="451">
        <v>195513.59</v>
      </c>
      <c r="V292" s="451">
        <v>5356531.4800000004</v>
      </c>
      <c r="W292" s="451">
        <v>0</v>
      </c>
      <c r="X292" s="451">
        <v>0</v>
      </c>
      <c r="Y292" s="451">
        <v>5356531.4800000004</v>
      </c>
      <c r="Z292" s="451">
        <v>240784.38</v>
      </c>
      <c r="AA292" s="451">
        <v>0</v>
      </c>
      <c r="AB292" s="451">
        <v>0</v>
      </c>
      <c r="AC292" s="451">
        <v>240784.38</v>
      </c>
      <c r="AD292" s="451">
        <v>6666527.7400000002</v>
      </c>
      <c r="AE292" s="451">
        <v>0</v>
      </c>
      <c r="AF292" s="451">
        <v>0</v>
      </c>
      <c r="AG292" s="451">
        <v>6666527.7400000002</v>
      </c>
      <c r="AH292" s="451">
        <v>-56073.35</v>
      </c>
      <c r="AI292" s="451">
        <v>0</v>
      </c>
      <c r="AJ292" s="451">
        <v>0</v>
      </c>
      <c r="AK292" s="451">
        <v>-56073.35</v>
      </c>
      <c r="AL292" s="451">
        <v>12099410.1</v>
      </c>
      <c r="AM292" s="451">
        <v>0</v>
      </c>
      <c r="AN292" s="451">
        <v>0</v>
      </c>
      <c r="AO292" s="451">
        <v>12099410.1</v>
      </c>
      <c r="AP292" s="451">
        <v>-399830.25</v>
      </c>
      <c r="AQ292" s="451">
        <v>0</v>
      </c>
      <c r="AR292" s="451">
        <v>0</v>
      </c>
      <c r="AS292" s="451">
        <v>-399830.25</v>
      </c>
      <c r="AT292" s="451">
        <v>0</v>
      </c>
      <c r="AU292" s="451">
        <v>0</v>
      </c>
      <c r="AV292" s="451">
        <v>0</v>
      </c>
      <c r="AW292" s="451">
        <v>0</v>
      </c>
      <c r="AX292" s="451">
        <v>0</v>
      </c>
      <c r="AY292" s="451">
        <v>0</v>
      </c>
      <c r="AZ292" s="451">
        <v>0</v>
      </c>
      <c r="BA292" s="451">
        <v>0</v>
      </c>
      <c r="BB292" s="451">
        <v>0</v>
      </c>
      <c r="BC292" s="451">
        <v>0</v>
      </c>
      <c r="BD292" s="451">
        <v>0</v>
      </c>
      <c r="BE292" s="451">
        <v>0</v>
      </c>
      <c r="BF292" s="451">
        <v>0</v>
      </c>
      <c r="BG292" s="451">
        <v>0</v>
      </c>
      <c r="BH292" s="451">
        <v>0</v>
      </c>
      <c r="BI292" s="451">
        <v>0</v>
      </c>
      <c r="BJ292" s="451">
        <v>208993.42</v>
      </c>
      <c r="BK292" s="451">
        <v>0</v>
      </c>
      <c r="BL292" s="451">
        <v>0</v>
      </c>
      <c r="BM292" s="451">
        <v>208993.42</v>
      </c>
      <c r="BN292" s="451">
        <v>-307806.84000000003</v>
      </c>
      <c r="BO292" s="451">
        <v>0</v>
      </c>
      <c r="BP292" s="451">
        <v>0</v>
      </c>
      <c r="BQ292" s="451">
        <v>-307806.84000000003</v>
      </c>
      <c r="BR292" s="451">
        <v>9138226</v>
      </c>
      <c r="BS292" s="451">
        <v>0</v>
      </c>
      <c r="BT292" s="451">
        <v>0</v>
      </c>
      <c r="BU292" s="451">
        <v>9138226</v>
      </c>
      <c r="BV292" s="451">
        <v>-1891808.7</v>
      </c>
      <c r="BW292" s="451">
        <v>0</v>
      </c>
      <c r="BX292" s="451">
        <v>0</v>
      </c>
      <c r="BY292" s="451">
        <v>-1891808.7</v>
      </c>
      <c r="BZ292" s="451">
        <v>569318.98</v>
      </c>
      <c r="CA292" s="451">
        <v>0</v>
      </c>
      <c r="CB292" s="451">
        <v>0</v>
      </c>
      <c r="CC292" s="451">
        <v>569318.98</v>
      </c>
      <c r="CD292" s="451">
        <v>12682.77</v>
      </c>
      <c r="CE292" s="451">
        <v>0</v>
      </c>
      <c r="CF292" s="451">
        <v>0</v>
      </c>
      <c r="CG292" s="451">
        <v>12682.77</v>
      </c>
      <c r="CH292" s="451">
        <v>299738.59999999998</v>
      </c>
      <c r="CI292" s="451">
        <v>0</v>
      </c>
      <c r="CJ292" s="451">
        <v>0</v>
      </c>
      <c r="CK292" s="451">
        <v>299738.59999999998</v>
      </c>
      <c r="CL292" s="451">
        <v>23379.57</v>
      </c>
      <c r="CM292" s="451">
        <v>0</v>
      </c>
      <c r="CN292" s="451">
        <v>0</v>
      </c>
      <c r="CO292" s="451">
        <v>23379.57</v>
      </c>
      <c r="CP292" s="451">
        <v>0</v>
      </c>
      <c r="CQ292" s="451">
        <v>0</v>
      </c>
      <c r="CR292" s="451">
        <v>0</v>
      </c>
      <c r="CS292" s="451">
        <v>0</v>
      </c>
      <c r="CT292" s="451">
        <v>0</v>
      </c>
      <c r="CU292" s="451">
        <v>0</v>
      </c>
      <c r="CV292" s="451">
        <v>0</v>
      </c>
      <c r="CW292" s="451">
        <v>0</v>
      </c>
      <c r="CX292" s="451">
        <v>0</v>
      </c>
      <c r="CY292" s="451">
        <v>0</v>
      </c>
      <c r="CZ292" s="451">
        <v>0</v>
      </c>
      <c r="DA292" s="451">
        <v>0</v>
      </c>
      <c r="DB292" s="451">
        <v>0</v>
      </c>
      <c r="DC292" s="451">
        <v>0</v>
      </c>
      <c r="DD292" s="451">
        <v>0</v>
      </c>
      <c r="DE292" s="451">
        <v>0</v>
      </c>
      <c r="DF292" s="451">
        <v>0</v>
      </c>
      <c r="DG292" s="451">
        <v>0</v>
      </c>
      <c r="DH292" s="451">
        <v>0</v>
      </c>
      <c r="DI292" s="451">
        <v>0</v>
      </c>
      <c r="DJ292" s="451">
        <v>0</v>
      </c>
      <c r="DK292" s="451">
        <v>0</v>
      </c>
      <c r="DL292" s="451">
        <v>0</v>
      </c>
      <c r="DM292" s="451">
        <v>0</v>
      </c>
      <c r="DN292" s="451">
        <v>0</v>
      </c>
      <c r="DO292" s="451">
        <v>0</v>
      </c>
      <c r="DP292" s="451">
        <v>0</v>
      </c>
      <c r="DQ292" s="451">
        <v>0</v>
      </c>
      <c r="DR292" s="451">
        <v>0</v>
      </c>
      <c r="DS292" s="451">
        <v>0</v>
      </c>
      <c r="DT292" s="451">
        <v>0</v>
      </c>
      <c r="DU292" s="451">
        <v>0</v>
      </c>
      <c r="DV292" s="451">
        <v>0</v>
      </c>
      <c r="DW292" s="451">
        <v>0</v>
      </c>
      <c r="DX292" s="451">
        <v>0</v>
      </c>
      <c r="DY292" s="451">
        <v>0</v>
      </c>
      <c r="DZ292" s="451">
        <v>0</v>
      </c>
      <c r="EA292" s="451">
        <v>0</v>
      </c>
      <c r="EB292" s="451">
        <v>0</v>
      </c>
      <c r="EC292" s="451">
        <v>0</v>
      </c>
      <c r="ED292" s="451">
        <v>0</v>
      </c>
      <c r="EE292" s="451">
        <v>0</v>
      </c>
      <c r="EF292" s="451">
        <v>0</v>
      </c>
      <c r="EG292" s="451">
        <v>0</v>
      </c>
      <c r="EH292" s="451">
        <v>0</v>
      </c>
      <c r="EI292" s="451">
        <v>0</v>
      </c>
      <c r="EJ292" s="451">
        <v>0</v>
      </c>
      <c r="EK292" s="451">
        <v>0</v>
      </c>
      <c r="EL292" s="451">
        <v>0</v>
      </c>
      <c r="EM292" s="451">
        <v>0</v>
      </c>
    </row>
    <row r="293" spans="1:143" ht="12.75" x14ac:dyDescent="0.2">
      <c r="A293" s="446">
        <v>287</v>
      </c>
      <c r="B293" s="447" t="s">
        <v>457</v>
      </c>
      <c r="C293" s="448" t="s">
        <v>1100</v>
      </c>
      <c r="D293" s="449" t="s">
        <v>1095</v>
      </c>
      <c r="E293" s="450" t="s">
        <v>456</v>
      </c>
      <c r="F293" s="451">
        <v>179098.92</v>
      </c>
      <c r="G293" s="451">
        <v>0</v>
      </c>
      <c r="H293" s="451">
        <v>0</v>
      </c>
      <c r="I293" s="451">
        <v>179098.92</v>
      </c>
      <c r="J293" s="451">
        <v>-251080.71</v>
      </c>
      <c r="K293" s="451">
        <v>0</v>
      </c>
      <c r="L293" s="451">
        <v>0</v>
      </c>
      <c r="M293" s="451">
        <v>-251080.71</v>
      </c>
      <c r="N293" s="451">
        <v>117853.29</v>
      </c>
      <c r="O293" s="451">
        <v>0</v>
      </c>
      <c r="P293" s="451">
        <v>0</v>
      </c>
      <c r="Q293" s="451">
        <v>117853.29</v>
      </c>
      <c r="R293" s="451">
        <v>439288.19</v>
      </c>
      <c r="S293" s="451">
        <v>0</v>
      </c>
      <c r="T293" s="451">
        <v>0</v>
      </c>
      <c r="U293" s="451">
        <v>439288.19</v>
      </c>
      <c r="V293" s="451">
        <v>3831890.34</v>
      </c>
      <c r="W293" s="451">
        <v>0</v>
      </c>
      <c r="X293" s="451">
        <v>0</v>
      </c>
      <c r="Y293" s="451">
        <v>3831890.34</v>
      </c>
      <c r="Z293" s="451">
        <v>241271.83</v>
      </c>
      <c r="AA293" s="451">
        <v>0</v>
      </c>
      <c r="AB293" s="451">
        <v>0</v>
      </c>
      <c r="AC293" s="451">
        <v>241271.83</v>
      </c>
      <c r="AD293" s="451">
        <v>3177844.26</v>
      </c>
      <c r="AE293" s="451">
        <v>0</v>
      </c>
      <c r="AF293" s="451">
        <v>0</v>
      </c>
      <c r="AG293" s="451">
        <v>3177844.26</v>
      </c>
      <c r="AH293" s="451">
        <v>-48522.59</v>
      </c>
      <c r="AI293" s="451">
        <v>0</v>
      </c>
      <c r="AJ293" s="451">
        <v>0</v>
      </c>
      <c r="AK293" s="451">
        <v>-48522.59</v>
      </c>
      <c r="AL293" s="451">
        <v>4585360.63</v>
      </c>
      <c r="AM293" s="451">
        <v>0</v>
      </c>
      <c r="AN293" s="451">
        <v>0</v>
      </c>
      <c r="AO293" s="451">
        <v>4585360.63</v>
      </c>
      <c r="AP293" s="451">
        <v>103262</v>
      </c>
      <c r="AQ293" s="451">
        <v>0</v>
      </c>
      <c r="AR293" s="451">
        <v>0</v>
      </c>
      <c r="AS293" s="451">
        <v>103262</v>
      </c>
      <c r="AT293" s="451">
        <v>59346</v>
      </c>
      <c r="AU293" s="451">
        <v>0</v>
      </c>
      <c r="AV293" s="451">
        <v>0</v>
      </c>
      <c r="AW293" s="451">
        <v>59346</v>
      </c>
      <c r="AX293" s="451">
        <v>0</v>
      </c>
      <c r="AY293" s="451">
        <v>0</v>
      </c>
      <c r="AZ293" s="451">
        <v>0</v>
      </c>
      <c r="BA293" s="451">
        <v>0</v>
      </c>
      <c r="BB293" s="451">
        <v>482.78</v>
      </c>
      <c r="BC293" s="451">
        <v>0</v>
      </c>
      <c r="BD293" s="451">
        <v>0</v>
      </c>
      <c r="BE293" s="451">
        <v>482.78</v>
      </c>
      <c r="BF293" s="451">
        <v>0</v>
      </c>
      <c r="BG293" s="451">
        <v>0</v>
      </c>
      <c r="BH293" s="451">
        <v>0</v>
      </c>
      <c r="BI293" s="451">
        <v>0</v>
      </c>
      <c r="BJ293" s="451">
        <v>1710.71</v>
      </c>
      <c r="BK293" s="451">
        <v>0</v>
      </c>
      <c r="BL293" s="451">
        <v>0</v>
      </c>
      <c r="BM293" s="451">
        <v>1710.71</v>
      </c>
      <c r="BN293" s="451">
        <v>0</v>
      </c>
      <c r="BO293" s="451">
        <v>0</v>
      </c>
      <c r="BP293" s="451">
        <v>0</v>
      </c>
      <c r="BQ293" s="451">
        <v>0</v>
      </c>
      <c r="BR293" s="451">
        <v>9846406.6799999997</v>
      </c>
      <c r="BS293" s="451">
        <v>0</v>
      </c>
      <c r="BT293" s="451">
        <v>0</v>
      </c>
      <c r="BU293" s="451">
        <v>9846406.6799999997</v>
      </c>
      <c r="BV293" s="451">
        <v>-800857.79</v>
      </c>
      <c r="BW293" s="451">
        <v>0</v>
      </c>
      <c r="BX293" s="451">
        <v>0</v>
      </c>
      <c r="BY293" s="451">
        <v>-800857.79</v>
      </c>
      <c r="BZ293" s="451">
        <v>126381</v>
      </c>
      <c r="CA293" s="451">
        <v>0</v>
      </c>
      <c r="CB293" s="451">
        <v>0</v>
      </c>
      <c r="CC293" s="451">
        <v>126381</v>
      </c>
      <c r="CD293" s="451">
        <v>16020.08</v>
      </c>
      <c r="CE293" s="451">
        <v>0</v>
      </c>
      <c r="CF293" s="451">
        <v>0</v>
      </c>
      <c r="CG293" s="451">
        <v>16020.08</v>
      </c>
      <c r="CH293" s="451">
        <v>277646.46000000002</v>
      </c>
      <c r="CI293" s="451">
        <v>0</v>
      </c>
      <c r="CJ293" s="451">
        <v>0</v>
      </c>
      <c r="CK293" s="451">
        <v>277646.46000000002</v>
      </c>
      <c r="CL293" s="451">
        <v>0</v>
      </c>
      <c r="CM293" s="451">
        <v>0</v>
      </c>
      <c r="CN293" s="451">
        <v>0</v>
      </c>
      <c r="CO293" s="451">
        <v>0</v>
      </c>
      <c r="CP293" s="451">
        <v>10668</v>
      </c>
      <c r="CQ293" s="451">
        <v>0</v>
      </c>
      <c r="CR293" s="451">
        <v>0</v>
      </c>
      <c r="CS293" s="451">
        <v>10668</v>
      </c>
      <c r="CT293" s="451">
        <v>0</v>
      </c>
      <c r="CU293" s="451">
        <v>0</v>
      </c>
      <c r="CV293" s="451">
        <v>0</v>
      </c>
      <c r="CW293" s="451">
        <v>0</v>
      </c>
      <c r="CX293" s="451">
        <v>482.77</v>
      </c>
      <c r="CY293" s="451">
        <v>0</v>
      </c>
      <c r="CZ293" s="451">
        <v>0</v>
      </c>
      <c r="DA293" s="451">
        <v>482.77</v>
      </c>
      <c r="DB293" s="451">
        <v>0</v>
      </c>
      <c r="DC293" s="451">
        <v>0</v>
      </c>
      <c r="DD293" s="451">
        <v>0</v>
      </c>
      <c r="DE293" s="451">
        <v>0</v>
      </c>
      <c r="DF293" s="451">
        <v>0</v>
      </c>
      <c r="DG293" s="451">
        <v>0</v>
      </c>
      <c r="DH293" s="451">
        <v>0</v>
      </c>
      <c r="DI293" s="451">
        <v>0</v>
      </c>
      <c r="DJ293" s="451">
        <v>0</v>
      </c>
      <c r="DK293" s="451">
        <v>0</v>
      </c>
      <c r="DL293" s="451">
        <v>0</v>
      </c>
      <c r="DM293" s="451">
        <v>0</v>
      </c>
      <c r="DN293" s="451">
        <v>0</v>
      </c>
      <c r="DO293" s="451">
        <v>0</v>
      </c>
      <c r="DP293" s="451">
        <v>0</v>
      </c>
      <c r="DQ293" s="451">
        <v>0</v>
      </c>
      <c r="DR293" s="451">
        <v>0</v>
      </c>
      <c r="DS293" s="451">
        <v>0</v>
      </c>
      <c r="DT293" s="451">
        <v>0</v>
      </c>
      <c r="DU293" s="451">
        <v>0</v>
      </c>
      <c r="DV293" s="451">
        <v>0</v>
      </c>
      <c r="DW293" s="451">
        <v>0</v>
      </c>
      <c r="DX293" s="451">
        <v>0</v>
      </c>
      <c r="DY293" s="451">
        <v>0</v>
      </c>
      <c r="DZ293" s="451">
        <v>0</v>
      </c>
      <c r="EA293" s="451">
        <v>0</v>
      </c>
      <c r="EB293" s="451">
        <v>0</v>
      </c>
      <c r="EC293" s="451">
        <v>0</v>
      </c>
      <c r="ED293" s="451">
        <v>0</v>
      </c>
      <c r="EE293" s="451">
        <v>0</v>
      </c>
      <c r="EF293" s="451">
        <v>0</v>
      </c>
      <c r="EG293" s="451">
        <v>0</v>
      </c>
      <c r="EH293" s="451">
        <v>0</v>
      </c>
      <c r="EI293" s="451">
        <v>0</v>
      </c>
      <c r="EJ293" s="451">
        <v>0</v>
      </c>
      <c r="EK293" s="451">
        <v>0</v>
      </c>
      <c r="EL293" s="451">
        <v>0</v>
      </c>
      <c r="EM293" s="451">
        <v>0</v>
      </c>
    </row>
    <row r="294" spans="1:143" ht="12.75" x14ac:dyDescent="0.2">
      <c r="A294" s="446">
        <v>288</v>
      </c>
      <c r="B294" s="447" t="s">
        <v>459</v>
      </c>
      <c r="C294" s="448" t="s">
        <v>1093</v>
      </c>
      <c r="D294" s="449" t="s">
        <v>1094</v>
      </c>
      <c r="E294" s="450" t="s">
        <v>458</v>
      </c>
      <c r="F294" s="451">
        <v>148195</v>
      </c>
      <c r="G294" s="451">
        <v>0</v>
      </c>
      <c r="H294" s="451">
        <v>0</v>
      </c>
      <c r="I294" s="451">
        <v>148195</v>
      </c>
      <c r="J294" s="451">
        <v>-338556</v>
      </c>
      <c r="K294" s="451">
        <v>0</v>
      </c>
      <c r="L294" s="451">
        <v>0</v>
      </c>
      <c r="M294" s="451">
        <v>-338556</v>
      </c>
      <c r="N294" s="451">
        <v>26616</v>
      </c>
      <c r="O294" s="451">
        <v>0</v>
      </c>
      <c r="P294" s="451">
        <v>0</v>
      </c>
      <c r="Q294" s="451">
        <v>26616</v>
      </c>
      <c r="R294" s="451">
        <v>123522</v>
      </c>
      <c r="S294" s="451">
        <v>0</v>
      </c>
      <c r="T294" s="451">
        <v>0</v>
      </c>
      <c r="U294" s="451">
        <v>123522</v>
      </c>
      <c r="V294" s="451">
        <v>2079439</v>
      </c>
      <c r="W294" s="451">
        <v>0</v>
      </c>
      <c r="X294" s="451">
        <v>0</v>
      </c>
      <c r="Y294" s="451">
        <v>2079439</v>
      </c>
      <c r="Z294" s="451">
        <v>92016</v>
      </c>
      <c r="AA294" s="451">
        <v>0</v>
      </c>
      <c r="AB294" s="451">
        <v>0</v>
      </c>
      <c r="AC294" s="451">
        <v>92016</v>
      </c>
      <c r="AD294" s="451">
        <v>1008791</v>
      </c>
      <c r="AE294" s="451">
        <v>0</v>
      </c>
      <c r="AF294" s="451">
        <v>0</v>
      </c>
      <c r="AG294" s="451">
        <v>1008791</v>
      </c>
      <c r="AH294" s="451">
        <v>-26818</v>
      </c>
      <c r="AI294" s="451">
        <v>0</v>
      </c>
      <c r="AJ294" s="451">
        <v>0</v>
      </c>
      <c r="AK294" s="451">
        <v>-26818</v>
      </c>
      <c r="AL294" s="451">
        <v>3730383</v>
      </c>
      <c r="AM294" s="451">
        <v>0</v>
      </c>
      <c r="AN294" s="451">
        <v>0</v>
      </c>
      <c r="AO294" s="451">
        <v>3730383</v>
      </c>
      <c r="AP294" s="451">
        <v>72718</v>
      </c>
      <c r="AQ294" s="451">
        <v>0</v>
      </c>
      <c r="AR294" s="451">
        <v>0</v>
      </c>
      <c r="AS294" s="451">
        <v>72718</v>
      </c>
      <c r="AT294" s="451">
        <v>18188</v>
      </c>
      <c r="AU294" s="451">
        <v>0</v>
      </c>
      <c r="AV294" s="451">
        <v>0</v>
      </c>
      <c r="AW294" s="451">
        <v>18188</v>
      </c>
      <c r="AX294" s="451">
        <v>0</v>
      </c>
      <c r="AY294" s="451">
        <v>0</v>
      </c>
      <c r="AZ294" s="451">
        <v>0</v>
      </c>
      <c r="BA294" s="451">
        <v>0</v>
      </c>
      <c r="BB294" s="451">
        <v>12050</v>
      </c>
      <c r="BC294" s="451">
        <v>0</v>
      </c>
      <c r="BD294" s="451">
        <v>0</v>
      </c>
      <c r="BE294" s="451">
        <v>12050</v>
      </c>
      <c r="BF294" s="451">
        <v>0</v>
      </c>
      <c r="BG294" s="451">
        <v>0</v>
      </c>
      <c r="BH294" s="451">
        <v>0</v>
      </c>
      <c r="BI294" s="451">
        <v>0</v>
      </c>
      <c r="BJ294" s="451">
        <v>745</v>
      </c>
      <c r="BK294" s="451">
        <v>0</v>
      </c>
      <c r="BL294" s="451">
        <v>0</v>
      </c>
      <c r="BM294" s="451">
        <v>745</v>
      </c>
      <c r="BN294" s="451">
        <v>0</v>
      </c>
      <c r="BO294" s="451">
        <v>0</v>
      </c>
      <c r="BP294" s="451">
        <v>0</v>
      </c>
      <c r="BQ294" s="451">
        <v>0</v>
      </c>
      <c r="BR294" s="451">
        <v>1926072</v>
      </c>
      <c r="BS294" s="451">
        <v>0</v>
      </c>
      <c r="BT294" s="451">
        <v>0</v>
      </c>
      <c r="BU294" s="451">
        <v>1926072</v>
      </c>
      <c r="BV294" s="451">
        <v>93058</v>
      </c>
      <c r="BW294" s="451">
        <v>0</v>
      </c>
      <c r="BX294" s="451">
        <v>0</v>
      </c>
      <c r="BY294" s="451">
        <v>93058</v>
      </c>
      <c r="BZ294" s="451">
        <v>26744</v>
      </c>
      <c r="CA294" s="451">
        <v>0</v>
      </c>
      <c r="CB294" s="451">
        <v>0</v>
      </c>
      <c r="CC294" s="451">
        <v>26744</v>
      </c>
      <c r="CD294" s="451">
        <v>1291</v>
      </c>
      <c r="CE294" s="451">
        <v>0</v>
      </c>
      <c r="CF294" s="451">
        <v>0</v>
      </c>
      <c r="CG294" s="451">
        <v>1291</v>
      </c>
      <c r="CH294" s="451">
        <v>12104</v>
      </c>
      <c r="CI294" s="451">
        <v>0</v>
      </c>
      <c r="CJ294" s="451">
        <v>0</v>
      </c>
      <c r="CK294" s="451">
        <v>12104</v>
      </c>
      <c r="CL294" s="451">
        <v>0</v>
      </c>
      <c r="CM294" s="451">
        <v>0</v>
      </c>
      <c r="CN294" s="451">
        <v>0</v>
      </c>
      <c r="CO294" s="451">
        <v>0</v>
      </c>
      <c r="CP294" s="451">
        <v>0</v>
      </c>
      <c r="CQ294" s="451">
        <v>0</v>
      </c>
      <c r="CR294" s="451">
        <v>0</v>
      </c>
      <c r="CS294" s="451">
        <v>0</v>
      </c>
      <c r="CT294" s="451">
        <v>0</v>
      </c>
      <c r="CU294" s="451">
        <v>0</v>
      </c>
      <c r="CV294" s="451">
        <v>0</v>
      </c>
      <c r="CW294" s="451">
        <v>0</v>
      </c>
      <c r="CX294" s="451">
        <v>6988</v>
      </c>
      <c r="CY294" s="451">
        <v>0</v>
      </c>
      <c r="CZ294" s="451">
        <v>0</v>
      </c>
      <c r="DA294" s="451">
        <v>6988</v>
      </c>
      <c r="DB294" s="451">
        <v>0</v>
      </c>
      <c r="DC294" s="451">
        <v>0</v>
      </c>
      <c r="DD294" s="451">
        <v>0</v>
      </c>
      <c r="DE294" s="451">
        <v>0</v>
      </c>
      <c r="DF294" s="451">
        <v>30839</v>
      </c>
      <c r="DG294" s="451">
        <v>0</v>
      </c>
      <c r="DH294" s="451">
        <v>0</v>
      </c>
      <c r="DI294" s="451">
        <v>30839</v>
      </c>
      <c r="DJ294" s="451">
        <v>0</v>
      </c>
      <c r="DK294" s="451">
        <v>0</v>
      </c>
      <c r="DL294" s="451">
        <v>0</v>
      </c>
      <c r="DM294" s="451">
        <v>0</v>
      </c>
      <c r="DN294" s="451">
        <v>0</v>
      </c>
      <c r="DO294" s="451">
        <v>0</v>
      </c>
      <c r="DP294" s="451">
        <v>0</v>
      </c>
      <c r="DQ294" s="451">
        <v>0</v>
      </c>
      <c r="DR294" s="451">
        <v>0</v>
      </c>
      <c r="DS294" s="451">
        <v>0</v>
      </c>
      <c r="DT294" s="451">
        <v>0</v>
      </c>
      <c r="DU294" s="451">
        <v>0</v>
      </c>
      <c r="DV294" s="451">
        <v>0</v>
      </c>
      <c r="DW294" s="451">
        <v>0</v>
      </c>
      <c r="DX294" s="451">
        <v>0</v>
      </c>
      <c r="DY294" s="451">
        <v>0</v>
      </c>
      <c r="DZ294" s="451">
        <v>0</v>
      </c>
      <c r="EA294" s="451">
        <v>0</v>
      </c>
      <c r="EB294" s="451">
        <v>0</v>
      </c>
      <c r="EC294" s="451">
        <v>0</v>
      </c>
      <c r="ED294" s="451">
        <v>0</v>
      </c>
      <c r="EE294" s="451">
        <v>0</v>
      </c>
      <c r="EF294" s="451">
        <v>0</v>
      </c>
      <c r="EG294" s="451">
        <v>0</v>
      </c>
      <c r="EH294" s="451">
        <v>0</v>
      </c>
      <c r="EI294" s="451">
        <v>0</v>
      </c>
      <c r="EJ294" s="451">
        <v>0</v>
      </c>
      <c r="EK294" s="451">
        <v>0</v>
      </c>
      <c r="EL294" s="451">
        <v>0</v>
      </c>
      <c r="EM294" s="451">
        <v>0</v>
      </c>
    </row>
    <row r="295" spans="1:143" ht="12.75" x14ac:dyDescent="0.2">
      <c r="A295" s="446">
        <v>289</v>
      </c>
      <c r="B295" s="447" t="s">
        <v>461</v>
      </c>
      <c r="C295" s="448" t="s">
        <v>1093</v>
      </c>
      <c r="D295" s="449" t="s">
        <v>1097</v>
      </c>
      <c r="E295" s="450" t="s">
        <v>460</v>
      </c>
      <c r="F295" s="451">
        <v>127145</v>
      </c>
      <c r="G295" s="451">
        <v>0</v>
      </c>
      <c r="H295" s="451">
        <v>0</v>
      </c>
      <c r="I295" s="451">
        <v>127145</v>
      </c>
      <c r="J295" s="451">
        <v>-415523</v>
      </c>
      <c r="K295" s="451">
        <v>0</v>
      </c>
      <c r="L295" s="451">
        <v>0</v>
      </c>
      <c r="M295" s="451">
        <v>-415523</v>
      </c>
      <c r="N295" s="451">
        <v>3975</v>
      </c>
      <c r="O295" s="451">
        <v>0</v>
      </c>
      <c r="P295" s="451">
        <v>0</v>
      </c>
      <c r="Q295" s="451">
        <v>3975</v>
      </c>
      <c r="R295" s="451">
        <v>17595</v>
      </c>
      <c r="S295" s="451">
        <v>0</v>
      </c>
      <c r="T295" s="451">
        <v>0</v>
      </c>
      <c r="U295" s="451">
        <v>17595</v>
      </c>
      <c r="V295" s="451">
        <v>1623609</v>
      </c>
      <c r="W295" s="451">
        <v>0</v>
      </c>
      <c r="X295" s="451">
        <v>0</v>
      </c>
      <c r="Y295" s="451">
        <v>1623609</v>
      </c>
      <c r="Z295" s="451">
        <v>93647</v>
      </c>
      <c r="AA295" s="451">
        <v>0</v>
      </c>
      <c r="AB295" s="451">
        <v>0</v>
      </c>
      <c r="AC295" s="451">
        <v>93647</v>
      </c>
      <c r="AD295" s="451">
        <v>801179</v>
      </c>
      <c r="AE295" s="451">
        <v>0</v>
      </c>
      <c r="AF295" s="451">
        <v>0</v>
      </c>
      <c r="AG295" s="451">
        <v>801179</v>
      </c>
      <c r="AH295" s="451">
        <v>-12066</v>
      </c>
      <c r="AI295" s="451">
        <v>0</v>
      </c>
      <c r="AJ295" s="451">
        <v>0</v>
      </c>
      <c r="AK295" s="451">
        <v>-12066</v>
      </c>
      <c r="AL295" s="451">
        <v>1696864</v>
      </c>
      <c r="AM295" s="451">
        <v>0</v>
      </c>
      <c r="AN295" s="451">
        <v>0</v>
      </c>
      <c r="AO295" s="451">
        <v>1696864</v>
      </c>
      <c r="AP295" s="451">
        <v>28601</v>
      </c>
      <c r="AQ295" s="451">
        <v>0</v>
      </c>
      <c r="AR295" s="451">
        <v>0</v>
      </c>
      <c r="AS295" s="451">
        <v>28601</v>
      </c>
      <c r="AT295" s="451">
        <v>51853</v>
      </c>
      <c r="AU295" s="451">
        <v>0</v>
      </c>
      <c r="AV295" s="451">
        <v>0</v>
      </c>
      <c r="AW295" s="451">
        <v>51853</v>
      </c>
      <c r="AX295" s="451">
        <v>0</v>
      </c>
      <c r="AY295" s="451">
        <v>0</v>
      </c>
      <c r="AZ295" s="451">
        <v>0</v>
      </c>
      <c r="BA295" s="451">
        <v>0</v>
      </c>
      <c r="BB295" s="451">
        <v>47826</v>
      </c>
      <c r="BC295" s="451">
        <v>0</v>
      </c>
      <c r="BD295" s="451">
        <v>0</v>
      </c>
      <c r="BE295" s="451">
        <v>47826</v>
      </c>
      <c r="BF295" s="451">
        <v>0</v>
      </c>
      <c r="BG295" s="451">
        <v>0</v>
      </c>
      <c r="BH295" s="451">
        <v>0</v>
      </c>
      <c r="BI295" s="451">
        <v>0</v>
      </c>
      <c r="BJ295" s="451">
        <v>0</v>
      </c>
      <c r="BK295" s="451">
        <v>0</v>
      </c>
      <c r="BL295" s="451">
        <v>0</v>
      </c>
      <c r="BM295" s="451">
        <v>0</v>
      </c>
      <c r="BN295" s="451">
        <v>12581</v>
      </c>
      <c r="BO295" s="451">
        <v>0</v>
      </c>
      <c r="BP295" s="451">
        <v>0</v>
      </c>
      <c r="BQ295" s="451">
        <v>12581</v>
      </c>
      <c r="BR295" s="451">
        <v>2229721</v>
      </c>
      <c r="BS295" s="451">
        <v>0</v>
      </c>
      <c r="BT295" s="451">
        <v>0</v>
      </c>
      <c r="BU295" s="451">
        <v>2229721</v>
      </c>
      <c r="BV295" s="451">
        <v>-40912</v>
      </c>
      <c r="BW295" s="451">
        <v>0</v>
      </c>
      <c r="BX295" s="451">
        <v>0</v>
      </c>
      <c r="BY295" s="451">
        <v>-40912</v>
      </c>
      <c r="BZ295" s="451">
        <v>36100</v>
      </c>
      <c r="CA295" s="451">
        <v>0</v>
      </c>
      <c r="CB295" s="451">
        <v>0</v>
      </c>
      <c r="CC295" s="451">
        <v>36100</v>
      </c>
      <c r="CD295" s="451">
        <v>737</v>
      </c>
      <c r="CE295" s="451">
        <v>0</v>
      </c>
      <c r="CF295" s="451">
        <v>0</v>
      </c>
      <c r="CG295" s="451">
        <v>737</v>
      </c>
      <c r="CH295" s="451">
        <v>92220</v>
      </c>
      <c r="CI295" s="451">
        <v>0</v>
      </c>
      <c r="CJ295" s="451">
        <v>0</v>
      </c>
      <c r="CK295" s="451">
        <v>92220</v>
      </c>
      <c r="CL295" s="451">
        <v>2767</v>
      </c>
      <c r="CM295" s="451">
        <v>0</v>
      </c>
      <c r="CN295" s="451">
        <v>0</v>
      </c>
      <c r="CO295" s="451">
        <v>2767</v>
      </c>
      <c r="CP295" s="451">
        <v>160</v>
      </c>
      <c r="CQ295" s="451">
        <v>0</v>
      </c>
      <c r="CR295" s="451">
        <v>0</v>
      </c>
      <c r="CS295" s="451">
        <v>160</v>
      </c>
      <c r="CT295" s="451">
        <v>0</v>
      </c>
      <c r="CU295" s="451">
        <v>0</v>
      </c>
      <c r="CV295" s="451">
        <v>0</v>
      </c>
      <c r="CW295" s="451">
        <v>0</v>
      </c>
      <c r="CX295" s="451">
        <v>43940</v>
      </c>
      <c r="CY295" s="451">
        <v>0</v>
      </c>
      <c r="CZ295" s="451">
        <v>0</v>
      </c>
      <c r="DA295" s="451">
        <v>43940</v>
      </c>
      <c r="DB295" s="451">
        <v>0</v>
      </c>
      <c r="DC295" s="451">
        <v>0</v>
      </c>
      <c r="DD295" s="451">
        <v>0</v>
      </c>
      <c r="DE295" s="451">
        <v>0</v>
      </c>
      <c r="DF295" s="451">
        <v>81143</v>
      </c>
      <c r="DG295" s="451">
        <v>0</v>
      </c>
      <c r="DH295" s="451">
        <v>0</v>
      </c>
      <c r="DI295" s="451">
        <v>81143</v>
      </c>
      <c r="DJ295" s="451">
        <v>7684</v>
      </c>
      <c r="DK295" s="451">
        <v>0</v>
      </c>
      <c r="DL295" s="451">
        <v>0</v>
      </c>
      <c r="DM295" s="451">
        <v>7684</v>
      </c>
      <c r="DN295" s="451">
        <v>0</v>
      </c>
      <c r="DO295" s="451">
        <v>0</v>
      </c>
      <c r="DP295" s="451">
        <v>0</v>
      </c>
      <c r="DQ295" s="451">
        <v>0</v>
      </c>
      <c r="DR295" s="451">
        <v>0</v>
      </c>
      <c r="DS295" s="451">
        <v>0</v>
      </c>
      <c r="DT295" s="451">
        <v>0</v>
      </c>
      <c r="DU295" s="451">
        <v>0</v>
      </c>
      <c r="DV295" s="451">
        <v>0</v>
      </c>
      <c r="DW295" s="451">
        <v>0</v>
      </c>
      <c r="DX295" s="451">
        <v>726</v>
      </c>
      <c r="DY295" s="451">
        <v>0</v>
      </c>
      <c r="DZ295" s="451">
        <v>0</v>
      </c>
      <c r="EA295" s="451">
        <v>726</v>
      </c>
      <c r="EB295" s="451">
        <v>0</v>
      </c>
      <c r="EC295" s="451">
        <v>0</v>
      </c>
      <c r="ED295" s="451">
        <v>0</v>
      </c>
      <c r="EE295" s="451">
        <v>0</v>
      </c>
      <c r="EF295" s="451">
        <v>0</v>
      </c>
      <c r="EG295" s="451">
        <v>0</v>
      </c>
      <c r="EH295" s="451">
        <v>0</v>
      </c>
      <c r="EI295" s="451">
        <v>0</v>
      </c>
      <c r="EJ295" s="451">
        <v>0</v>
      </c>
      <c r="EK295" s="451">
        <v>0</v>
      </c>
      <c r="EL295" s="451">
        <v>0</v>
      </c>
      <c r="EM295" s="451">
        <v>0</v>
      </c>
    </row>
    <row r="296" spans="1:143" ht="12.75" x14ac:dyDescent="0.2">
      <c r="A296" s="446">
        <v>290</v>
      </c>
      <c r="B296" s="447" t="s">
        <v>463</v>
      </c>
      <c r="C296" s="448" t="s">
        <v>1093</v>
      </c>
      <c r="D296" s="449" t="s">
        <v>1094</v>
      </c>
      <c r="E296" s="450" t="s">
        <v>462</v>
      </c>
      <c r="F296" s="451">
        <v>2249761</v>
      </c>
      <c r="G296" s="451">
        <v>0</v>
      </c>
      <c r="H296" s="451">
        <v>0</v>
      </c>
      <c r="I296" s="451">
        <v>2249761</v>
      </c>
      <c r="J296" s="451">
        <v>-395059</v>
      </c>
      <c r="K296" s="451">
        <v>0</v>
      </c>
      <c r="L296" s="451">
        <v>0</v>
      </c>
      <c r="M296" s="451">
        <v>-395059</v>
      </c>
      <c r="N296" s="451">
        <v>292547</v>
      </c>
      <c r="O296" s="451">
        <v>0</v>
      </c>
      <c r="P296" s="451">
        <v>3316</v>
      </c>
      <c r="Q296" s="451">
        <v>295863</v>
      </c>
      <c r="R296" s="451">
        <v>134715</v>
      </c>
      <c r="S296" s="451">
        <v>0</v>
      </c>
      <c r="T296" s="451">
        <v>0</v>
      </c>
      <c r="U296" s="451">
        <v>134715</v>
      </c>
      <c r="V296" s="451">
        <v>1539245</v>
      </c>
      <c r="W296" s="451">
        <v>0</v>
      </c>
      <c r="X296" s="451">
        <v>34245</v>
      </c>
      <c r="Y296" s="451">
        <v>1573490</v>
      </c>
      <c r="Z296" s="451">
        <v>79020</v>
      </c>
      <c r="AA296" s="451">
        <v>0</v>
      </c>
      <c r="AB296" s="451">
        <v>49</v>
      </c>
      <c r="AC296" s="451">
        <v>79069</v>
      </c>
      <c r="AD296" s="451">
        <v>1202974</v>
      </c>
      <c r="AE296" s="451">
        <v>0</v>
      </c>
      <c r="AF296" s="451">
        <v>19873</v>
      </c>
      <c r="AG296" s="451">
        <v>1222847</v>
      </c>
      <c r="AH296" s="451">
        <v>-31018</v>
      </c>
      <c r="AI296" s="451">
        <v>0</v>
      </c>
      <c r="AJ296" s="451">
        <v>10</v>
      </c>
      <c r="AK296" s="451">
        <v>-31008</v>
      </c>
      <c r="AL296" s="451">
        <v>6463853</v>
      </c>
      <c r="AM296" s="451">
        <v>0</v>
      </c>
      <c r="AN296" s="451">
        <v>22321</v>
      </c>
      <c r="AO296" s="451">
        <v>6486174</v>
      </c>
      <c r="AP296" s="451">
        <v>5416853</v>
      </c>
      <c r="AQ296" s="451">
        <v>0</v>
      </c>
      <c r="AR296" s="451">
        <v>0</v>
      </c>
      <c r="AS296" s="451">
        <v>5416853</v>
      </c>
      <c r="AT296" s="451">
        <v>78604</v>
      </c>
      <c r="AU296" s="451">
        <v>0</v>
      </c>
      <c r="AV296" s="451">
        <v>0</v>
      </c>
      <c r="AW296" s="451">
        <v>78604</v>
      </c>
      <c r="AX296" s="451">
        <v>3286</v>
      </c>
      <c r="AY296" s="451">
        <v>0</v>
      </c>
      <c r="AZ296" s="451">
        <v>0</v>
      </c>
      <c r="BA296" s="451">
        <v>3286</v>
      </c>
      <c r="BB296" s="451">
        <v>34822</v>
      </c>
      <c r="BC296" s="451">
        <v>0</v>
      </c>
      <c r="BD296" s="451">
        <v>661</v>
      </c>
      <c r="BE296" s="451">
        <v>35483</v>
      </c>
      <c r="BF296" s="451">
        <v>-1924</v>
      </c>
      <c r="BG296" s="451">
        <v>0</v>
      </c>
      <c r="BH296" s="451">
        <v>0</v>
      </c>
      <c r="BI296" s="451">
        <v>-1924</v>
      </c>
      <c r="BJ296" s="451">
        <v>6988</v>
      </c>
      <c r="BK296" s="451">
        <v>0</v>
      </c>
      <c r="BL296" s="451">
        <v>0</v>
      </c>
      <c r="BM296" s="451">
        <v>6988</v>
      </c>
      <c r="BN296" s="451">
        <v>-557</v>
      </c>
      <c r="BO296" s="451">
        <v>0</v>
      </c>
      <c r="BP296" s="451">
        <v>0</v>
      </c>
      <c r="BQ296" s="451">
        <v>-557</v>
      </c>
      <c r="BR296" s="451">
        <v>1897637</v>
      </c>
      <c r="BS296" s="451">
        <v>0</v>
      </c>
      <c r="BT296" s="451">
        <v>78947</v>
      </c>
      <c r="BU296" s="451">
        <v>1976584</v>
      </c>
      <c r="BV296" s="451">
        <v>-201170</v>
      </c>
      <c r="BW296" s="451">
        <v>0</v>
      </c>
      <c r="BX296" s="451">
        <v>562</v>
      </c>
      <c r="BY296" s="451">
        <v>-200608</v>
      </c>
      <c r="BZ296" s="451">
        <v>156983</v>
      </c>
      <c r="CA296" s="451">
        <v>0</v>
      </c>
      <c r="CB296" s="451">
        <v>2944</v>
      </c>
      <c r="CC296" s="451">
        <v>159927</v>
      </c>
      <c r="CD296" s="451">
        <v>144</v>
      </c>
      <c r="CE296" s="451">
        <v>0</v>
      </c>
      <c r="CF296" s="451">
        <v>0</v>
      </c>
      <c r="CG296" s="451">
        <v>144</v>
      </c>
      <c r="CH296" s="451">
        <v>5486</v>
      </c>
      <c r="CI296" s="451">
        <v>0</v>
      </c>
      <c r="CJ296" s="451">
        <v>0</v>
      </c>
      <c r="CK296" s="451">
        <v>5486</v>
      </c>
      <c r="CL296" s="451">
        <v>-8730</v>
      </c>
      <c r="CM296" s="451">
        <v>0</v>
      </c>
      <c r="CN296" s="451">
        <v>0</v>
      </c>
      <c r="CO296" s="451">
        <v>-8730</v>
      </c>
      <c r="CP296" s="451">
        <v>4913</v>
      </c>
      <c r="CQ296" s="451">
        <v>0</v>
      </c>
      <c r="CR296" s="451">
        <v>0</v>
      </c>
      <c r="CS296" s="451">
        <v>4913</v>
      </c>
      <c r="CT296" s="451">
        <v>205</v>
      </c>
      <c r="CU296" s="451">
        <v>0</v>
      </c>
      <c r="CV296" s="451">
        <v>0</v>
      </c>
      <c r="CW296" s="451">
        <v>205</v>
      </c>
      <c r="CX296" s="451">
        <v>13610</v>
      </c>
      <c r="CY296" s="451">
        <v>0</v>
      </c>
      <c r="CZ296" s="451">
        <v>661</v>
      </c>
      <c r="DA296" s="451">
        <v>14271</v>
      </c>
      <c r="DB296" s="451">
        <v>-92</v>
      </c>
      <c r="DC296" s="451">
        <v>0</v>
      </c>
      <c r="DD296" s="451">
        <v>0</v>
      </c>
      <c r="DE296" s="451">
        <v>-92</v>
      </c>
      <c r="DF296" s="451">
        <v>0</v>
      </c>
      <c r="DG296" s="451">
        <v>0</v>
      </c>
      <c r="DH296" s="451">
        <v>0</v>
      </c>
      <c r="DI296" s="451">
        <v>0</v>
      </c>
      <c r="DJ296" s="451">
        <v>0</v>
      </c>
      <c r="DK296" s="451">
        <v>0</v>
      </c>
      <c r="DL296" s="451">
        <v>0</v>
      </c>
      <c r="DM296" s="451">
        <v>0</v>
      </c>
      <c r="DN296" s="451">
        <v>0</v>
      </c>
      <c r="DO296" s="451">
        <v>0</v>
      </c>
      <c r="DP296" s="451">
        <v>196410</v>
      </c>
      <c r="DQ296" s="451">
        <v>196410</v>
      </c>
      <c r="DR296" s="451">
        <v>0</v>
      </c>
      <c r="DS296" s="451">
        <v>0</v>
      </c>
      <c r="DT296" s="451">
        <v>71740</v>
      </c>
      <c r="DU296" s="451">
        <v>71740</v>
      </c>
      <c r="DV296" s="451">
        <v>268150</v>
      </c>
      <c r="DW296" s="451">
        <v>0</v>
      </c>
      <c r="DX296" s="451">
        <v>0</v>
      </c>
      <c r="DY296" s="451">
        <v>0</v>
      </c>
      <c r="DZ296" s="451">
        <v>0</v>
      </c>
      <c r="EA296" s="451">
        <v>0</v>
      </c>
      <c r="EB296" s="451">
        <v>15436</v>
      </c>
      <c r="EC296" s="451">
        <v>0</v>
      </c>
      <c r="ED296" s="451">
        <v>0</v>
      </c>
      <c r="EE296" s="451">
        <v>15436</v>
      </c>
      <c r="EF296" s="451">
        <v>0</v>
      </c>
      <c r="EG296" s="451">
        <v>0</v>
      </c>
      <c r="EH296" s="451">
        <v>0</v>
      </c>
      <c r="EI296" s="451">
        <v>0</v>
      </c>
      <c r="EJ296" s="451">
        <v>0</v>
      </c>
      <c r="EK296" s="451">
        <v>0</v>
      </c>
      <c r="EL296" s="451">
        <v>0</v>
      </c>
      <c r="EM296" s="451">
        <v>0</v>
      </c>
    </row>
    <row r="297" spans="1:143" ht="12.75" x14ac:dyDescent="0.2">
      <c r="A297" s="446">
        <v>291</v>
      </c>
      <c r="B297" s="447" t="s">
        <v>465</v>
      </c>
      <c r="C297" s="448" t="s">
        <v>1100</v>
      </c>
      <c r="D297" s="449" t="s">
        <v>1101</v>
      </c>
      <c r="E297" s="450" t="s">
        <v>464</v>
      </c>
      <c r="F297" s="451">
        <v>496913.43</v>
      </c>
      <c r="G297" s="451">
        <v>0</v>
      </c>
      <c r="H297" s="451">
        <v>0</v>
      </c>
      <c r="I297" s="451">
        <v>496913.43</v>
      </c>
      <c r="J297" s="451">
        <v>-342642.93</v>
      </c>
      <c r="K297" s="451">
        <v>0</v>
      </c>
      <c r="L297" s="451">
        <v>0</v>
      </c>
      <c r="M297" s="451">
        <v>-342642.93</v>
      </c>
      <c r="N297" s="451">
        <v>96051</v>
      </c>
      <c r="O297" s="451">
        <v>0</v>
      </c>
      <c r="P297" s="451">
        <v>0</v>
      </c>
      <c r="Q297" s="451">
        <v>96051</v>
      </c>
      <c r="R297" s="451">
        <v>254778.34</v>
      </c>
      <c r="S297" s="451">
        <v>0</v>
      </c>
      <c r="T297" s="451">
        <v>0</v>
      </c>
      <c r="U297" s="451">
        <v>254778.34</v>
      </c>
      <c r="V297" s="451">
        <v>6919899.7400000002</v>
      </c>
      <c r="W297" s="451">
        <v>0</v>
      </c>
      <c r="X297" s="451">
        <v>0</v>
      </c>
      <c r="Y297" s="451">
        <v>6919899.7400000002</v>
      </c>
      <c r="Z297" s="451">
        <v>74376.05</v>
      </c>
      <c r="AA297" s="451">
        <v>0</v>
      </c>
      <c r="AB297" s="451">
        <v>0</v>
      </c>
      <c r="AC297" s="451">
        <v>74376.05</v>
      </c>
      <c r="AD297" s="451">
        <v>2411728.3199999998</v>
      </c>
      <c r="AE297" s="451">
        <v>0</v>
      </c>
      <c r="AF297" s="451">
        <v>0</v>
      </c>
      <c r="AG297" s="451">
        <v>2411728.3199999998</v>
      </c>
      <c r="AH297" s="451">
        <v>-67911.27</v>
      </c>
      <c r="AI297" s="451">
        <v>0</v>
      </c>
      <c r="AJ297" s="451">
        <v>0</v>
      </c>
      <c r="AK297" s="451">
        <v>-67911.27</v>
      </c>
      <c r="AL297" s="451">
        <v>6227958.4900000002</v>
      </c>
      <c r="AM297" s="451">
        <v>0</v>
      </c>
      <c r="AN297" s="451">
        <v>0</v>
      </c>
      <c r="AO297" s="451">
        <v>6227958.4900000002</v>
      </c>
      <c r="AP297" s="451">
        <v>80053.600000000006</v>
      </c>
      <c r="AQ297" s="451">
        <v>0</v>
      </c>
      <c r="AR297" s="451">
        <v>0</v>
      </c>
      <c r="AS297" s="451">
        <v>80053.600000000006</v>
      </c>
      <c r="AT297" s="451">
        <v>62980.2</v>
      </c>
      <c r="AU297" s="451">
        <v>0</v>
      </c>
      <c r="AV297" s="451">
        <v>0</v>
      </c>
      <c r="AW297" s="451">
        <v>62980.2</v>
      </c>
      <c r="AX297" s="451">
        <v>0</v>
      </c>
      <c r="AY297" s="451">
        <v>0</v>
      </c>
      <c r="AZ297" s="451">
        <v>0</v>
      </c>
      <c r="BA297" s="451">
        <v>0</v>
      </c>
      <c r="BB297" s="451">
        <v>9208.64</v>
      </c>
      <c r="BC297" s="451">
        <v>0</v>
      </c>
      <c r="BD297" s="451">
        <v>0</v>
      </c>
      <c r="BE297" s="451">
        <v>9208.64</v>
      </c>
      <c r="BF297" s="451">
        <v>-276.72000000000003</v>
      </c>
      <c r="BG297" s="451">
        <v>0</v>
      </c>
      <c r="BH297" s="451">
        <v>0</v>
      </c>
      <c r="BI297" s="451">
        <v>-276.72000000000003</v>
      </c>
      <c r="BJ297" s="451">
        <v>263269.03999999998</v>
      </c>
      <c r="BK297" s="451">
        <v>0</v>
      </c>
      <c r="BL297" s="451">
        <v>0</v>
      </c>
      <c r="BM297" s="451">
        <v>263269.03999999998</v>
      </c>
      <c r="BN297" s="451">
        <v>56044.19</v>
      </c>
      <c r="BO297" s="451">
        <v>0</v>
      </c>
      <c r="BP297" s="451">
        <v>0</v>
      </c>
      <c r="BQ297" s="451">
        <v>56044.19</v>
      </c>
      <c r="BR297" s="451">
        <v>6969095.5800000001</v>
      </c>
      <c r="BS297" s="451">
        <v>0</v>
      </c>
      <c r="BT297" s="451">
        <v>0</v>
      </c>
      <c r="BU297" s="451">
        <v>6969095.5800000001</v>
      </c>
      <c r="BV297" s="451">
        <v>-54706.63</v>
      </c>
      <c r="BW297" s="451">
        <v>0</v>
      </c>
      <c r="BX297" s="451">
        <v>0</v>
      </c>
      <c r="BY297" s="451">
        <v>-54706.63</v>
      </c>
      <c r="BZ297" s="451">
        <v>694187.07</v>
      </c>
      <c r="CA297" s="451">
        <v>0</v>
      </c>
      <c r="CB297" s="451">
        <v>0</v>
      </c>
      <c r="CC297" s="451">
        <v>694187.07</v>
      </c>
      <c r="CD297" s="451">
        <v>134799.67999999999</v>
      </c>
      <c r="CE297" s="451">
        <v>0</v>
      </c>
      <c r="CF297" s="451">
        <v>0</v>
      </c>
      <c r="CG297" s="451">
        <v>134799.67999999999</v>
      </c>
      <c r="CH297" s="451">
        <v>447372.3</v>
      </c>
      <c r="CI297" s="451">
        <v>0</v>
      </c>
      <c r="CJ297" s="451">
        <v>0</v>
      </c>
      <c r="CK297" s="451">
        <v>447372.3</v>
      </c>
      <c r="CL297" s="451">
        <v>-135278.07</v>
      </c>
      <c r="CM297" s="451">
        <v>0</v>
      </c>
      <c r="CN297" s="451">
        <v>0</v>
      </c>
      <c r="CO297" s="451">
        <v>-135278.07</v>
      </c>
      <c r="CP297" s="451">
        <v>0</v>
      </c>
      <c r="CQ297" s="451">
        <v>0</v>
      </c>
      <c r="CR297" s="451">
        <v>0</v>
      </c>
      <c r="CS297" s="451">
        <v>0</v>
      </c>
      <c r="CT297" s="451">
        <v>0</v>
      </c>
      <c r="CU297" s="451">
        <v>0</v>
      </c>
      <c r="CV297" s="451">
        <v>0</v>
      </c>
      <c r="CW297" s="451">
        <v>0</v>
      </c>
      <c r="CX297" s="451">
        <v>0</v>
      </c>
      <c r="CY297" s="451">
        <v>0</v>
      </c>
      <c r="CZ297" s="451">
        <v>0</v>
      </c>
      <c r="DA297" s="451">
        <v>0</v>
      </c>
      <c r="DB297" s="451">
        <v>0</v>
      </c>
      <c r="DC297" s="451">
        <v>0</v>
      </c>
      <c r="DD297" s="451">
        <v>0</v>
      </c>
      <c r="DE297" s="451">
        <v>0</v>
      </c>
      <c r="DF297" s="451">
        <v>0</v>
      </c>
      <c r="DG297" s="451">
        <v>0</v>
      </c>
      <c r="DH297" s="451">
        <v>0</v>
      </c>
      <c r="DI297" s="451">
        <v>0</v>
      </c>
      <c r="DJ297" s="451">
        <v>0</v>
      </c>
      <c r="DK297" s="451">
        <v>0</v>
      </c>
      <c r="DL297" s="451">
        <v>0</v>
      </c>
      <c r="DM297" s="451">
        <v>0</v>
      </c>
      <c r="DN297" s="451">
        <v>0</v>
      </c>
      <c r="DO297" s="451">
        <v>0</v>
      </c>
      <c r="DP297" s="451">
        <v>0</v>
      </c>
      <c r="DQ297" s="451">
        <v>0</v>
      </c>
      <c r="DR297" s="451">
        <v>0</v>
      </c>
      <c r="DS297" s="451">
        <v>0</v>
      </c>
      <c r="DT297" s="451">
        <v>0</v>
      </c>
      <c r="DU297" s="451">
        <v>0</v>
      </c>
      <c r="DV297" s="451">
        <v>0</v>
      </c>
      <c r="DW297" s="451">
        <v>0</v>
      </c>
      <c r="DX297" s="451">
        <v>0</v>
      </c>
      <c r="DY297" s="451">
        <v>0</v>
      </c>
      <c r="DZ297" s="451">
        <v>0</v>
      </c>
      <c r="EA297" s="451">
        <v>0</v>
      </c>
      <c r="EB297" s="451">
        <v>0</v>
      </c>
      <c r="EC297" s="451">
        <v>0</v>
      </c>
      <c r="ED297" s="451">
        <v>0</v>
      </c>
      <c r="EE297" s="451">
        <v>0</v>
      </c>
      <c r="EF297" s="451">
        <v>0</v>
      </c>
      <c r="EG297" s="451">
        <v>0</v>
      </c>
      <c r="EH297" s="451">
        <v>0</v>
      </c>
      <c r="EI297" s="451">
        <v>0</v>
      </c>
      <c r="EJ297" s="451">
        <v>0</v>
      </c>
      <c r="EK297" s="451">
        <v>0</v>
      </c>
      <c r="EL297" s="451">
        <v>0</v>
      </c>
      <c r="EM297" s="451">
        <v>0</v>
      </c>
    </row>
    <row r="298" spans="1:143" ht="12.75" x14ac:dyDescent="0.2">
      <c r="A298" s="446">
        <v>292</v>
      </c>
      <c r="B298" s="447" t="s">
        <v>467</v>
      </c>
      <c r="C298" s="448" t="s">
        <v>1100</v>
      </c>
      <c r="D298" s="449" t="s">
        <v>1103</v>
      </c>
      <c r="E298" s="450" t="s">
        <v>466</v>
      </c>
      <c r="F298" s="451">
        <v>257874</v>
      </c>
      <c r="G298" s="451">
        <v>0</v>
      </c>
      <c r="H298" s="451">
        <v>0</v>
      </c>
      <c r="I298" s="451">
        <v>257874</v>
      </c>
      <c r="J298" s="451">
        <v>-84431</v>
      </c>
      <c r="K298" s="451">
        <v>0</v>
      </c>
      <c r="L298" s="451">
        <v>0</v>
      </c>
      <c r="M298" s="451">
        <v>-84431</v>
      </c>
      <c r="N298" s="451">
        <v>83356</v>
      </c>
      <c r="O298" s="451">
        <v>0</v>
      </c>
      <c r="P298" s="451">
        <v>0</v>
      </c>
      <c r="Q298" s="451">
        <v>83356</v>
      </c>
      <c r="R298" s="451">
        <v>258544</v>
      </c>
      <c r="S298" s="451">
        <v>0</v>
      </c>
      <c r="T298" s="451">
        <v>0</v>
      </c>
      <c r="U298" s="451">
        <v>258544</v>
      </c>
      <c r="V298" s="451">
        <v>5170349</v>
      </c>
      <c r="W298" s="451">
        <v>0</v>
      </c>
      <c r="X298" s="451">
        <v>866</v>
      </c>
      <c r="Y298" s="451">
        <v>5171215</v>
      </c>
      <c r="Z298" s="451">
        <v>209249</v>
      </c>
      <c r="AA298" s="451">
        <v>0</v>
      </c>
      <c r="AB298" s="451">
        <v>0</v>
      </c>
      <c r="AC298" s="451">
        <v>209249</v>
      </c>
      <c r="AD298" s="451">
        <v>1346092</v>
      </c>
      <c r="AE298" s="451">
        <v>0</v>
      </c>
      <c r="AF298" s="451">
        <v>3213</v>
      </c>
      <c r="AG298" s="451">
        <v>1349305</v>
      </c>
      <c r="AH298" s="451">
        <v>32118</v>
      </c>
      <c r="AI298" s="451">
        <v>0</v>
      </c>
      <c r="AJ298" s="451">
        <v>350</v>
      </c>
      <c r="AK298" s="451">
        <v>32468</v>
      </c>
      <c r="AL298" s="451">
        <v>4522886</v>
      </c>
      <c r="AM298" s="451">
        <v>0</v>
      </c>
      <c r="AN298" s="451">
        <v>0</v>
      </c>
      <c r="AO298" s="451">
        <v>4522886</v>
      </c>
      <c r="AP298" s="451">
        <v>16895</v>
      </c>
      <c r="AQ298" s="451">
        <v>0</v>
      </c>
      <c r="AR298" s="451">
        <v>0</v>
      </c>
      <c r="AS298" s="451">
        <v>16895</v>
      </c>
      <c r="AT298" s="451">
        <v>26301</v>
      </c>
      <c r="AU298" s="451">
        <v>0</v>
      </c>
      <c r="AV298" s="451">
        <v>0</v>
      </c>
      <c r="AW298" s="451">
        <v>26301</v>
      </c>
      <c r="AX298" s="451">
        <v>2729</v>
      </c>
      <c r="AY298" s="451">
        <v>0</v>
      </c>
      <c r="AZ298" s="451">
        <v>0</v>
      </c>
      <c r="BA298" s="451">
        <v>2729</v>
      </c>
      <c r="BB298" s="451">
        <v>0</v>
      </c>
      <c r="BC298" s="451">
        <v>0</v>
      </c>
      <c r="BD298" s="451">
        <v>0</v>
      </c>
      <c r="BE298" s="451">
        <v>0</v>
      </c>
      <c r="BF298" s="451">
        <v>0</v>
      </c>
      <c r="BG298" s="451">
        <v>0</v>
      </c>
      <c r="BH298" s="451">
        <v>0</v>
      </c>
      <c r="BI298" s="451">
        <v>0</v>
      </c>
      <c r="BJ298" s="451">
        <v>108910</v>
      </c>
      <c r="BK298" s="451">
        <v>0</v>
      </c>
      <c r="BL298" s="451">
        <v>0</v>
      </c>
      <c r="BM298" s="451">
        <v>108910</v>
      </c>
      <c r="BN298" s="451">
        <v>60049</v>
      </c>
      <c r="BO298" s="451">
        <v>0</v>
      </c>
      <c r="BP298" s="451">
        <v>0</v>
      </c>
      <c r="BQ298" s="451">
        <v>60049</v>
      </c>
      <c r="BR298" s="451">
        <v>3205916</v>
      </c>
      <c r="BS298" s="451">
        <v>0</v>
      </c>
      <c r="BT298" s="451">
        <v>0</v>
      </c>
      <c r="BU298" s="451">
        <v>3205916</v>
      </c>
      <c r="BV298" s="451">
        <v>-44968</v>
      </c>
      <c r="BW298" s="451">
        <v>0</v>
      </c>
      <c r="BX298" s="451">
        <v>0</v>
      </c>
      <c r="BY298" s="451">
        <v>-44968</v>
      </c>
      <c r="BZ298" s="451">
        <v>167795</v>
      </c>
      <c r="CA298" s="451">
        <v>0</v>
      </c>
      <c r="CB298" s="451">
        <v>0</v>
      </c>
      <c r="CC298" s="451">
        <v>167795</v>
      </c>
      <c r="CD298" s="451">
        <v>941</v>
      </c>
      <c r="CE298" s="451">
        <v>0</v>
      </c>
      <c r="CF298" s="451">
        <v>0</v>
      </c>
      <c r="CG298" s="451">
        <v>941</v>
      </c>
      <c r="CH298" s="451">
        <v>55297</v>
      </c>
      <c r="CI298" s="451">
        <v>0</v>
      </c>
      <c r="CJ298" s="451">
        <v>0</v>
      </c>
      <c r="CK298" s="451">
        <v>55297</v>
      </c>
      <c r="CL298" s="451">
        <v>-7605</v>
      </c>
      <c r="CM298" s="451">
        <v>0</v>
      </c>
      <c r="CN298" s="451">
        <v>0</v>
      </c>
      <c r="CO298" s="451">
        <v>-7605</v>
      </c>
      <c r="CP298" s="451">
        <v>2014</v>
      </c>
      <c r="CQ298" s="451">
        <v>0</v>
      </c>
      <c r="CR298" s="451">
        <v>0</v>
      </c>
      <c r="CS298" s="451">
        <v>2014</v>
      </c>
      <c r="CT298" s="451">
        <v>532</v>
      </c>
      <c r="CU298" s="451">
        <v>0</v>
      </c>
      <c r="CV298" s="451">
        <v>0</v>
      </c>
      <c r="CW298" s="451">
        <v>532</v>
      </c>
      <c r="CX298" s="451">
        <v>0</v>
      </c>
      <c r="CY298" s="451">
        <v>0</v>
      </c>
      <c r="CZ298" s="451">
        <v>0</v>
      </c>
      <c r="DA298" s="451">
        <v>0</v>
      </c>
      <c r="DB298" s="451">
        <v>0</v>
      </c>
      <c r="DC298" s="451">
        <v>0</v>
      </c>
      <c r="DD298" s="451">
        <v>0</v>
      </c>
      <c r="DE298" s="451">
        <v>0</v>
      </c>
      <c r="DF298" s="451">
        <v>0</v>
      </c>
      <c r="DG298" s="451">
        <v>0</v>
      </c>
      <c r="DH298" s="451">
        <v>0</v>
      </c>
      <c r="DI298" s="451">
        <v>0</v>
      </c>
      <c r="DJ298" s="451">
        <v>0</v>
      </c>
      <c r="DK298" s="451">
        <v>0</v>
      </c>
      <c r="DL298" s="451">
        <v>0</v>
      </c>
      <c r="DM298" s="451">
        <v>0</v>
      </c>
      <c r="DN298" s="451">
        <v>0</v>
      </c>
      <c r="DO298" s="451">
        <v>0</v>
      </c>
      <c r="DP298" s="451">
        <v>0</v>
      </c>
      <c r="DQ298" s="451">
        <v>0</v>
      </c>
      <c r="DR298" s="451">
        <v>0</v>
      </c>
      <c r="DS298" s="451">
        <v>0</v>
      </c>
      <c r="DT298" s="451">
        <v>0</v>
      </c>
      <c r="DU298" s="451">
        <v>0</v>
      </c>
      <c r="DV298" s="451">
        <v>0</v>
      </c>
      <c r="DW298" s="451">
        <v>0</v>
      </c>
      <c r="DX298" s="451">
        <v>0</v>
      </c>
      <c r="DY298" s="451">
        <v>0</v>
      </c>
      <c r="DZ298" s="451">
        <v>0</v>
      </c>
      <c r="EA298" s="451">
        <v>0</v>
      </c>
      <c r="EB298" s="451">
        <v>0</v>
      </c>
      <c r="EC298" s="451">
        <v>0</v>
      </c>
      <c r="ED298" s="451">
        <v>0</v>
      </c>
      <c r="EE298" s="451">
        <v>0</v>
      </c>
      <c r="EF298" s="451">
        <v>0</v>
      </c>
      <c r="EG298" s="451">
        <v>0</v>
      </c>
      <c r="EH298" s="451">
        <v>0</v>
      </c>
      <c r="EI298" s="451">
        <v>0</v>
      </c>
      <c r="EJ298" s="451">
        <v>0</v>
      </c>
      <c r="EK298" s="451">
        <v>0</v>
      </c>
      <c r="EL298" s="451">
        <v>0</v>
      </c>
      <c r="EM298" s="451">
        <v>0</v>
      </c>
    </row>
    <row r="299" spans="1:143" ht="12.75" x14ac:dyDescent="0.2">
      <c r="A299" s="446">
        <v>293</v>
      </c>
      <c r="B299" s="447" t="s">
        <v>469</v>
      </c>
      <c r="C299" s="448" t="s">
        <v>1098</v>
      </c>
      <c r="D299" s="449" t="s">
        <v>1099</v>
      </c>
      <c r="E299" s="450" t="s">
        <v>468</v>
      </c>
      <c r="F299" s="451">
        <v>463049</v>
      </c>
      <c r="G299" s="451">
        <v>0</v>
      </c>
      <c r="H299" s="451">
        <v>0</v>
      </c>
      <c r="I299" s="451">
        <v>463049</v>
      </c>
      <c r="J299" s="451">
        <v>-116455</v>
      </c>
      <c r="K299" s="451">
        <v>0</v>
      </c>
      <c r="L299" s="451">
        <v>0</v>
      </c>
      <c r="M299" s="451">
        <v>-116455</v>
      </c>
      <c r="N299" s="451">
        <v>42531</v>
      </c>
      <c r="O299" s="451">
        <v>0</v>
      </c>
      <c r="P299" s="451">
        <v>0</v>
      </c>
      <c r="Q299" s="451">
        <v>42531</v>
      </c>
      <c r="R299" s="451">
        <v>-34768</v>
      </c>
      <c r="S299" s="451">
        <v>0</v>
      </c>
      <c r="T299" s="451">
        <v>0</v>
      </c>
      <c r="U299" s="451">
        <v>-34768</v>
      </c>
      <c r="V299" s="451">
        <v>5070904</v>
      </c>
      <c r="W299" s="451">
        <v>0</v>
      </c>
      <c r="X299" s="451">
        <v>0</v>
      </c>
      <c r="Y299" s="451">
        <v>5070904</v>
      </c>
      <c r="Z299" s="451">
        <v>82795</v>
      </c>
      <c r="AA299" s="451">
        <v>0</v>
      </c>
      <c r="AB299" s="451">
        <v>0</v>
      </c>
      <c r="AC299" s="451">
        <v>82795</v>
      </c>
      <c r="AD299" s="451">
        <v>950261</v>
      </c>
      <c r="AE299" s="451">
        <v>0</v>
      </c>
      <c r="AF299" s="451">
        <v>0</v>
      </c>
      <c r="AG299" s="451">
        <v>950261</v>
      </c>
      <c r="AH299" s="451">
        <v>5271</v>
      </c>
      <c r="AI299" s="451">
        <v>0</v>
      </c>
      <c r="AJ299" s="451">
        <v>0</v>
      </c>
      <c r="AK299" s="451">
        <v>5271</v>
      </c>
      <c r="AL299" s="451">
        <v>4484916</v>
      </c>
      <c r="AM299" s="451">
        <v>0</v>
      </c>
      <c r="AN299" s="451">
        <v>0</v>
      </c>
      <c r="AO299" s="451">
        <v>4484916</v>
      </c>
      <c r="AP299" s="451">
        <v>-37437</v>
      </c>
      <c r="AQ299" s="451">
        <v>0</v>
      </c>
      <c r="AR299" s="451">
        <v>0</v>
      </c>
      <c r="AS299" s="451">
        <v>-37437</v>
      </c>
      <c r="AT299" s="451">
        <v>32913</v>
      </c>
      <c r="AU299" s="451">
        <v>0</v>
      </c>
      <c r="AV299" s="451">
        <v>0</v>
      </c>
      <c r="AW299" s="451">
        <v>32913</v>
      </c>
      <c r="AX299" s="451">
        <v>0</v>
      </c>
      <c r="AY299" s="451">
        <v>0</v>
      </c>
      <c r="AZ299" s="451">
        <v>0</v>
      </c>
      <c r="BA299" s="451">
        <v>0</v>
      </c>
      <c r="BB299" s="451">
        <v>0</v>
      </c>
      <c r="BC299" s="451">
        <v>0</v>
      </c>
      <c r="BD299" s="451">
        <v>0</v>
      </c>
      <c r="BE299" s="451">
        <v>0</v>
      </c>
      <c r="BF299" s="451">
        <v>0</v>
      </c>
      <c r="BG299" s="451">
        <v>0</v>
      </c>
      <c r="BH299" s="451">
        <v>0</v>
      </c>
      <c r="BI299" s="451">
        <v>0</v>
      </c>
      <c r="BJ299" s="451">
        <v>9818</v>
      </c>
      <c r="BK299" s="451">
        <v>0</v>
      </c>
      <c r="BL299" s="451">
        <v>0</v>
      </c>
      <c r="BM299" s="451">
        <v>9818</v>
      </c>
      <c r="BN299" s="451">
        <v>-27819</v>
      </c>
      <c r="BO299" s="451">
        <v>0</v>
      </c>
      <c r="BP299" s="451">
        <v>0</v>
      </c>
      <c r="BQ299" s="451">
        <v>-27819</v>
      </c>
      <c r="BR299" s="451">
        <v>1468536</v>
      </c>
      <c r="BS299" s="451">
        <v>0</v>
      </c>
      <c r="BT299" s="451">
        <v>0</v>
      </c>
      <c r="BU299" s="451">
        <v>1468536</v>
      </c>
      <c r="BV299" s="451">
        <v>377846</v>
      </c>
      <c r="BW299" s="451">
        <v>0</v>
      </c>
      <c r="BX299" s="451">
        <v>0</v>
      </c>
      <c r="BY299" s="451">
        <v>377846</v>
      </c>
      <c r="BZ299" s="451">
        <v>138571</v>
      </c>
      <c r="CA299" s="451">
        <v>0</v>
      </c>
      <c r="CB299" s="451">
        <v>0</v>
      </c>
      <c r="CC299" s="451">
        <v>138571</v>
      </c>
      <c r="CD299" s="451">
        <v>-3695</v>
      </c>
      <c r="CE299" s="451">
        <v>0</v>
      </c>
      <c r="CF299" s="451">
        <v>0</v>
      </c>
      <c r="CG299" s="451">
        <v>-3695</v>
      </c>
      <c r="CH299" s="451">
        <v>31570</v>
      </c>
      <c r="CI299" s="451">
        <v>0</v>
      </c>
      <c r="CJ299" s="451">
        <v>0</v>
      </c>
      <c r="CK299" s="451">
        <v>31570</v>
      </c>
      <c r="CL299" s="451">
        <v>-4727</v>
      </c>
      <c r="CM299" s="451">
        <v>0</v>
      </c>
      <c r="CN299" s="451">
        <v>0</v>
      </c>
      <c r="CO299" s="451">
        <v>-4727</v>
      </c>
      <c r="CP299" s="451">
        <v>2883</v>
      </c>
      <c r="CQ299" s="451">
        <v>0</v>
      </c>
      <c r="CR299" s="451">
        <v>0</v>
      </c>
      <c r="CS299" s="451">
        <v>2883</v>
      </c>
      <c r="CT299" s="451">
        <v>0</v>
      </c>
      <c r="CU299" s="451">
        <v>0</v>
      </c>
      <c r="CV299" s="451">
        <v>0</v>
      </c>
      <c r="CW299" s="451">
        <v>0</v>
      </c>
      <c r="CX299" s="451">
        <v>0</v>
      </c>
      <c r="CY299" s="451">
        <v>0</v>
      </c>
      <c r="CZ299" s="451">
        <v>0</v>
      </c>
      <c r="DA299" s="451">
        <v>0</v>
      </c>
      <c r="DB299" s="451">
        <v>0</v>
      </c>
      <c r="DC299" s="451">
        <v>0</v>
      </c>
      <c r="DD299" s="451">
        <v>0</v>
      </c>
      <c r="DE299" s="451">
        <v>0</v>
      </c>
      <c r="DF299" s="451">
        <v>0</v>
      </c>
      <c r="DG299" s="451">
        <v>0</v>
      </c>
      <c r="DH299" s="451">
        <v>0</v>
      </c>
      <c r="DI299" s="451">
        <v>0</v>
      </c>
      <c r="DJ299" s="451">
        <v>0</v>
      </c>
      <c r="DK299" s="451">
        <v>0</v>
      </c>
      <c r="DL299" s="451">
        <v>0</v>
      </c>
      <c r="DM299" s="451">
        <v>0</v>
      </c>
      <c r="DN299" s="451">
        <v>0</v>
      </c>
      <c r="DO299" s="451">
        <v>0</v>
      </c>
      <c r="DP299" s="451">
        <v>0</v>
      </c>
      <c r="DQ299" s="451">
        <v>0</v>
      </c>
      <c r="DR299" s="451">
        <v>0</v>
      </c>
      <c r="DS299" s="451">
        <v>0</v>
      </c>
      <c r="DT299" s="451">
        <v>0</v>
      </c>
      <c r="DU299" s="451">
        <v>0</v>
      </c>
      <c r="DV299" s="451">
        <v>0</v>
      </c>
      <c r="DW299" s="451">
        <v>0</v>
      </c>
      <c r="DX299" s="451">
        <v>8699</v>
      </c>
      <c r="DY299" s="451">
        <v>0</v>
      </c>
      <c r="DZ299" s="451">
        <v>0</v>
      </c>
      <c r="EA299" s="451">
        <v>8699</v>
      </c>
      <c r="EB299" s="451">
        <v>0</v>
      </c>
      <c r="EC299" s="451">
        <v>0</v>
      </c>
      <c r="ED299" s="451">
        <v>0</v>
      </c>
      <c r="EE299" s="451">
        <v>0</v>
      </c>
      <c r="EF299" s="451">
        <v>0</v>
      </c>
      <c r="EG299" s="451">
        <v>0</v>
      </c>
      <c r="EH299" s="451">
        <v>0</v>
      </c>
      <c r="EI299" s="451">
        <v>0</v>
      </c>
      <c r="EJ299" s="451">
        <v>4031</v>
      </c>
      <c r="EK299" s="451">
        <v>0</v>
      </c>
      <c r="EL299" s="451">
        <v>0</v>
      </c>
      <c r="EM299" s="451">
        <v>4031</v>
      </c>
    </row>
    <row r="300" spans="1:143" ht="12.75" x14ac:dyDescent="0.2">
      <c r="A300" s="446">
        <v>294</v>
      </c>
      <c r="B300" s="447" t="s">
        <v>471</v>
      </c>
      <c r="C300" s="448" t="s">
        <v>1104</v>
      </c>
      <c r="D300" s="449" t="s">
        <v>1099</v>
      </c>
      <c r="E300" s="450" t="s">
        <v>470</v>
      </c>
      <c r="F300" s="451">
        <v>442854.35</v>
      </c>
      <c r="G300" s="451">
        <v>0</v>
      </c>
      <c r="H300" s="451">
        <v>0</v>
      </c>
      <c r="I300" s="451">
        <v>442854.35</v>
      </c>
      <c r="J300" s="451">
        <v>-307864.84999999998</v>
      </c>
      <c r="K300" s="451">
        <v>0</v>
      </c>
      <c r="L300" s="451">
        <v>0</v>
      </c>
      <c r="M300" s="451">
        <v>-307864.84999999998</v>
      </c>
      <c r="N300" s="451">
        <v>42176.79</v>
      </c>
      <c r="O300" s="451">
        <v>0</v>
      </c>
      <c r="P300" s="451">
        <v>0</v>
      </c>
      <c r="Q300" s="451">
        <v>42176.79</v>
      </c>
      <c r="R300" s="451">
        <v>286192.53999999998</v>
      </c>
      <c r="S300" s="451">
        <v>0</v>
      </c>
      <c r="T300" s="451">
        <v>0</v>
      </c>
      <c r="U300" s="451">
        <v>286192.53999999998</v>
      </c>
      <c r="V300" s="451">
        <v>3531649.32</v>
      </c>
      <c r="W300" s="451">
        <v>0</v>
      </c>
      <c r="X300" s="451">
        <v>0</v>
      </c>
      <c r="Y300" s="451">
        <v>3531649.32</v>
      </c>
      <c r="Z300" s="451">
        <v>189620.39</v>
      </c>
      <c r="AA300" s="451">
        <v>0</v>
      </c>
      <c r="AB300" s="451">
        <v>0</v>
      </c>
      <c r="AC300" s="451">
        <v>189620.39</v>
      </c>
      <c r="AD300" s="451">
        <v>1837941.58</v>
      </c>
      <c r="AE300" s="451">
        <v>0</v>
      </c>
      <c r="AF300" s="451">
        <v>0</v>
      </c>
      <c r="AG300" s="451">
        <v>1837941.58</v>
      </c>
      <c r="AH300" s="451">
        <v>70903.17</v>
      </c>
      <c r="AI300" s="451">
        <v>0</v>
      </c>
      <c r="AJ300" s="451">
        <v>0</v>
      </c>
      <c r="AK300" s="451">
        <v>70903.17</v>
      </c>
      <c r="AL300" s="451">
        <v>8368961.54</v>
      </c>
      <c r="AM300" s="451">
        <v>0</v>
      </c>
      <c r="AN300" s="451">
        <v>0</v>
      </c>
      <c r="AO300" s="451">
        <v>8368961.54</v>
      </c>
      <c r="AP300" s="451">
        <v>360187.68</v>
      </c>
      <c r="AQ300" s="451">
        <v>0</v>
      </c>
      <c r="AR300" s="451">
        <v>0</v>
      </c>
      <c r="AS300" s="451">
        <v>360187.68</v>
      </c>
      <c r="AT300" s="451">
        <v>29142.959999999999</v>
      </c>
      <c r="AU300" s="451">
        <v>0</v>
      </c>
      <c r="AV300" s="451">
        <v>0</v>
      </c>
      <c r="AW300" s="451">
        <v>29142.959999999999</v>
      </c>
      <c r="AX300" s="451">
        <v>0</v>
      </c>
      <c r="AY300" s="451">
        <v>0</v>
      </c>
      <c r="AZ300" s="451">
        <v>0</v>
      </c>
      <c r="BA300" s="451">
        <v>0</v>
      </c>
      <c r="BB300" s="451">
        <v>0</v>
      </c>
      <c r="BC300" s="451">
        <v>0</v>
      </c>
      <c r="BD300" s="451">
        <v>0</v>
      </c>
      <c r="BE300" s="451">
        <v>0</v>
      </c>
      <c r="BF300" s="451">
        <v>0</v>
      </c>
      <c r="BG300" s="451">
        <v>0</v>
      </c>
      <c r="BH300" s="451">
        <v>0</v>
      </c>
      <c r="BI300" s="451">
        <v>0</v>
      </c>
      <c r="BJ300" s="451">
        <v>150861.97</v>
      </c>
      <c r="BK300" s="451">
        <v>0</v>
      </c>
      <c r="BL300" s="451">
        <v>0</v>
      </c>
      <c r="BM300" s="451">
        <v>150861.97</v>
      </c>
      <c r="BN300" s="451">
        <v>365861.75</v>
      </c>
      <c r="BO300" s="451">
        <v>0</v>
      </c>
      <c r="BP300" s="451">
        <v>0</v>
      </c>
      <c r="BQ300" s="451">
        <v>365861.75</v>
      </c>
      <c r="BR300" s="451">
        <v>4298070.0999999996</v>
      </c>
      <c r="BS300" s="451">
        <v>0</v>
      </c>
      <c r="BT300" s="451">
        <v>0</v>
      </c>
      <c r="BU300" s="451">
        <v>4298070.0999999996</v>
      </c>
      <c r="BV300" s="451">
        <v>229612.03</v>
      </c>
      <c r="BW300" s="451">
        <v>0</v>
      </c>
      <c r="BX300" s="451">
        <v>0</v>
      </c>
      <c r="BY300" s="451">
        <v>229612.03</v>
      </c>
      <c r="BZ300" s="451">
        <v>161330.84</v>
      </c>
      <c r="CA300" s="451">
        <v>0</v>
      </c>
      <c r="CB300" s="451">
        <v>0</v>
      </c>
      <c r="CC300" s="451">
        <v>161330.84</v>
      </c>
      <c r="CD300" s="451">
        <v>1169.29</v>
      </c>
      <c r="CE300" s="451">
        <v>0</v>
      </c>
      <c r="CF300" s="451">
        <v>0</v>
      </c>
      <c r="CG300" s="451">
        <v>1169.29</v>
      </c>
      <c r="CH300" s="451">
        <v>602817.19999999995</v>
      </c>
      <c r="CI300" s="451">
        <v>0</v>
      </c>
      <c r="CJ300" s="451">
        <v>0</v>
      </c>
      <c r="CK300" s="451">
        <v>602817.19999999995</v>
      </c>
      <c r="CL300" s="451">
        <v>-8854.5499999999993</v>
      </c>
      <c r="CM300" s="451">
        <v>0</v>
      </c>
      <c r="CN300" s="451">
        <v>0</v>
      </c>
      <c r="CO300" s="451">
        <v>-8854.5499999999993</v>
      </c>
      <c r="CP300" s="451">
        <v>1321.32</v>
      </c>
      <c r="CQ300" s="451">
        <v>0</v>
      </c>
      <c r="CR300" s="451">
        <v>0</v>
      </c>
      <c r="CS300" s="451">
        <v>1321.32</v>
      </c>
      <c r="CT300" s="451">
        <v>0</v>
      </c>
      <c r="CU300" s="451">
        <v>0</v>
      </c>
      <c r="CV300" s="451">
        <v>0</v>
      </c>
      <c r="CW300" s="451">
        <v>0</v>
      </c>
      <c r="CX300" s="451">
        <v>0</v>
      </c>
      <c r="CY300" s="451">
        <v>0</v>
      </c>
      <c r="CZ300" s="451">
        <v>0</v>
      </c>
      <c r="DA300" s="451">
        <v>0</v>
      </c>
      <c r="DB300" s="451">
        <v>0</v>
      </c>
      <c r="DC300" s="451">
        <v>0</v>
      </c>
      <c r="DD300" s="451">
        <v>0</v>
      </c>
      <c r="DE300" s="451">
        <v>0</v>
      </c>
      <c r="DF300" s="451">
        <v>0</v>
      </c>
      <c r="DG300" s="451">
        <v>0</v>
      </c>
      <c r="DH300" s="451">
        <v>0</v>
      </c>
      <c r="DI300" s="451">
        <v>0</v>
      </c>
      <c r="DJ300" s="451">
        <v>0</v>
      </c>
      <c r="DK300" s="451">
        <v>0</v>
      </c>
      <c r="DL300" s="451">
        <v>0</v>
      </c>
      <c r="DM300" s="451">
        <v>0</v>
      </c>
      <c r="DN300" s="451">
        <v>0</v>
      </c>
      <c r="DO300" s="451">
        <v>0</v>
      </c>
      <c r="DP300" s="451">
        <v>0</v>
      </c>
      <c r="DQ300" s="451">
        <v>0</v>
      </c>
      <c r="DR300" s="451">
        <v>0</v>
      </c>
      <c r="DS300" s="451">
        <v>0</v>
      </c>
      <c r="DT300" s="451">
        <v>0</v>
      </c>
      <c r="DU300" s="451">
        <v>0</v>
      </c>
      <c r="DV300" s="451">
        <v>0</v>
      </c>
      <c r="DW300" s="451">
        <v>0</v>
      </c>
      <c r="DX300" s="451">
        <v>0</v>
      </c>
      <c r="DY300" s="451">
        <v>0</v>
      </c>
      <c r="DZ300" s="451">
        <v>0</v>
      </c>
      <c r="EA300" s="451">
        <v>0</v>
      </c>
      <c r="EB300" s="451">
        <v>0</v>
      </c>
      <c r="EC300" s="451">
        <v>0</v>
      </c>
      <c r="ED300" s="451">
        <v>0</v>
      </c>
      <c r="EE300" s="451">
        <v>0</v>
      </c>
      <c r="EF300" s="451">
        <v>0</v>
      </c>
      <c r="EG300" s="451">
        <v>0</v>
      </c>
      <c r="EH300" s="451">
        <v>0</v>
      </c>
      <c r="EI300" s="451">
        <v>0</v>
      </c>
      <c r="EJ300" s="451">
        <v>0</v>
      </c>
      <c r="EK300" s="451">
        <v>0</v>
      </c>
      <c r="EL300" s="451">
        <v>0</v>
      </c>
      <c r="EM300" s="451">
        <v>0</v>
      </c>
    </row>
    <row r="301" spans="1:143" ht="12.75" x14ac:dyDescent="0.2">
      <c r="A301" s="446">
        <v>295</v>
      </c>
      <c r="B301" s="447" t="s">
        <v>473</v>
      </c>
      <c r="C301" s="448" t="s">
        <v>794</v>
      </c>
      <c r="D301" s="449" t="s">
        <v>1095</v>
      </c>
      <c r="E301" s="450" t="s">
        <v>754</v>
      </c>
      <c r="F301" s="451">
        <v>167852.44</v>
      </c>
      <c r="G301" s="451">
        <v>0</v>
      </c>
      <c r="H301" s="451">
        <v>0</v>
      </c>
      <c r="I301" s="451">
        <v>167852.44</v>
      </c>
      <c r="J301" s="451">
        <v>-1072033.2</v>
      </c>
      <c r="K301" s="451">
        <v>0</v>
      </c>
      <c r="L301" s="451">
        <v>0</v>
      </c>
      <c r="M301" s="451">
        <v>-1072033.2</v>
      </c>
      <c r="N301" s="451">
        <v>154301.01</v>
      </c>
      <c r="O301" s="451">
        <v>0</v>
      </c>
      <c r="P301" s="451">
        <v>0</v>
      </c>
      <c r="Q301" s="451">
        <v>154301.01</v>
      </c>
      <c r="R301" s="451">
        <v>259674.23</v>
      </c>
      <c r="S301" s="451">
        <v>0</v>
      </c>
      <c r="T301" s="451">
        <v>0</v>
      </c>
      <c r="U301" s="451">
        <v>259674.23</v>
      </c>
      <c r="V301" s="451">
        <v>2725196.01</v>
      </c>
      <c r="W301" s="451">
        <v>0</v>
      </c>
      <c r="X301" s="451">
        <v>0</v>
      </c>
      <c r="Y301" s="451">
        <v>2725196.01</v>
      </c>
      <c r="Z301" s="451">
        <v>167585.18</v>
      </c>
      <c r="AA301" s="451">
        <v>0</v>
      </c>
      <c r="AB301" s="451">
        <v>0</v>
      </c>
      <c r="AC301" s="451">
        <v>167585.18</v>
      </c>
      <c r="AD301" s="451">
        <v>2061860.2</v>
      </c>
      <c r="AE301" s="451">
        <v>0</v>
      </c>
      <c r="AF301" s="451">
        <v>0</v>
      </c>
      <c r="AG301" s="451">
        <v>2061860.2</v>
      </c>
      <c r="AH301" s="451">
        <v>-55910.17</v>
      </c>
      <c r="AI301" s="451">
        <v>0</v>
      </c>
      <c r="AJ301" s="451">
        <v>0</v>
      </c>
      <c r="AK301" s="451">
        <v>-55910.17</v>
      </c>
      <c r="AL301" s="451">
        <v>3469293.51</v>
      </c>
      <c r="AM301" s="451">
        <v>0</v>
      </c>
      <c r="AN301" s="451">
        <v>0</v>
      </c>
      <c r="AO301" s="451">
        <v>3469293.51</v>
      </c>
      <c r="AP301" s="451">
        <v>403682.38</v>
      </c>
      <c r="AQ301" s="451">
        <v>0</v>
      </c>
      <c r="AR301" s="451">
        <v>0</v>
      </c>
      <c r="AS301" s="451">
        <v>403682.38</v>
      </c>
      <c r="AT301" s="451">
        <v>68279.259999999995</v>
      </c>
      <c r="AU301" s="451">
        <v>0</v>
      </c>
      <c r="AV301" s="451">
        <v>0</v>
      </c>
      <c r="AW301" s="451">
        <v>68279.259999999995</v>
      </c>
      <c r="AX301" s="451">
        <v>0</v>
      </c>
      <c r="AY301" s="451">
        <v>0</v>
      </c>
      <c r="AZ301" s="451">
        <v>0</v>
      </c>
      <c r="BA301" s="451">
        <v>0</v>
      </c>
      <c r="BB301" s="451">
        <v>1736.81</v>
      </c>
      <c r="BC301" s="451">
        <v>0</v>
      </c>
      <c r="BD301" s="451">
        <v>0</v>
      </c>
      <c r="BE301" s="451">
        <v>1736.81</v>
      </c>
      <c r="BF301" s="451">
        <v>0</v>
      </c>
      <c r="BG301" s="451">
        <v>0</v>
      </c>
      <c r="BH301" s="451">
        <v>0</v>
      </c>
      <c r="BI301" s="451">
        <v>0</v>
      </c>
      <c r="BJ301" s="451">
        <v>88104.66</v>
      </c>
      <c r="BK301" s="451">
        <v>0</v>
      </c>
      <c r="BL301" s="451">
        <v>0</v>
      </c>
      <c r="BM301" s="451">
        <v>88104.66</v>
      </c>
      <c r="BN301" s="451">
        <v>145112.41</v>
      </c>
      <c r="BO301" s="451">
        <v>0</v>
      </c>
      <c r="BP301" s="451">
        <v>0</v>
      </c>
      <c r="BQ301" s="451">
        <v>145112.41</v>
      </c>
      <c r="BR301" s="451">
        <v>4143025.97</v>
      </c>
      <c r="BS301" s="451">
        <v>0</v>
      </c>
      <c r="BT301" s="451">
        <v>0</v>
      </c>
      <c r="BU301" s="451">
        <v>4143025.97</v>
      </c>
      <c r="BV301" s="451">
        <v>-473835.6</v>
      </c>
      <c r="BW301" s="451">
        <v>0</v>
      </c>
      <c r="BX301" s="451">
        <v>0</v>
      </c>
      <c r="BY301" s="451">
        <v>-473835.6</v>
      </c>
      <c r="BZ301" s="451">
        <v>161746.91</v>
      </c>
      <c r="CA301" s="451">
        <v>0</v>
      </c>
      <c r="CB301" s="451">
        <v>0</v>
      </c>
      <c r="CC301" s="451">
        <v>161746.91</v>
      </c>
      <c r="CD301" s="451">
        <v>12264.12</v>
      </c>
      <c r="CE301" s="451">
        <v>0</v>
      </c>
      <c r="CF301" s="451">
        <v>0</v>
      </c>
      <c r="CG301" s="451">
        <v>12264.12</v>
      </c>
      <c r="CH301" s="451">
        <v>503753.08</v>
      </c>
      <c r="CI301" s="451">
        <v>0</v>
      </c>
      <c r="CJ301" s="451">
        <v>0</v>
      </c>
      <c r="CK301" s="451">
        <v>503753.08</v>
      </c>
      <c r="CL301" s="451">
        <v>88322.03</v>
      </c>
      <c r="CM301" s="451">
        <v>0</v>
      </c>
      <c r="CN301" s="451">
        <v>0</v>
      </c>
      <c r="CO301" s="451">
        <v>88322.03</v>
      </c>
      <c r="CP301" s="451">
        <v>4390.49</v>
      </c>
      <c r="CQ301" s="451">
        <v>0</v>
      </c>
      <c r="CR301" s="451">
        <v>0</v>
      </c>
      <c r="CS301" s="451">
        <v>4390.49</v>
      </c>
      <c r="CT301" s="451">
        <v>0</v>
      </c>
      <c r="CU301" s="451">
        <v>0</v>
      </c>
      <c r="CV301" s="451">
        <v>0</v>
      </c>
      <c r="CW301" s="451">
        <v>0</v>
      </c>
      <c r="CX301" s="451">
        <v>868.4</v>
      </c>
      <c r="CY301" s="451">
        <v>0</v>
      </c>
      <c r="CZ301" s="451">
        <v>0</v>
      </c>
      <c r="DA301" s="451">
        <v>868.4</v>
      </c>
      <c r="DB301" s="451">
        <v>0</v>
      </c>
      <c r="DC301" s="451">
        <v>0</v>
      </c>
      <c r="DD301" s="451">
        <v>0</v>
      </c>
      <c r="DE301" s="451">
        <v>0</v>
      </c>
      <c r="DF301" s="451">
        <v>3395.7</v>
      </c>
      <c r="DG301" s="451">
        <v>0</v>
      </c>
      <c r="DH301" s="451">
        <v>0</v>
      </c>
      <c r="DI301" s="451">
        <v>3395.7</v>
      </c>
      <c r="DJ301" s="451">
        <v>0</v>
      </c>
      <c r="DK301" s="451">
        <v>0</v>
      </c>
      <c r="DL301" s="451">
        <v>0</v>
      </c>
      <c r="DM301" s="451">
        <v>0</v>
      </c>
      <c r="DN301" s="451">
        <v>0</v>
      </c>
      <c r="DO301" s="451">
        <v>0</v>
      </c>
      <c r="DP301" s="451">
        <v>0</v>
      </c>
      <c r="DQ301" s="451">
        <v>0</v>
      </c>
      <c r="DR301" s="451">
        <v>0</v>
      </c>
      <c r="DS301" s="451">
        <v>0</v>
      </c>
      <c r="DT301" s="451">
        <v>0</v>
      </c>
      <c r="DU301" s="451">
        <v>0</v>
      </c>
      <c r="DV301" s="451">
        <v>0</v>
      </c>
      <c r="DW301" s="451">
        <v>0</v>
      </c>
      <c r="DX301" s="451">
        <v>0</v>
      </c>
      <c r="DY301" s="451">
        <v>0</v>
      </c>
      <c r="DZ301" s="451">
        <v>0</v>
      </c>
      <c r="EA301" s="451">
        <v>0</v>
      </c>
      <c r="EB301" s="451">
        <v>0</v>
      </c>
      <c r="EC301" s="451">
        <v>0</v>
      </c>
      <c r="ED301" s="451">
        <v>0</v>
      </c>
      <c r="EE301" s="451">
        <v>0</v>
      </c>
      <c r="EF301" s="451">
        <v>0</v>
      </c>
      <c r="EG301" s="451">
        <v>0</v>
      </c>
      <c r="EH301" s="451">
        <v>0</v>
      </c>
      <c r="EI301" s="451">
        <v>0</v>
      </c>
      <c r="EJ301" s="451">
        <v>0</v>
      </c>
      <c r="EK301" s="451">
        <v>0</v>
      </c>
      <c r="EL301" s="451">
        <v>0</v>
      </c>
      <c r="EM301" s="451">
        <v>0</v>
      </c>
    </row>
    <row r="302" spans="1:143" ht="12.75" x14ac:dyDescent="0.2">
      <c r="A302" s="446">
        <v>296</v>
      </c>
      <c r="B302" s="447" t="s">
        <v>475</v>
      </c>
      <c r="C302" s="448" t="s">
        <v>1093</v>
      </c>
      <c r="D302" s="449" t="s">
        <v>1103</v>
      </c>
      <c r="E302" s="450" t="s">
        <v>474</v>
      </c>
      <c r="F302" s="451">
        <v>70921.42</v>
      </c>
      <c r="G302" s="451">
        <v>0</v>
      </c>
      <c r="H302" s="451">
        <v>0</v>
      </c>
      <c r="I302" s="451">
        <v>70921.42</v>
      </c>
      <c r="J302" s="451">
        <v>-60880.47</v>
      </c>
      <c r="K302" s="451">
        <v>0</v>
      </c>
      <c r="L302" s="451">
        <v>0</v>
      </c>
      <c r="M302" s="451">
        <v>-60880.47</v>
      </c>
      <c r="N302" s="451">
        <v>21574.66</v>
      </c>
      <c r="O302" s="451">
        <v>0</v>
      </c>
      <c r="P302" s="451">
        <v>0</v>
      </c>
      <c r="Q302" s="451">
        <v>21574.66</v>
      </c>
      <c r="R302" s="451">
        <v>166386.42000000001</v>
      </c>
      <c r="S302" s="451">
        <v>0</v>
      </c>
      <c r="T302" s="451">
        <v>0</v>
      </c>
      <c r="U302" s="451">
        <v>166386.42000000001</v>
      </c>
      <c r="V302" s="451">
        <v>2624921.86</v>
      </c>
      <c r="W302" s="451">
        <v>0</v>
      </c>
      <c r="X302" s="451">
        <v>0</v>
      </c>
      <c r="Y302" s="451">
        <v>2624921.86</v>
      </c>
      <c r="Z302" s="451">
        <v>103667.03</v>
      </c>
      <c r="AA302" s="451">
        <v>0</v>
      </c>
      <c r="AB302" s="451">
        <v>0</v>
      </c>
      <c r="AC302" s="451">
        <v>103667.03</v>
      </c>
      <c r="AD302" s="451">
        <v>1316471.24</v>
      </c>
      <c r="AE302" s="451">
        <v>0</v>
      </c>
      <c r="AF302" s="451">
        <v>0</v>
      </c>
      <c r="AG302" s="451">
        <v>1316471.24</v>
      </c>
      <c r="AH302" s="451">
        <v>-170.55</v>
      </c>
      <c r="AI302" s="451">
        <v>0</v>
      </c>
      <c r="AJ302" s="451">
        <v>0</v>
      </c>
      <c r="AK302" s="451">
        <v>-170.55</v>
      </c>
      <c r="AL302" s="451">
        <v>4030595.75</v>
      </c>
      <c r="AM302" s="451">
        <v>0</v>
      </c>
      <c r="AN302" s="451">
        <v>0</v>
      </c>
      <c r="AO302" s="451">
        <v>4030595.75</v>
      </c>
      <c r="AP302" s="451">
        <v>547745</v>
      </c>
      <c r="AQ302" s="451">
        <v>0</v>
      </c>
      <c r="AR302" s="451">
        <v>0</v>
      </c>
      <c r="AS302" s="451">
        <v>547745</v>
      </c>
      <c r="AT302" s="451">
        <v>59848.77</v>
      </c>
      <c r="AU302" s="451">
        <v>0</v>
      </c>
      <c r="AV302" s="451">
        <v>0</v>
      </c>
      <c r="AW302" s="451">
        <v>59848.77</v>
      </c>
      <c r="AX302" s="451">
        <v>0</v>
      </c>
      <c r="AY302" s="451">
        <v>0</v>
      </c>
      <c r="AZ302" s="451">
        <v>0</v>
      </c>
      <c r="BA302" s="451">
        <v>0</v>
      </c>
      <c r="BB302" s="451">
        <v>9308.15</v>
      </c>
      <c r="BC302" s="451">
        <v>0</v>
      </c>
      <c r="BD302" s="451">
        <v>0</v>
      </c>
      <c r="BE302" s="451">
        <v>9308.15</v>
      </c>
      <c r="BF302" s="451">
        <v>959.17</v>
      </c>
      <c r="BG302" s="451">
        <v>0</v>
      </c>
      <c r="BH302" s="451">
        <v>0</v>
      </c>
      <c r="BI302" s="451">
        <v>959.17</v>
      </c>
      <c r="BJ302" s="451">
        <v>56085.74</v>
      </c>
      <c r="BK302" s="451">
        <v>0</v>
      </c>
      <c r="BL302" s="451">
        <v>0</v>
      </c>
      <c r="BM302" s="451">
        <v>56085.74</v>
      </c>
      <c r="BN302" s="451">
        <v>89441.82</v>
      </c>
      <c r="BO302" s="451">
        <v>0</v>
      </c>
      <c r="BP302" s="451">
        <v>0</v>
      </c>
      <c r="BQ302" s="451">
        <v>89441.82</v>
      </c>
      <c r="BR302" s="451">
        <v>2884453.95</v>
      </c>
      <c r="BS302" s="451">
        <v>0</v>
      </c>
      <c r="BT302" s="451">
        <v>0</v>
      </c>
      <c r="BU302" s="451">
        <v>2884453.95</v>
      </c>
      <c r="BV302" s="451">
        <v>35179.03</v>
      </c>
      <c r="BW302" s="451">
        <v>0</v>
      </c>
      <c r="BX302" s="451">
        <v>0</v>
      </c>
      <c r="BY302" s="451">
        <v>35179.03</v>
      </c>
      <c r="BZ302" s="451">
        <v>6653.94</v>
      </c>
      <c r="CA302" s="451">
        <v>0</v>
      </c>
      <c r="CB302" s="451">
        <v>0</v>
      </c>
      <c r="CC302" s="451">
        <v>6653.94</v>
      </c>
      <c r="CD302" s="451">
        <v>-1472.48</v>
      </c>
      <c r="CE302" s="451">
        <v>0</v>
      </c>
      <c r="CF302" s="451">
        <v>0</v>
      </c>
      <c r="CG302" s="451">
        <v>-1472.48</v>
      </c>
      <c r="CH302" s="451">
        <v>91808.29</v>
      </c>
      <c r="CI302" s="451">
        <v>0</v>
      </c>
      <c r="CJ302" s="451">
        <v>0</v>
      </c>
      <c r="CK302" s="451">
        <v>91808.29</v>
      </c>
      <c r="CL302" s="451">
        <v>2622.93</v>
      </c>
      <c r="CM302" s="451">
        <v>0</v>
      </c>
      <c r="CN302" s="451">
        <v>0</v>
      </c>
      <c r="CO302" s="451">
        <v>2622.93</v>
      </c>
      <c r="CP302" s="451">
        <v>0</v>
      </c>
      <c r="CQ302" s="451">
        <v>0</v>
      </c>
      <c r="CR302" s="451">
        <v>0</v>
      </c>
      <c r="CS302" s="451">
        <v>0</v>
      </c>
      <c r="CT302" s="451">
        <v>0</v>
      </c>
      <c r="CU302" s="451">
        <v>0</v>
      </c>
      <c r="CV302" s="451">
        <v>0</v>
      </c>
      <c r="CW302" s="451">
        <v>0</v>
      </c>
      <c r="CX302" s="451">
        <v>11107.58</v>
      </c>
      <c r="CY302" s="451">
        <v>0</v>
      </c>
      <c r="CZ302" s="451">
        <v>0</v>
      </c>
      <c r="DA302" s="451">
        <v>11107.58</v>
      </c>
      <c r="DB302" s="451">
        <v>0</v>
      </c>
      <c r="DC302" s="451">
        <v>0</v>
      </c>
      <c r="DD302" s="451">
        <v>0</v>
      </c>
      <c r="DE302" s="451">
        <v>0</v>
      </c>
      <c r="DF302" s="451">
        <v>0</v>
      </c>
      <c r="DG302" s="451">
        <v>0</v>
      </c>
      <c r="DH302" s="451">
        <v>0</v>
      </c>
      <c r="DI302" s="451">
        <v>0</v>
      </c>
      <c r="DJ302" s="451">
        <v>0</v>
      </c>
      <c r="DK302" s="451">
        <v>0</v>
      </c>
      <c r="DL302" s="451">
        <v>0</v>
      </c>
      <c r="DM302" s="451">
        <v>0</v>
      </c>
      <c r="DN302" s="451">
        <v>0</v>
      </c>
      <c r="DO302" s="451">
        <v>0</v>
      </c>
      <c r="DP302" s="451">
        <v>0</v>
      </c>
      <c r="DQ302" s="451">
        <v>0</v>
      </c>
      <c r="DR302" s="451">
        <v>0</v>
      </c>
      <c r="DS302" s="451">
        <v>0</v>
      </c>
      <c r="DT302" s="451">
        <v>0</v>
      </c>
      <c r="DU302" s="451">
        <v>0</v>
      </c>
      <c r="DV302" s="451">
        <v>0</v>
      </c>
      <c r="DW302" s="451">
        <v>0</v>
      </c>
      <c r="DX302" s="451">
        <v>0</v>
      </c>
      <c r="DY302" s="451">
        <v>0</v>
      </c>
      <c r="DZ302" s="451">
        <v>0</v>
      </c>
      <c r="EA302" s="451">
        <v>0</v>
      </c>
      <c r="EB302" s="451">
        <v>0</v>
      </c>
      <c r="EC302" s="451">
        <v>0</v>
      </c>
      <c r="ED302" s="451">
        <v>0</v>
      </c>
      <c r="EE302" s="451">
        <v>0</v>
      </c>
      <c r="EF302" s="451">
        <v>0</v>
      </c>
      <c r="EG302" s="451">
        <v>0</v>
      </c>
      <c r="EH302" s="451">
        <v>0</v>
      </c>
      <c r="EI302" s="451">
        <v>0</v>
      </c>
      <c r="EJ302" s="451">
        <v>0</v>
      </c>
      <c r="EK302" s="451">
        <v>0</v>
      </c>
      <c r="EL302" s="451">
        <v>0</v>
      </c>
      <c r="EM302" s="451">
        <v>0</v>
      </c>
    </row>
    <row r="303" spans="1:143" ht="12.75" x14ac:dyDescent="0.2">
      <c r="A303" s="446">
        <v>297</v>
      </c>
      <c r="B303" s="447" t="s">
        <v>477</v>
      </c>
      <c r="C303" s="448" t="s">
        <v>1093</v>
      </c>
      <c r="D303" s="449" t="s">
        <v>1097</v>
      </c>
      <c r="E303" s="450" t="s">
        <v>476</v>
      </c>
      <c r="F303" s="451">
        <v>425639</v>
      </c>
      <c r="G303" s="451">
        <v>0</v>
      </c>
      <c r="H303" s="451">
        <v>0</v>
      </c>
      <c r="I303" s="451">
        <v>425639</v>
      </c>
      <c r="J303" s="451">
        <v>-354123</v>
      </c>
      <c r="K303" s="451">
        <v>0</v>
      </c>
      <c r="L303" s="451">
        <v>0</v>
      </c>
      <c r="M303" s="451">
        <v>-354123</v>
      </c>
      <c r="N303" s="451">
        <v>258088</v>
      </c>
      <c r="O303" s="451">
        <v>0</v>
      </c>
      <c r="P303" s="451">
        <v>0</v>
      </c>
      <c r="Q303" s="451">
        <v>258088</v>
      </c>
      <c r="R303" s="451">
        <v>3268388</v>
      </c>
      <c r="S303" s="451">
        <v>0</v>
      </c>
      <c r="T303" s="451">
        <v>0</v>
      </c>
      <c r="U303" s="451">
        <v>3268388</v>
      </c>
      <c r="V303" s="451">
        <v>1256651</v>
      </c>
      <c r="W303" s="451">
        <v>0</v>
      </c>
      <c r="X303" s="451">
        <v>0</v>
      </c>
      <c r="Y303" s="451">
        <v>1256651</v>
      </c>
      <c r="Z303" s="451">
        <v>64689</v>
      </c>
      <c r="AA303" s="451">
        <v>0</v>
      </c>
      <c r="AB303" s="451">
        <v>0</v>
      </c>
      <c r="AC303" s="451">
        <v>64689</v>
      </c>
      <c r="AD303" s="451">
        <v>1317531</v>
      </c>
      <c r="AE303" s="451">
        <v>0</v>
      </c>
      <c r="AF303" s="451">
        <v>0</v>
      </c>
      <c r="AG303" s="451">
        <v>1317531</v>
      </c>
      <c r="AH303" s="451">
        <v>-71177</v>
      </c>
      <c r="AI303" s="451">
        <v>0</v>
      </c>
      <c r="AJ303" s="451">
        <v>0</v>
      </c>
      <c r="AK303" s="451">
        <v>-71177</v>
      </c>
      <c r="AL303" s="451">
        <v>2418447</v>
      </c>
      <c r="AM303" s="451">
        <v>0</v>
      </c>
      <c r="AN303" s="451">
        <v>0</v>
      </c>
      <c r="AO303" s="451">
        <v>2418447</v>
      </c>
      <c r="AP303" s="451">
        <v>-526</v>
      </c>
      <c r="AQ303" s="451">
        <v>0</v>
      </c>
      <c r="AR303" s="451">
        <v>0</v>
      </c>
      <c r="AS303" s="451">
        <v>-526</v>
      </c>
      <c r="AT303" s="451">
        <v>0</v>
      </c>
      <c r="AU303" s="451">
        <v>0</v>
      </c>
      <c r="AV303" s="451">
        <v>0</v>
      </c>
      <c r="AW303" s="451">
        <v>0</v>
      </c>
      <c r="AX303" s="451">
        <v>0</v>
      </c>
      <c r="AY303" s="451">
        <v>0</v>
      </c>
      <c r="AZ303" s="451">
        <v>0</v>
      </c>
      <c r="BA303" s="451">
        <v>0</v>
      </c>
      <c r="BB303" s="451">
        <v>0</v>
      </c>
      <c r="BC303" s="451">
        <v>0</v>
      </c>
      <c r="BD303" s="451">
        <v>0</v>
      </c>
      <c r="BE303" s="451">
        <v>0</v>
      </c>
      <c r="BF303" s="451">
        <v>0</v>
      </c>
      <c r="BG303" s="451">
        <v>0</v>
      </c>
      <c r="BH303" s="451">
        <v>0</v>
      </c>
      <c r="BI303" s="451">
        <v>0</v>
      </c>
      <c r="BJ303" s="451">
        <v>49113</v>
      </c>
      <c r="BK303" s="451">
        <v>0</v>
      </c>
      <c r="BL303" s="451">
        <v>0</v>
      </c>
      <c r="BM303" s="451">
        <v>49113</v>
      </c>
      <c r="BN303" s="451">
        <v>75359</v>
      </c>
      <c r="BO303" s="451">
        <v>0</v>
      </c>
      <c r="BP303" s="451">
        <v>0</v>
      </c>
      <c r="BQ303" s="451">
        <v>75359</v>
      </c>
      <c r="BR303" s="451">
        <v>2905737</v>
      </c>
      <c r="BS303" s="451">
        <v>0</v>
      </c>
      <c r="BT303" s="451">
        <v>0</v>
      </c>
      <c r="BU303" s="451">
        <v>2905737</v>
      </c>
      <c r="BV303" s="451">
        <v>34603</v>
      </c>
      <c r="BW303" s="451">
        <v>0</v>
      </c>
      <c r="BX303" s="451">
        <v>0</v>
      </c>
      <c r="BY303" s="451">
        <v>34603</v>
      </c>
      <c r="BZ303" s="451">
        <v>266689</v>
      </c>
      <c r="CA303" s="451">
        <v>0</v>
      </c>
      <c r="CB303" s="451">
        <v>0</v>
      </c>
      <c r="CC303" s="451">
        <v>266689</v>
      </c>
      <c r="CD303" s="451">
        <v>710</v>
      </c>
      <c r="CE303" s="451">
        <v>0</v>
      </c>
      <c r="CF303" s="451">
        <v>0</v>
      </c>
      <c r="CG303" s="451">
        <v>710</v>
      </c>
      <c r="CH303" s="451">
        <v>28577</v>
      </c>
      <c r="CI303" s="451">
        <v>0</v>
      </c>
      <c r="CJ303" s="451">
        <v>0</v>
      </c>
      <c r="CK303" s="451">
        <v>28577</v>
      </c>
      <c r="CL303" s="451">
        <v>-7765</v>
      </c>
      <c r="CM303" s="451">
        <v>0</v>
      </c>
      <c r="CN303" s="451">
        <v>0</v>
      </c>
      <c r="CO303" s="451">
        <v>-7765</v>
      </c>
      <c r="CP303" s="451">
        <v>0</v>
      </c>
      <c r="CQ303" s="451">
        <v>0</v>
      </c>
      <c r="CR303" s="451">
        <v>0</v>
      </c>
      <c r="CS303" s="451">
        <v>0</v>
      </c>
      <c r="CT303" s="451">
        <v>0</v>
      </c>
      <c r="CU303" s="451">
        <v>0</v>
      </c>
      <c r="CV303" s="451">
        <v>0</v>
      </c>
      <c r="CW303" s="451">
        <v>0</v>
      </c>
      <c r="CX303" s="451">
        <v>0</v>
      </c>
      <c r="CY303" s="451">
        <v>0</v>
      </c>
      <c r="CZ303" s="451">
        <v>0</v>
      </c>
      <c r="DA303" s="451">
        <v>0</v>
      </c>
      <c r="DB303" s="451">
        <v>0</v>
      </c>
      <c r="DC303" s="451">
        <v>0</v>
      </c>
      <c r="DD303" s="451">
        <v>0</v>
      </c>
      <c r="DE303" s="451">
        <v>0</v>
      </c>
      <c r="DF303" s="451">
        <v>0</v>
      </c>
      <c r="DG303" s="451">
        <v>0</v>
      </c>
      <c r="DH303" s="451">
        <v>0</v>
      </c>
      <c r="DI303" s="451">
        <v>0</v>
      </c>
      <c r="DJ303" s="451">
        <v>0</v>
      </c>
      <c r="DK303" s="451">
        <v>0</v>
      </c>
      <c r="DL303" s="451">
        <v>0</v>
      </c>
      <c r="DM303" s="451">
        <v>0</v>
      </c>
      <c r="DN303" s="451">
        <v>0</v>
      </c>
      <c r="DO303" s="451">
        <v>0</v>
      </c>
      <c r="DP303" s="451">
        <v>0</v>
      </c>
      <c r="DQ303" s="451">
        <v>0</v>
      </c>
      <c r="DR303" s="451">
        <v>0</v>
      </c>
      <c r="DS303" s="451">
        <v>0</v>
      </c>
      <c r="DT303" s="451">
        <v>0</v>
      </c>
      <c r="DU303" s="451">
        <v>0</v>
      </c>
      <c r="DV303" s="451">
        <v>0</v>
      </c>
      <c r="DW303" s="451">
        <v>0</v>
      </c>
      <c r="DX303" s="451">
        <v>0</v>
      </c>
      <c r="DY303" s="451">
        <v>0</v>
      </c>
      <c r="DZ303" s="451">
        <v>0</v>
      </c>
      <c r="EA303" s="451">
        <v>0</v>
      </c>
      <c r="EB303" s="451">
        <v>0</v>
      </c>
      <c r="EC303" s="451">
        <v>0</v>
      </c>
      <c r="ED303" s="451">
        <v>0</v>
      </c>
      <c r="EE303" s="451">
        <v>0</v>
      </c>
      <c r="EF303" s="451">
        <v>0</v>
      </c>
      <c r="EG303" s="451">
        <v>0</v>
      </c>
      <c r="EH303" s="451">
        <v>0</v>
      </c>
      <c r="EI303" s="451">
        <v>0</v>
      </c>
      <c r="EJ303" s="451">
        <v>0</v>
      </c>
      <c r="EK303" s="451">
        <v>0</v>
      </c>
      <c r="EL303" s="451">
        <v>0</v>
      </c>
      <c r="EM303" s="451">
        <v>0</v>
      </c>
    </row>
    <row r="304" spans="1:143" ht="12.75" x14ac:dyDescent="0.2">
      <c r="A304" s="446">
        <v>298</v>
      </c>
      <c r="B304" s="447" t="s">
        <v>479</v>
      </c>
      <c r="C304" s="448" t="s">
        <v>1093</v>
      </c>
      <c r="D304" s="449" t="s">
        <v>1097</v>
      </c>
      <c r="E304" s="450" t="s">
        <v>478</v>
      </c>
      <c r="F304" s="451">
        <v>121104.58</v>
      </c>
      <c r="G304" s="451">
        <v>0</v>
      </c>
      <c r="H304" s="451">
        <v>0</v>
      </c>
      <c r="I304" s="451">
        <v>121104.58</v>
      </c>
      <c r="J304" s="451">
        <v>-168922.47</v>
      </c>
      <c r="K304" s="451">
        <v>0</v>
      </c>
      <c r="L304" s="451">
        <v>0</v>
      </c>
      <c r="M304" s="451">
        <v>-168922.47</v>
      </c>
      <c r="N304" s="451">
        <v>68570.710000000006</v>
      </c>
      <c r="O304" s="451">
        <v>0</v>
      </c>
      <c r="P304" s="451">
        <v>0</v>
      </c>
      <c r="Q304" s="451">
        <v>68570.710000000006</v>
      </c>
      <c r="R304" s="451">
        <v>59222.6</v>
      </c>
      <c r="S304" s="451">
        <v>0</v>
      </c>
      <c r="T304" s="451">
        <v>0</v>
      </c>
      <c r="U304" s="451">
        <v>59222.6</v>
      </c>
      <c r="V304" s="451">
        <v>2984968.24</v>
      </c>
      <c r="W304" s="451">
        <v>0</v>
      </c>
      <c r="X304" s="451">
        <v>0</v>
      </c>
      <c r="Y304" s="451">
        <v>2984968.24</v>
      </c>
      <c r="Z304" s="451">
        <v>94627.82</v>
      </c>
      <c r="AA304" s="451">
        <v>0</v>
      </c>
      <c r="AB304" s="451">
        <v>0</v>
      </c>
      <c r="AC304" s="451">
        <v>94627.82</v>
      </c>
      <c r="AD304" s="451">
        <v>498624.3</v>
      </c>
      <c r="AE304" s="451">
        <v>0</v>
      </c>
      <c r="AF304" s="451">
        <v>0</v>
      </c>
      <c r="AG304" s="451">
        <v>498624.3</v>
      </c>
      <c r="AH304" s="451">
        <v>-4348.66</v>
      </c>
      <c r="AI304" s="451">
        <v>0</v>
      </c>
      <c r="AJ304" s="451">
        <v>0</v>
      </c>
      <c r="AK304" s="451">
        <v>-4348.66</v>
      </c>
      <c r="AL304" s="451">
        <v>1848389.36</v>
      </c>
      <c r="AM304" s="451">
        <v>0</v>
      </c>
      <c r="AN304" s="451">
        <v>0</v>
      </c>
      <c r="AO304" s="451">
        <v>1848389.36</v>
      </c>
      <c r="AP304" s="451">
        <v>90184.2</v>
      </c>
      <c r="AQ304" s="451">
        <v>0</v>
      </c>
      <c r="AR304" s="451">
        <v>0</v>
      </c>
      <c r="AS304" s="451">
        <v>90184.2</v>
      </c>
      <c r="AT304" s="451">
        <v>61908.2</v>
      </c>
      <c r="AU304" s="451">
        <v>0</v>
      </c>
      <c r="AV304" s="451">
        <v>0</v>
      </c>
      <c r="AW304" s="451">
        <v>61908.2</v>
      </c>
      <c r="AX304" s="451">
        <v>0</v>
      </c>
      <c r="AY304" s="451">
        <v>0</v>
      </c>
      <c r="AZ304" s="451">
        <v>0</v>
      </c>
      <c r="BA304" s="451">
        <v>0</v>
      </c>
      <c r="BB304" s="451">
        <v>18845.650000000001</v>
      </c>
      <c r="BC304" s="451">
        <v>0</v>
      </c>
      <c r="BD304" s="451">
        <v>0</v>
      </c>
      <c r="BE304" s="451">
        <v>18845.650000000001</v>
      </c>
      <c r="BF304" s="451">
        <v>-1850.85</v>
      </c>
      <c r="BG304" s="451">
        <v>0</v>
      </c>
      <c r="BH304" s="451">
        <v>0</v>
      </c>
      <c r="BI304" s="451">
        <v>-1850.85</v>
      </c>
      <c r="BJ304" s="451">
        <v>8396.18</v>
      </c>
      <c r="BK304" s="451">
        <v>0</v>
      </c>
      <c r="BL304" s="451">
        <v>0</v>
      </c>
      <c r="BM304" s="451">
        <v>8396.18</v>
      </c>
      <c r="BN304" s="451">
        <v>13350.35</v>
      </c>
      <c r="BO304" s="451">
        <v>0</v>
      </c>
      <c r="BP304" s="451">
        <v>0</v>
      </c>
      <c r="BQ304" s="451">
        <v>13350.35</v>
      </c>
      <c r="BR304" s="451">
        <v>864230.41</v>
      </c>
      <c r="BS304" s="451">
        <v>0</v>
      </c>
      <c r="BT304" s="451">
        <v>0</v>
      </c>
      <c r="BU304" s="451">
        <v>864230.41</v>
      </c>
      <c r="BV304" s="451">
        <v>-41143.269999999997</v>
      </c>
      <c r="BW304" s="451">
        <v>0</v>
      </c>
      <c r="BX304" s="451">
        <v>0</v>
      </c>
      <c r="BY304" s="451">
        <v>-41143.269999999997</v>
      </c>
      <c r="BZ304" s="451">
        <v>84254.399999999994</v>
      </c>
      <c r="CA304" s="451">
        <v>0</v>
      </c>
      <c r="CB304" s="451">
        <v>0</v>
      </c>
      <c r="CC304" s="451">
        <v>84254.399999999994</v>
      </c>
      <c r="CD304" s="451">
        <v>24684.03</v>
      </c>
      <c r="CE304" s="451">
        <v>0</v>
      </c>
      <c r="CF304" s="451">
        <v>0</v>
      </c>
      <c r="CG304" s="451">
        <v>24684.03</v>
      </c>
      <c r="CH304" s="451">
        <v>3465</v>
      </c>
      <c r="CI304" s="451">
        <v>0</v>
      </c>
      <c r="CJ304" s="451">
        <v>0</v>
      </c>
      <c r="CK304" s="451">
        <v>3465</v>
      </c>
      <c r="CL304" s="451">
        <v>0</v>
      </c>
      <c r="CM304" s="451">
        <v>0</v>
      </c>
      <c r="CN304" s="451">
        <v>0</v>
      </c>
      <c r="CO304" s="451">
        <v>0</v>
      </c>
      <c r="CP304" s="451">
        <v>258.11</v>
      </c>
      <c r="CQ304" s="451">
        <v>0</v>
      </c>
      <c r="CR304" s="451">
        <v>0</v>
      </c>
      <c r="CS304" s="451">
        <v>258.11</v>
      </c>
      <c r="CT304" s="451">
        <v>0</v>
      </c>
      <c r="CU304" s="451">
        <v>0</v>
      </c>
      <c r="CV304" s="451">
        <v>0</v>
      </c>
      <c r="CW304" s="451">
        <v>0</v>
      </c>
      <c r="CX304" s="451">
        <v>11280.44</v>
      </c>
      <c r="CY304" s="451">
        <v>0</v>
      </c>
      <c r="CZ304" s="451">
        <v>0</v>
      </c>
      <c r="DA304" s="451">
        <v>11280.44</v>
      </c>
      <c r="DB304" s="451">
        <v>824.4</v>
      </c>
      <c r="DC304" s="451">
        <v>0</v>
      </c>
      <c r="DD304" s="451">
        <v>0</v>
      </c>
      <c r="DE304" s="451">
        <v>824.4</v>
      </c>
      <c r="DF304" s="451">
        <v>0</v>
      </c>
      <c r="DG304" s="451">
        <v>0</v>
      </c>
      <c r="DH304" s="451">
        <v>0</v>
      </c>
      <c r="DI304" s="451">
        <v>0</v>
      </c>
      <c r="DJ304" s="451">
        <v>0</v>
      </c>
      <c r="DK304" s="451">
        <v>0</v>
      </c>
      <c r="DL304" s="451">
        <v>0</v>
      </c>
      <c r="DM304" s="451">
        <v>0</v>
      </c>
      <c r="DN304" s="451">
        <v>0</v>
      </c>
      <c r="DO304" s="451">
        <v>0</v>
      </c>
      <c r="DP304" s="451">
        <v>0</v>
      </c>
      <c r="DQ304" s="451">
        <v>0</v>
      </c>
      <c r="DR304" s="451">
        <v>0</v>
      </c>
      <c r="DS304" s="451">
        <v>0</v>
      </c>
      <c r="DT304" s="451">
        <v>0</v>
      </c>
      <c r="DU304" s="451">
        <v>0</v>
      </c>
      <c r="DV304" s="451">
        <v>0</v>
      </c>
      <c r="DW304" s="451">
        <v>0</v>
      </c>
      <c r="DX304" s="451">
        <v>0</v>
      </c>
      <c r="DY304" s="451">
        <v>0</v>
      </c>
      <c r="DZ304" s="451">
        <v>0</v>
      </c>
      <c r="EA304" s="451">
        <v>0</v>
      </c>
      <c r="EB304" s="451">
        <v>0</v>
      </c>
      <c r="EC304" s="451">
        <v>0</v>
      </c>
      <c r="ED304" s="451">
        <v>0</v>
      </c>
      <c r="EE304" s="451">
        <v>0</v>
      </c>
      <c r="EF304" s="451">
        <v>0</v>
      </c>
      <c r="EG304" s="451">
        <v>0</v>
      </c>
      <c r="EH304" s="451">
        <v>0</v>
      </c>
      <c r="EI304" s="451">
        <v>0</v>
      </c>
      <c r="EJ304" s="451">
        <v>0</v>
      </c>
      <c r="EK304" s="451">
        <v>0</v>
      </c>
      <c r="EL304" s="451">
        <v>0</v>
      </c>
      <c r="EM304" s="451">
        <v>0</v>
      </c>
    </row>
    <row r="305" spans="1:143" ht="12.75" x14ac:dyDescent="0.2">
      <c r="A305" s="446">
        <v>299</v>
      </c>
      <c r="B305" s="447" t="s">
        <v>481</v>
      </c>
      <c r="C305" s="448" t="s">
        <v>1093</v>
      </c>
      <c r="D305" s="449" t="s">
        <v>1094</v>
      </c>
      <c r="E305" s="450" t="s">
        <v>480</v>
      </c>
      <c r="F305" s="451">
        <v>68260</v>
      </c>
      <c r="G305" s="451">
        <v>0</v>
      </c>
      <c r="H305" s="451">
        <v>0</v>
      </c>
      <c r="I305" s="451">
        <v>68260</v>
      </c>
      <c r="J305" s="451">
        <v>-36610</v>
      </c>
      <c r="K305" s="451">
        <v>0</v>
      </c>
      <c r="L305" s="451">
        <v>0</v>
      </c>
      <c r="M305" s="451">
        <v>-36610</v>
      </c>
      <c r="N305" s="451">
        <v>24447</v>
      </c>
      <c r="O305" s="451">
        <v>0</v>
      </c>
      <c r="P305" s="451">
        <v>0</v>
      </c>
      <c r="Q305" s="451">
        <v>24447</v>
      </c>
      <c r="R305" s="451">
        <v>37883</v>
      </c>
      <c r="S305" s="451">
        <v>0</v>
      </c>
      <c r="T305" s="451">
        <v>0</v>
      </c>
      <c r="U305" s="451">
        <v>37883</v>
      </c>
      <c r="V305" s="451">
        <v>1980729</v>
      </c>
      <c r="W305" s="451">
        <v>0</v>
      </c>
      <c r="X305" s="451">
        <v>0</v>
      </c>
      <c r="Y305" s="451">
        <v>1980729</v>
      </c>
      <c r="Z305" s="451">
        <v>175596</v>
      </c>
      <c r="AA305" s="451">
        <v>0</v>
      </c>
      <c r="AB305" s="451">
        <v>0</v>
      </c>
      <c r="AC305" s="451">
        <v>175596</v>
      </c>
      <c r="AD305" s="451">
        <v>716137</v>
      </c>
      <c r="AE305" s="451">
        <v>0</v>
      </c>
      <c r="AF305" s="451">
        <v>0</v>
      </c>
      <c r="AG305" s="451">
        <v>716137</v>
      </c>
      <c r="AH305" s="451">
        <v>-10078</v>
      </c>
      <c r="AI305" s="451">
        <v>0</v>
      </c>
      <c r="AJ305" s="451">
        <v>0</v>
      </c>
      <c r="AK305" s="451">
        <v>-10078</v>
      </c>
      <c r="AL305" s="451">
        <v>4698268</v>
      </c>
      <c r="AM305" s="451">
        <v>0</v>
      </c>
      <c r="AN305" s="451">
        <v>0</v>
      </c>
      <c r="AO305" s="451">
        <v>4698268</v>
      </c>
      <c r="AP305" s="451">
        <v>-71451</v>
      </c>
      <c r="AQ305" s="451">
        <v>0</v>
      </c>
      <c r="AR305" s="451">
        <v>0</v>
      </c>
      <c r="AS305" s="451">
        <v>-71451</v>
      </c>
      <c r="AT305" s="451">
        <v>42536</v>
      </c>
      <c r="AU305" s="451">
        <v>0</v>
      </c>
      <c r="AV305" s="451">
        <v>0</v>
      </c>
      <c r="AW305" s="451">
        <v>42536</v>
      </c>
      <c r="AX305" s="451">
        <v>9320</v>
      </c>
      <c r="AY305" s="451">
        <v>0</v>
      </c>
      <c r="AZ305" s="451">
        <v>0</v>
      </c>
      <c r="BA305" s="451">
        <v>9320</v>
      </c>
      <c r="BB305" s="451">
        <v>6703</v>
      </c>
      <c r="BC305" s="451">
        <v>0</v>
      </c>
      <c r="BD305" s="451">
        <v>0</v>
      </c>
      <c r="BE305" s="451">
        <v>6703</v>
      </c>
      <c r="BF305" s="451">
        <v>0</v>
      </c>
      <c r="BG305" s="451">
        <v>0</v>
      </c>
      <c r="BH305" s="451">
        <v>0</v>
      </c>
      <c r="BI305" s="451">
        <v>0</v>
      </c>
      <c r="BJ305" s="451">
        <v>0</v>
      </c>
      <c r="BK305" s="451">
        <v>0</v>
      </c>
      <c r="BL305" s="451">
        <v>0</v>
      </c>
      <c r="BM305" s="451">
        <v>0</v>
      </c>
      <c r="BN305" s="451">
        <v>-1686</v>
      </c>
      <c r="BO305" s="451">
        <v>0</v>
      </c>
      <c r="BP305" s="451">
        <v>0</v>
      </c>
      <c r="BQ305" s="451">
        <v>-1686</v>
      </c>
      <c r="BR305" s="451">
        <v>1141941</v>
      </c>
      <c r="BS305" s="451">
        <v>0</v>
      </c>
      <c r="BT305" s="451">
        <v>0</v>
      </c>
      <c r="BU305" s="451">
        <v>1141941</v>
      </c>
      <c r="BV305" s="451">
        <v>2441</v>
      </c>
      <c r="BW305" s="451">
        <v>0</v>
      </c>
      <c r="BX305" s="451">
        <v>0</v>
      </c>
      <c r="BY305" s="451">
        <v>2441</v>
      </c>
      <c r="BZ305" s="451">
        <v>61732</v>
      </c>
      <c r="CA305" s="451">
        <v>0</v>
      </c>
      <c r="CB305" s="451">
        <v>0</v>
      </c>
      <c r="CC305" s="451">
        <v>61732</v>
      </c>
      <c r="CD305" s="451">
        <v>261</v>
      </c>
      <c r="CE305" s="451">
        <v>0</v>
      </c>
      <c r="CF305" s="451">
        <v>0</v>
      </c>
      <c r="CG305" s="451">
        <v>261</v>
      </c>
      <c r="CH305" s="451">
        <v>370567</v>
      </c>
      <c r="CI305" s="451">
        <v>0</v>
      </c>
      <c r="CJ305" s="451">
        <v>0</v>
      </c>
      <c r="CK305" s="451">
        <v>370567</v>
      </c>
      <c r="CL305" s="451">
        <v>-4776</v>
      </c>
      <c r="CM305" s="451">
        <v>0</v>
      </c>
      <c r="CN305" s="451">
        <v>0</v>
      </c>
      <c r="CO305" s="451">
        <v>-4776</v>
      </c>
      <c r="CP305" s="451">
        <v>0</v>
      </c>
      <c r="CQ305" s="451">
        <v>0</v>
      </c>
      <c r="CR305" s="451">
        <v>0</v>
      </c>
      <c r="CS305" s="451">
        <v>0</v>
      </c>
      <c r="CT305" s="451">
        <v>0</v>
      </c>
      <c r="CU305" s="451">
        <v>0</v>
      </c>
      <c r="CV305" s="451">
        <v>0</v>
      </c>
      <c r="CW305" s="451">
        <v>0</v>
      </c>
      <c r="CX305" s="451">
        <v>4022</v>
      </c>
      <c r="CY305" s="451">
        <v>0</v>
      </c>
      <c r="CZ305" s="451">
        <v>0</v>
      </c>
      <c r="DA305" s="451">
        <v>4022</v>
      </c>
      <c r="DB305" s="451">
        <v>0</v>
      </c>
      <c r="DC305" s="451">
        <v>0</v>
      </c>
      <c r="DD305" s="451">
        <v>0</v>
      </c>
      <c r="DE305" s="451">
        <v>0</v>
      </c>
      <c r="DF305" s="451">
        <v>6394</v>
      </c>
      <c r="DG305" s="451">
        <v>0</v>
      </c>
      <c r="DH305" s="451">
        <v>0</v>
      </c>
      <c r="DI305" s="451">
        <v>6394</v>
      </c>
      <c r="DJ305" s="451">
        <v>0</v>
      </c>
      <c r="DK305" s="451">
        <v>0</v>
      </c>
      <c r="DL305" s="451">
        <v>0</v>
      </c>
      <c r="DM305" s="451">
        <v>0</v>
      </c>
      <c r="DN305" s="451">
        <v>0</v>
      </c>
      <c r="DO305" s="451">
        <v>0</v>
      </c>
      <c r="DP305" s="451">
        <v>0</v>
      </c>
      <c r="DQ305" s="451">
        <v>0</v>
      </c>
      <c r="DR305" s="451">
        <v>0</v>
      </c>
      <c r="DS305" s="451">
        <v>0</v>
      </c>
      <c r="DT305" s="451">
        <v>0</v>
      </c>
      <c r="DU305" s="451">
        <v>0</v>
      </c>
      <c r="DV305" s="451">
        <v>0</v>
      </c>
      <c r="DW305" s="451">
        <v>0</v>
      </c>
      <c r="DX305" s="451">
        <v>730</v>
      </c>
      <c r="DY305" s="451">
        <v>0</v>
      </c>
      <c r="DZ305" s="451">
        <v>0</v>
      </c>
      <c r="EA305" s="451">
        <v>730</v>
      </c>
      <c r="EB305" s="451">
        <v>30019</v>
      </c>
      <c r="EC305" s="451">
        <v>0</v>
      </c>
      <c r="ED305" s="451">
        <v>0</v>
      </c>
      <c r="EE305" s="451">
        <v>30019</v>
      </c>
      <c r="EF305" s="451">
        <v>0</v>
      </c>
      <c r="EG305" s="451">
        <v>0</v>
      </c>
      <c r="EH305" s="451">
        <v>0</v>
      </c>
      <c r="EI305" s="451">
        <v>0</v>
      </c>
      <c r="EJ305" s="451">
        <v>0</v>
      </c>
      <c r="EK305" s="451">
        <v>0</v>
      </c>
      <c r="EL305" s="451">
        <v>0</v>
      </c>
      <c r="EM305" s="451">
        <v>0</v>
      </c>
    </row>
    <row r="306" spans="1:143" ht="12.75" x14ac:dyDescent="0.2">
      <c r="A306" s="446">
        <v>300</v>
      </c>
      <c r="B306" s="447" t="s">
        <v>483</v>
      </c>
      <c r="C306" s="448" t="s">
        <v>1093</v>
      </c>
      <c r="D306" s="449" t="s">
        <v>1094</v>
      </c>
      <c r="E306" s="450" t="s">
        <v>482</v>
      </c>
      <c r="F306" s="451">
        <v>196273</v>
      </c>
      <c r="G306" s="451">
        <v>0</v>
      </c>
      <c r="H306" s="451">
        <v>0</v>
      </c>
      <c r="I306" s="451">
        <v>196273</v>
      </c>
      <c r="J306" s="451">
        <v>-143614</v>
      </c>
      <c r="K306" s="451">
        <v>0</v>
      </c>
      <c r="L306" s="451">
        <v>0</v>
      </c>
      <c r="M306" s="451">
        <v>-143614</v>
      </c>
      <c r="N306" s="451">
        <v>38110</v>
      </c>
      <c r="O306" s="451">
        <v>0</v>
      </c>
      <c r="P306" s="451">
        <v>0</v>
      </c>
      <c r="Q306" s="451">
        <v>38110</v>
      </c>
      <c r="R306" s="451">
        <v>33873</v>
      </c>
      <c r="S306" s="451">
        <v>0</v>
      </c>
      <c r="T306" s="451">
        <v>0</v>
      </c>
      <c r="U306" s="451">
        <v>33873</v>
      </c>
      <c r="V306" s="451">
        <v>4230888</v>
      </c>
      <c r="W306" s="451">
        <v>0</v>
      </c>
      <c r="X306" s="451">
        <v>0</v>
      </c>
      <c r="Y306" s="451">
        <v>4230888</v>
      </c>
      <c r="Z306" s="451">
        <v>114304</v>
      </c>
      <c r="AA306" s="451">
        <v>0</v>
      </c>
      <c r="AB306" s="451">
        <v>0</v>
      </c>
      <c r="AC306" s="451">
        <v>114304</v>
      </c>
      <c r="AD306" s="451">
        <v>505360</v>
      </c>
      <c r="AE306" s="451">
        <v>0</v>
      </c>
      <c r="AF306" s="451">
        <v>0</v>
      </c>
      <c r="AG306" s="451">
        <v>505360</v>
      </c>
      <c r="AH306" s="451">
        <v>-12517</v>
      </c>
      <c r="AI306" s="451">
        <v>0</v>
      </c>
      <c r="AJ306" s="451">
        <v>0</v>
      </c>
      <c r="AK306" s="451">
        <v>-12517</v>
      </c>
      <c r="AL306" s="451">
        <v>2455654</v>
      </c>
      <c r="AM306" s="451">
        <v>0</v>
      </c>
      <c r="AN306" s="451">
        <v>0</v>
      </c>
      <c r="AO306" s="451">
        <v>2455654</v>
      </c>
      <c r="AP306" s="451">
        <v>-27332.93</v>
      </c>
      <c r="AQ306" s="451">
        <v>0</v>
      </c>
      <c r="AR306" s="451">
        <v>0</v>
      </c>
      <c r="AS306" s="451">
        <v>-27332.93</v>
      </c>
      <c r="AT306" s="451">
        <v>126889</v>
      </c>
      <c r="AU306" s="451">
        <v>0</v>
      </c>
      <c r="AV306" s="451">
        <v>0</v>
      </c>
      <c r="AW306" s="451">
        <v>126889</v>
      </c>
      <c r="AX306" s="451">
        <v>0</v>
      </c>
      <c r="AY306" s="451">
        <v>0</v>
      </c>
      <c r="AZ306" s="451">
        <v>0</v>
      </c>
      <c r="BA306" s="451">
        <v>0</v>
      </c>
      <c r="BB306" s="451">
        <v>72014</v>
      </c>
      <c r="BC306" s="451">
        <v>0</v>
      </c>
      <c r="BD306" s="451">
        <v>0</v>
      </c>
      <c r="BE306" s="451">
        <v>72014</v>
      </c>
      <c r="BF306" s="451">
        <v>689</v>
      </c>
      <c r="BG306" s="451">
        <v>0</v>
      </c>
      <c r="BH306" s="451">
        <v>0</v>
      </c>
      <c r="BI306" s="451">
        <v>689</v>
      </c>
      <c r="BJ306" s="451">
        <v>19077</v>
      </c>
      <c r="BK306" s="451">
        <v>0</v>
      </c>
      <c r="BL306" s="451">
        <v>0</v>
      </c>
      <c r="BM306" s="451">
        <v>19077</v>
      </c>
      <c r="BN306" s="451">
        <v>11083</v>
      </c>
      <c r="BO306" s="451">
        <v>0</v>
      </c>
      <c r="BP306" s="451">
        <v>0</v>
      </c>
      <c r="BQ306" s="451">
        <v>11083</v>
      </c>
      <c r="BR306" s="451">
        <v>1044393</v>
      </c>
      <c r="BS306" s="451">
        <v>0</v>
      </c>
      <c r="BT306" s="451">
        <v>0</v>
      </c>
      <c r="BU306" s="451">
        <v>1044393</v>
      </c>
      <c r="BV306" s="451">
        <v>-11377</v>
      </c>
      <c r="BW306" s="451">
        <v>0</v>
      </c>
      <c r="BX306" s="451">
        <v>0</v>
      </c>
      <c r="BY306" s="451">
        <v>-11377</v>
      </c>
      <c r="BZ306" s="451">
        <v>75673</v>
      </c>
      <c r="CA306" s="451">
        <v>0</v>
      </c>
      <c r="CB306" s="451">
        <v>0</v>
      </c>
      <c r="CC306" s="451">
        <v>75673</v>
      </c>
      <c r="CD306" s="451">
        <v>498</v>
      </c>
      <c r="CE306" s="451">
        <v>0</v>
      </c>
      <c r="CF306" s="451">
        <v>0</v>
      </c>
      <c r="CG306" s="451">
        <v>498</v>
      </c>
      <c r="CH306" s="451">
        <v>21774</v>
      </c>
      <c r="CI306" s="451">
        <v>0</v>
      </c>
      <c r="CJ306" s="451">
        <v>0</v>
      </c>
      <c r="CK306" s="451">
        <v>21774</v>
      </c>
      <c r="CL306" s="451">
        <v>0</v>
      </c>
      <c r="CM306" s="451">
        <v>0</v>
      </c>
      <c r="CN306" s="451">
        <v>0</v>
      </c>
      <c r="CO306" s="451">
        <v>0</v>
      </c>
      <c r="CP306" s="451">
        <v>0</v>
      </c>
      <c r="CQ306" s="451">
        <v>0</v>
      </c>
      <c r="CR306" s="451">
        <v>0</v>
      </c>
      <c r="CS306" s="451">
        <v>0</v>
      </c>
      <c r="CT306" s="451">
        <v>0</v>
      </c>
      <c r="CU306" s="451">
        <v>0</v>
      </c>
      <c r="CV306" s="451">
        <v>0</v>
      </c>
      <c r="CW306" s="451">
        <v>0</v>
      </c>
      <c r="CX306" s="451">
        <v>15888</v>
      </c>
      <c r="CY306" s="451">
        <v>0</v>
      </c>
      <c r="CZ306" s="451">
        <v>0</v>
      </c>
      <c r="DA306" s="451">
        <v>15888</v>
      </c>
      <c r="DB306" s="451">
        <v>648</v>
      </c>
      <c r="DC306" s="451">
        <v>0</v>
      </c>
      <c r="DD306" s="451">
        <v>0</v>
      </c>
      <c r="DE306" s="451">
        <v>648</v>
      </c>
      <c r="DF306" s="451">
        <v>20038</v>
      </c>
      <c r="DG306" s="451">
        <v>0</v>
      </c>
      <c r="DH306" s="451">
        <v>0</v>
      </c>
      <c r="DI306" s="451">
        <v>20038</v>
      </c>
      <c r="DJ306" s="451">
        <v>0</v>
      </c>
      <c r="DK306" s="451">
        <v>0</v>
      </c>
      <c r="DL306" s="451">
        <v>0</v>
      </c>
      <c r="DM306" s="451">
        <v>0</v>
      </c>
      <c r="DN306" s="451">
        <v>0</v>
      </c>
      <c r="DO306" s="451">
        <v>0</v>
      </c>
      <c r="DP306" s="451">
        <v>0</v>
      </c>
      <c r="DQ306" s="451">
        <v>0</v>
      </c>
      <c r="DR306" s="451">
        <v>0</v>
      </c>
      <c r="DS306" s="451">
        <v>0</v>
      </c>
      <c r="DT306" s="451">
        <v>0</v>
      </c>
      <c r="DU306" s="451">
        <v>0</v>
      </c>
      <c r="DV306" s="451">
        <v>0</v>
      </c>
      <c r="DW306" s="451">
        <v>0</v>
      </c>
      <c r="DX306" s="451">
        <v>0</v>
      </c>
      <c r="DY306" s="451">
        <v>0</v>
      </c>
      <c r="DZ306" s="451">
        <v>0</v>
      </c>
      <c r="EA306" s="451">
        <v>0</v>
      </c>
      <c r="EB306" s="451">
        <v>3775</v>
      </c>
      <c r="EC306" s="451">
        <v>0</v>
      </c>
      <c r="ED306" s="451">
        <v>0</v>
      </c>
      <c r="EE306" s="451">
        <v>3775</v>
      </c>
      <c r="EF306" s="451">
        <v>0</v>
      </c>
      <c r="EG306" s="451">
        <v>0</v>
      </c>
      <c r="EH306" s="451">
        <v>0</v>
      </c>
      <c r="EI306" s="451">
        <v>0</v>
      </c>
      <c r="EJ306" s="451">
        <v>0</v>
      </c>
      <c r="EK306" s="451">
        <v>0</v>
      </c>
      <c r="EL306" s="451">
        <v>0</v>
      </c>
      <c r="EM306" s="451">
        <v>0</v>
      </c>
    </row>
    <row r="307" spans="1:143" ht="12.75" x14ac:dyDescent="0.2">
      <c r="A307" s="446">
        <v>301</v>
      </c>
      <c r="B307" s="447" t="s">
        <v>485</v>
      </c>
      <c r="C307" s="448" t="s">
        <v>1093</v>
      </c>
      <c r="D307" s="449" t="s">
        <v>1096</v>
      </c>
      <c r="E307" s="450" t="s">
        <v>484</v>
      </c>
      <c r="F307" s="451">
        <v>28791.8</v>
      </c>
      <c r="G307" s="451">
        <v>0</v>
      </c>
      <c r="H307" s="451">
        <v>0</v>
      </c>
      <c r="I307" s="451">
        <v>28791.8</v>
      </c>
      <c r="J307" s="451">
        <v>-20141.330000000002</v>
      </c>
      <c r="K307" s="451">
        <v>0</v>
      </c>
      <c r="L307" s="451">
        <v>0</v>
      </c>
      <c r="M307" s="451">
        <v>-20141.330000000002</v>
      </c>
      <c r="N307" s="451">
        <v>16797.12</v>
      </c>
      <c r="O307" s="451">
        <v>0</v>
      </c>
      <c r="P307" s="451">
        <v>0</v>
      </c>
      <c r="Q307" s="451">
        <v>16797.12</v>
      </c>
      <c r="R307" s="451">
        <v>89103.07</v>
      </c>
      <c r="S307" s="451">
        <v>0</v>
      </c>
      <c r="T307" s="451">
        <v>0</v>
      </c>
      <c r="U307" s="451">
        <v>89103.07</v>
      </c>
      <c r="V307" s="451">
        <v>1832656.68</v>
      </c>
      <c r="W307" s="451">
        <v>0</v>
      </c>
      <c r="X307" s="451">
        <v>0</v>
      </c>
      <c r="Y307" s="451">
        <v>1832656.68</v>
      </c>
      <c r="Z307" s="451">
        <v>15793.68</v>
      </c>
      <c r="AA307" s="451">
        <v>0</v>
      </c>
      <c r="AB307" s="451">
        <v>0</v>
      </c>
      <c r="AC307" s="451">
        <v>15793.68</v>
      </c>
      <c r="AD307" s="451">
        <v>555115.30000000005</v>
      </c>
      <c r="AE307" s="451">
        <v>0</v>
      </c>
      <c r="AF307" s="451">
        <v>0</v>
      </c>
      <c r="AG307" s="451">
        <v>555115.30000000005</v>
      </c>
      <c r="AH307" s="451">
        <v>-7874.12</v>
      </c>
      <c r="AI307" s="451">
        <v>0</v>
      </c>
      <c r="AJ307" s="451">
        <v>0</v>
      </c>
      <c r="AK307" s="451">
        <v>-7874.12</v>
      </c>
      <c r="AL307" s="451">
        <v>1628086.8</v>
      </c>
      <c r="AM307" s="451">
        <v>0</v>
      </c>
      <c r="AN307" s="451">
        <v>0</v>
      </c>
      <c r="AO307" s="451">
        <v>1628086.8</v>
      </c>
      <c r="AP307" s="451">
        <v>-16741.09</v>
      </c>
      <c r="AQ307" s="451">
        <v>0</v>
      </c>
      <c r="AR307" s="451">
        <v>0</v>
      </c>
      <c r="AS307" s="451">
        <v>-16741.09</v>
      </c>
      <c r="AT307" s="451">
        <v>2901.36</v>
      </c>
      <c r="AU307" s="451">
        <v>0</v>
      </c>
      <c r="AV307" s="451">
        <v>0</v>
      </c>
      <c r="AW307" s="451">
        <v>2901.36</v>
      </c>
      <c r="AX307" s="451">
        <v>0</v>
      </c>
      <c r="AY307" s="451">
        <v>0</v>
      </c>
      <c r="AZ307" s="451">
        <v>0</v>
      </c>
      <c r="BA307" s="451">
        <v>0</v>
      </c>
      <c r="BB307" s="451">
        <v>2413.87</v>
      </c>
      <c r="BC307" s="451">
        <v>0</v>
      </c>
      <c r="BD307" s="451">
        <v>0</v>
      </c>
      <c r="BE307" s="451">
        <v>2413.87</v>
      </c>
      <c r="BF307" s="451">
        <v>0</v>
      </c>
      <c r="BG307" s="451">
        <v>0</v>
      </c>
      <c r="BH307" s="451">
        <v>0</v>
      </c>
      <c r="BI307" s="451">
        <v>0</v>
      </c>
      <c r="BJ307" s="451">
        <v>121110.11</v>
      </c>
      <c r="BK307" s="451">
        <v>0</v>
      </c>
      <c r="BL307" s="451">
        <v>0</v>
      </c>
      <c r="BM307" s="451">
        <v>121110.11</v>
      </c>
      <c r="BN307" s="451">
        <v>-4998.92</v>
      </c>
      <c r="BO307" s="451">
        <v>0</v>
      </c>
      <c r="BP307" s="451">
        <v>0</v>
      </c>
      <c r="BQ307" s="451">
        <v>-4998.92</v>
      </c>
      <c r="BR307" s="451">
        <v>1355249.73</v>
      </c>
      <c r="BS307" s="451">
        <v>0</v>
      </c>
      <c r="BT307" s="451">
        <v>0</v>
      </c>
      <c r="BU307" s="451">
        <v>1355249.73</v>
      </c>
      <c r="BV307" s="451">
        <v>147192.54999999999</v>
      </c>
      <c r="BW307" s="451">
        <v>0</v>
      </c>
      <c r="BX307" s="451">
        <v>0</v>
      </c>
      <c r="BY307" s="451">
        <v>147192.54999999999</v>
      </c>
      <c r="BZ307" s="451">
        <v>89598.79</v>
      </c>
      <c r="CA307" s="451">
        <v>0</v>
      </c>
      <c r="CB307" s="451">
        <v>0</v>
      </c>
      <c r="CC307" s="451">
        <v>89598.79</v>
      </c>
      <c r="CD307" s="451">
        <v>192.54</v>
      </c>
      <c r="CE307" s="451">
        <v>0</v>
      </c>
      <c r="CF307" s="451">
        <v>0</v>
      </c>
      <c r="CG307" s="451">
        <v>192.54</v>
      </c>
      <c r="CH307" s="451">
        <v>11238.52</v>
      </c>
      <c r="CI307" s="451">
        <v>0</v>
      </c>
      <c r="CJ307" s="451">
        <v>0</v>
      </c>
      <c r="CK307" s="451">
        <v>11238.52</v>
      </c>
      <c r="CL307" s="451">
        <v>0</v>
      </c>
      <c r="CM307" s="451">
        <v>0</v>
      </c>
      <c r="CN307" s="451">
        <v>0</v>
      </c>
      <c r="CO307" s="451">
        <v>0</v>
      </c>
      <c r="CP307" s="451">
        <v>0</v>
      </c>
      <c r="CQ307" s="451">
        <v>0</v>
      </c>
      <c r="CR307" s="451">
        <v>0</v>
      </c>
      <c r="CS307" s="451">
        <v>0</v>
      </c>
      <c r="CT307" s="451">
        <v>0</v>
      </c>
      <c r="CU307" s="451">
        <v>0</v>
      </c>
      <c r="CV307" s="451">
        <v>0</v>
      </c>
      <c r="CW307" s="451">
        <v>0</v>
      </c>
      <c r="CX307" s="451">
        <v>0</v>
      </c>
      <c r="CY307" s="451">
        <v>0</v>
      </c>
      <c r="CZ307" s="451">
        <v>0</v>
      </c>
      <c r="DA307" s="451">
        <v>0</v>
      </c>
      <c r="DB307" s="451">
        <v>0</v>
      </c>
      <c r="DC307" s="451">
        <v>0</v>
      </c>
      <c r="DD307" s="451">
        <v>0</v>
      </c>
      <c r="DE307" s="451">
        <v>0</v>
      </c>
      <c r="DF307" s="451">
        <v>0</v>
      </c>
      <c r="DG307" s="451">
        <v>0</v>
      </c>
      <c r="DH307" s="451">
        <v>0</v>
      </c>
      <c r="DI307" s="451">
        <v>0</v>
      </c>
      <c r="DJ307" s="451">
        <v>0</v>
      </c>
      <c r="DK307" s="451">
        <v>0</v>
      </c>
      <c r="DL307" s="451">
        <v>0</v>
      </c>
      <c r="DM307" s="451">
        <v>0</v>
      </c>
      <c r="DN307" s="451">
        <v>0</v>
      </c>
      <c r="DO307" s="451">
        <v>0</v>
      </c>
      <c r="DP307" s="451">
        <v>0</v>
      </c>
      <c r="DQ307" s="451">
        <v>0</v>
      </c>
      <c r="DR307" s="451">
        <v>0</v>
      </c>
      <c r="DS307" s="451">
        <v>0</v>
      </c>
      <c r="DT307" s="451">
        <v>0</v>
      </c>
      <c r="DU307" s="451">
        <v>0</v>
      </c>
      <c r="DV307" s="451">
        <v>0</v>
      </c>
      <c r="DW307" s="451">
        <v>0</v>
      </c>
      <c r="DX307" s="451">
        <v>0</v>
      </c>
      <c r="DY307" s="451">
        <v>0</v>
      </c>
      <c r="DZ307" s="451">
        <v>0</v>
      </c>
      <c r="EA307" s="451">
        <v>0</v>
      </c>
      <c r="EB307" s="451">
        <v>0</v>
      </c>
      <c r="EC307" s="451">
        <v>0</v>
      </c>
      <c r="ED307" s="451">
        <v>0</v>
      </c>
      <c r="EE307" s="451">
        <v>0</v>
      </c>
      <c r="EF307" s="451">
        <v>0</v>
      </c>
      <c r="EG307" s="451">
        <v>0</v>
      </c>
      <c r="EH307" s="451">
        <v>0</v>
      </c>
      <c r="EI307" s="451">
        <v>0</v>
      </c>
      <c r="EJ307" s="451">
        <v>0</v>
      </c>
      <c r="EK307" s="451">
        <v>0</v>
      </c>
      <c r="EL307" s="451">
        <v>0</v>
      </c>
      <c r="EM307" s="451">
        <v>0</v>
      </c>
    </row>
    <row r="308" spans="1:143" ht="12.75" x14ac:dyDescent="0.2">
      <c r="A308" s="446">
        <v>302</v>
      </c>
      <c r="B308" s="447" t="s">
        <v>487</v>
      </c>
      <c r="C308" s="448" t="s">
        <v>1093</v>
      </c>
      <c r="D308" s="449" t="s">
        <v>1097</v>
      </c>
      <c r="E308" s="450" t="s">
        <v>486</v>
      </c>
      <c r="F308" s="451">
        <v>98485.29</v>
      </c>
      <c r="G308" s="451">
        <v>0</v>
      </c>
      <c r="H308" s="451">
        <v>0</v>
      </c>
      <c r="I308" s="451">
        <v>98485.29</v>
      </c>
      <c r="J308" s="451">
        <v>1572.64</v>
      </c>
      <c r="K308" s="451">
        <v>0</v>
      </c>
      <c r="L308" s="451">
        <v>0</v>
      </c>
      <c r="M308" s="451">
        <v>1572.64</v>
      </c>
      <c r="N308" s="451">
        <v>62083.64</v>
      </c>
      <c r="O308" s="451">
        <v>0</v>
      </c>
      <c r="P308" s="451">
        <v>0</v>
      </c>
      <c r="Q308" s="451">
        <v>62083.64</v>
      </c>
      <c r="R308" s="451">
        <v>280573.81</v>
      </c>
      <c r="S308" s="451">
        <v>0</v>
      </c>
      <c r="T308" s="451">
        <v>0</v>
      </c>
      <c r="U308" s="451">
        <v>280573.81</v>
      </c>
      <c r="V308" s="451">
        <v>1168968.78</v>
      </c>
      <c r="W308" s="451">
        <v>0</v>
      </c>
      <c r="X308" s="451">
        <v>0</v>
      </c>
      <c r="Y308" s="451">
        <v>1168968.78</v>
      </c>
      <c r="Z308" s="451">
        <v>31542.52</v>
      </c>
      <c r="AA308" s="451">
        <v>0</v>
      </c>
      <c r="AB308" s="451">
        <v>0</v>
      </c>
      <c r="AC308" s="451">
        <v>31542.52</v>
      </c>
      <c r="AD308" s="451">
        <v>1183428.05</v>
      </c>
      <c r="AE308" s="451">
        <v>0</v>
      </c>
      <c r="AF308" s="451">
        <v>0</v>
      </c>
      <c r="AG308" s="451">
        <v>1183428.05</v>
      </c>
      <c r="AH308" s="451">
        <v>-19688.2</v>
      </c>
      <c r="AI308" s="451">
        <v>0</v>
      </c>
      <c r="AJ308" s="451">
        <v>0</v>
      </c>
      <c r="AK308" s="451">
        <v>-19688.2</v>
      </c>
      <c r="AL308" s="451">
        <v>5438860.2000000002</v>
      </c>
      <c r="AM308" s="451">
        <v>0</v>
      </c>
      <c r="AN308" s="451">
        <v>0</v>
      </c>
      <c r="AO308" s="451">
        <v>5438860.2000000002</v>
      </c>
      <c r="AP308" s="451">
        <v>-484519.99</v>
      </c>
      <c r="AQ308" s="451">
        <v>0</v>
      </c>
      <c r="AR308" s="451">
        <v>0</v>
      </c>
      <c r="AS308" s="451">
        <v>-484519.99</v>
      </c>
      <c r="AT308" s="451">
        <v>43426.2</v>
      </c>
      <c r="AU308" s="451">
        <v>0</v>
      </c>
      <c r="AV308" s="451">
        <v>0</v>
      </c>
      <c r="AW308" s="451">
        <v>43426.2</v>
      </c>
      <c r="AX308" s="451">
        <v>0</v>
      </c>
      <c r="AY308" s="451">
        <v>0</v>
      </c>
      <c r="AZ308" s="451">
        <v>0</v>
      </c>
      <c r="BA308" s="451">
        <v>0</v>
      </c>
      <c r="BB308" s="451">
        <v>0</v>
      </c>
      <c r="BC308" s="451">
        <v>0</v>
      </c>
      <c r="BD308" s="451">
        <v>0</v>
      </c>
      <c r="BE308" s="451">
        <v>0</v>
      </c>
      <c r="BF308" s="451">
        <v>-2316</v>
      </c>
      <c r="BG308" s="451">
        <v>0</v>
      </c>
      <c r="BH308" s="451">
        <v>0</v>
      </c>
      <c r="BI308" s="451">
        <v>-2316</v>
      </c>
      <c r="BJ308" s="451">
        <v>232798.85</v>
      </c>
      <c r="BK308" s="451">
        <v>0</v>
      </c>
      <c r="BL308" s="451">
        <v>0</v>
      </c>
      <c r="BM308" s="451">
        <v>232798.85</v>
      </c>
      <c r="BN308" s="451">
        <v>-113334.35</v>
      </c>
      <c r="BO308" s="451">
        <v>0</v>
      </c>
      <c r="BP308" s="451">
        <v>0</v>
      </c>
      <c r="BQ308" s="451">
        <v>-113334.35</v>
      </c>
      <c r="BR308" s="451">
        <v>1846969.94</v>
      </c>
      <c r="BS308" s="451">
        <v>0</v>
      </c>
      <c r="BT308" s="451">
        <v>0</v>
      </c>
      <c r="BU308" s="451">
        <v>1846969.94</v>
      </c>
      <c r="BV308" s="451">
        <v>32158.36</v>
      </c>
      <c r="BW308" s="451">
        <v>0</v>
      </c>
      <c r="BX308" s="451">
        <v>0</v>
      </c>
      <c r="BY308" s="451">
        <v>32158.36</v>
      </c>
      <c r="BZ308" s="451">
        <v>235686.87</v>
      </c>
      <c r="CA308" s="451">
        <v>0</v>
      </c>
      <c r="CB308" s="451">
        <v>0</v>
      </c>
      <c r="CC308" s="451">
        <v>235686.87</v>
      </c>
      <c r="CD308" s="451">
        <v>427.88</v>
      </c>
      <c r="CE308" s="451">
        <v>0</v>
      </c>
      <c r="CF308" s="451">
        <v>0</v>
      </c>
      <c r="CG308" s="451">
        <v>427.88</v>
      </c>
      <c r="CH308" s="451">
        <v>49198.16</v>
      </c>
      <c r="CI308" s="451">
        <v>0</v>
      </c>
      <c r="CJ308" s="451">
        <v>0</v>
      </c>
      <c r="CK308" s="451">
        <v>49198.16</v>
      </c>
      <c r="CL308" s="451">
        <v>4840.37</v>
      </c>
      <c r="CM308" s="451">
        <v>0</v>
      </c>
      <c r="CN308" s="451">
        <v>0</v>
      </c>
      <c r="CO308" s="451">
        <v>4840.37</v>
      </c>
      <c r="CP308" s="451">
        <v>5516.59</v>
      </c>
      <c r="CQ308" s="451">
        <v>0</v>
      </c>
      <c r="CR308" s="451">
        <v>0</v>
      </c>
      <c r="CS308" s="451">
        <v>5516.59</v>
      </c>
      <c r="CT308" s="451">
        <v>0</v>
      </c>
      <c r="CU308" s="451">
        <v>0</v>
      </c>
      <c r="CV308" s="451">
        <v>0</v>
      </c>
      <c r="CW308" s="451">
        <v>0</v>
      </c>
      <c r="CX308" s="451">
        <v>0</v>
      </c>
      <c r="CY308" s="451">
        <v>0</v>
      </c>
      <c r="CZ308" s="451">
        <v>0</v>
      </c>
      <c r="DA308" s="451">
        <v>0</v>
      </c>
      <c r="DB308" s="451">
        <v>0</v>
      </c>
      <c r="DC308" s="451">
        <v>0</v>
      </c>
      <c r="DD308" s="451">
        <v>0</v>
      </c>
      <c r="DE308" s="451">
        <v>0</v>
      </c>
      <c r="DF308" s="451">
        <v>0</v>
      </c>
      <c r="DG308" s="451">
        <v>0</v>
      </c>
      <c r="DH308" s="451">
        <v>0</v>
      </c>
      <c r="DI308" s="451">
        <v>0</v>
      </c>
      <c r="DJ308" s="451">
        <v>0</v>
      </c>
      <c r="DK308" s="451">
        <v>0</v>
      </c>
      <c r="DL308" s="451">
        <v>0</v>
      </c>
      <c r="DM308" s="451">
        <v>0</v>
      </c>
      <c r="DN308" s="451">
        <v>0</v>
      </c>
      <c r="DO308" s="451">
        <v>0</v>
      </c>
      <c r="DP308" s="451">
        <v>0</v>
      </c>
      <c r="DQ308" s="451">
        <v>0</v>
      </c>
      <c r="DR308" s="451">
        <v>0</v>
      </c>
      <c r="DS308" s="451">
        <v>0</v>
      </c>
      <c r="DT308" s="451">
        <v>0</v>
      </c>
      <c r="DU308" s="451">
        <v>0</v>
      </c>
      <c r="DV308" s="451">
        <v>0</v>
      </c>
      <c r="DW308" s="451">
        <v>0</v>
      </c>
      <c r="DX308" s="451">
        <v>0</v>
      </c>
      <c r="DY308" s="451">
        <v>0</v>
      </c>
      <c r="DZ308" s="451">
        <v>0</v>
      </c>
      <c r="EA308" s="451">
        <v>0</v>
      </c>
      <c r="EB308" s="451">
        <v>0</v>
      </c>
      <c r="EC308" s="451">
        <v>0</v>
      </c>
      <c r="ED308" s="451">
        <v>0</v>
      </c>
      <c r="EE308" s="451">
        <v>0</v>
      </c>
      <c r="EF308" s="451">
        <v>0</v>
      </c>
      <c r="EG308" s="451">
        <v>0</v>
      </c>
      <c r="EH308" s="451">
        <v>0</v>
      </c>
      <c r="EI308" s="451">
        <v>0</v>
      </c>
      <c r="EJ308" s="451">
        <v>0</v>
      </c>
      <c r="EK308" s="451">
        <v>0</v>
      </c>
      <c r="EL308" s="451">
        <v>0</v>
      </c>
      <c r="EM308" s="451">
        <v>0</v>
      </c>
    </row>
    <row r="309" spans="1:143" ht="12.75" x14ac:dyDescent="0.2">
      <c r="A309" s="446">
        <v>303</v>
      </c>
      <c r="B309" s="447" t="s">
        <v>489</v>
      </c>
      <c r="C309" s="448" t="s">
        <v>794</v>
      </c>
      <c r="D309" s="449" t="s">
        <v>1094</v>
      </c>
      <c r="E309" s="450" t="s">
        <v>755</v>
      </c>
      <c r="F309" s="451">
        <v>208668</v>
      </c>
      <c r="G309" s="451">
        <v>0</v>
      </c>
      <c r="H309" s="451">
        <v>0</v>
      </c>
      <c r="I309" s="451">
        <v>208668</v>
      </c>
      <c r="J309" s="451">
        <v>-87978</v>
      </c>
      <c r="K309" s="451">
        <v>0</v>
      </c>
      <c r="L309" s="451">
        <v>0</v>
      </c>
      <c r="M309" s="451">
        <v>-87978</v>
      </c>
      <c r="N309" s="451">
        <v>96230</v>
      </c>
      <c r="O309" s="451">
        <v>0</v>
      </c>
      <c r="P309" s="451">
        <v>0</v>
      </c>
      <c r="Q309" s="451">
        <v>96230</v>
      </c>
      <c r="R309" s="451">
        <v>485426</v>
      </c>
      <c r="S309" s="451">
        <v>0</v>
      </c>
      <c r="T309" s="451">
        <v>0</v>
      </c>
      <c r="U309" s="451">
        <v>485426</v>
      </c>
      <c r="V309" s="451">
        <v>2027677</v>
      </c>
      <c r="W309" s="451">
        <v>0</v>
      </c>
      <c r="X309" s="451">
        <v>0</v>
      </c>
      <c r="Y309" s="451">
        <v>2027677</v>
      </c>
      <c r="Z309" s="451">
        <v>144135</v>
      </c>
      <c r="AA309" s="451">
        <v>0</v>
      </c>
      <c r="AB309" s="451">
        <v>0</v>
      </c>
      <c r="AC309" s="451">
        <v>144135</v>
      </c>
      <c r="AD309" s="451">
        <v>1548436</v>
      </c>
      <c r="AE309" s="451">
        <v>0</v>
      </c>
      <c r="AF309" s="451">
        <v>0</v>
      </c>
      <c r="AG309" s="451">
        <v>1548436</v>
      </c>
      <c r="AH309" s="451">
        <v>9200</v>
      </c>
      <c r="AI309" s="451">
        <v>0</v>
      </c>
      <c r="AJ309" s="451">
        <v>0</v>
      </c>
      <c r="AK309" s="451">
        <v>9200</v>
      </c>
      <c r="AL309" s="451">
        <v>3756292</v>
      </c>
      <c r="AM309" s="451">
        <v>0</v>
      </c>
      <c r="AN309" s="451">
        <v>0</v>
      </c>
      <c r="AO309" s="451">
        <v>3756292</v>
      </c>
      <c r="AP309" s="451">
        <v>-5234</v>
      </c>
      <c r="AQ309" s="451">
        <v>0</v>
      </c>
      <c r="AR309" s="451">
        <v>0</v>
      </c>
      <c r="AS309" s="451">
        <v>-5234</v>
      </c>
      <c r="AT309" s="451">
        <v>35227</v>
      </c>
      <c r="AU309" s="451">
        <v>0</v>
      </c>
      <c r="AV309" s="451">
        <v>0</v>
      </c>
      <c r="AW309" s="451">
        <v>35227</v>
      </c>
      <c r="AX309" s="451">
        <v>0</v>
      </c>
      <c r="AY309" s="451">
        <v>0</v>
      </c>
      <c r="AZ309" s="451">
        <v>0</v>
      </c>
      <c r="BA309" s="451">
        <v>0</v>
      </c>
      <c r="BB309" s="451">
        <v>26782</v>
      </c>
      <c r="BC309" s="451">
        <v>0</v>
      </c>
      <c r="BD309" s="451">
        <v>0</v>
      </c>
      <c r="BE309" s="451">
        <v>26782</v>
      </c>
      <c r="BF309" s="451">
        <v>-572</v>
      </c>
      <c r="BG309" s="451">
        <v>0</v>
      </c>
      <c r="BH309" s="451">
        <v>0</v>
      </c>
      <c r="BI309" s="451">
        <v>-572</v>
      </c>
      <c r="BJ309" s="451">
        <v>62393</v>
      </c>
      <c r="BK309" s="451">
        <v>0</v>
      </c>
      <c r="BL309" s="451">
        <v>0</v>
      </c>
      <c r="BM309" s="451">
        <v>62393</v>
      </c>
      <c r="BN309" s="451">
        <v>4702</v>
      </c>
      <c r="BO309" s="451">
        <v>0</v>
      </c>
      <c r="BP309" s="451">
        <v>0</v>
      </c>
      <c r="BQ309" s="451">
        <v>4702</v>
      </c>
      <c r="BR309" s="451">
        <v>2760676</v>
      </c>
      <c r="BS309" s="451">
        <v>0</v>
      </c>
      <c r="BT309" s="451">
        <v>0</v>
      </c>
      <c r="BU309" s="451">
        <v>2760676</v>
      </c>
      <c r="BV309" s="451">
        <v>-712783</v>
      </c>
      <c r="BW309" s="451">
        <v>0</v>
      </c>
      <c r="BX309" s="451">
        <v>0</v>
      </c>
      <c r="BY309" s="451">
        <v>-712783</v>
      </c>
      <c r="BZ309" s="451">
        <v>39380</v>
      </c>
      <c r="CA309" s="451">
        <v>0</v>
      </c>
      <c r="CB309" s="451">
        <v>0</v>
      </c>
      <c r="CC309" s="451">
        <v>39380</v>
      </c>
      <c r="CD309" s="451">
        <v>-548</v>
      </c>
      <c r="CE309" s="451">
        <v>0</v>
      </c>
      <c r="CF309" s="451">
        <v>0</v>
      </c>
      <c r="CG309" s="451">
        <v>-548</v>
      </c>
      <c r="CH309" s="451">
        <v>38951</v>
      </c>
      <c r="CI309" s="451">
        <v>0</v>
      </c>
      <c r="CJ309" s="451">
        <v>0</v>
      </c>
      <c r="CK309" s="451">
        <v>38951</v>
      </c>
      <c r="CL309" s="451">
        <v>0</v>
      </c>
      <c r="CM309" s="451">
        <v>0</v>
      </c>
      <c r="CN309" s="451">
        <v>0</v>
      </c>
      <c r="CO309" s="451">
        <v>0</v>
      </c>
      <c r="CP309" s="451">
        <v>0</v>
      </c>
      <c r="CQ309" s="451">
        <v>0</v>
      </c>
      <c r="CR309" s="451">
        <v>0</v>
      </c>
      <c r="CS309" s="451">
        <v>0</v>
      </c>
      <c r="CT309" s="451">
        <v>0</v>
      </c>
      <c r="CU309" s="451">
        <v>0</v>
      </c>
      <c r="CV309" s="451">
        <v>0</v>
      </c>
      <c r="CW309" s="451">
        <v>0</v>
      </c>
      <c r="CX309" s="451">
        <v>10994</v>
      </c>
      <c r="CY309" s="451">
        <v>0</v>
      </c>
      <c r="CZ309" s="451">
        <v>0</v>
      </c>
      <c r="DA309" s="451">
        <v>10994</v>
      </c>
      <c r="DB309" s="451">
        <v>-572</v>
      </c>
      <c r="DC309" s="451">
        <v>0</v>
      </c>
      <c r="DD309" s="451">
        <v>0</v>
      </c>
      <c r="DE309" s="451">
        <v>-572</v>
      </c>
      <c r="DF309" s="451">
        <v>45092</v>
      </c>
      <c r="DG309" s="451">
        <v>0</v>
      </c>
      <c r="DH309" s="451">
        <v>0</v>
      </c>
      <c r="DI309" s="451">
        <v>45092</v>
      </c>
      <c r="DJ309" s="451">
        <v>0</v>
      </c>
      <c r="DK309" s="451">
        <v>0</v>
      </c>
      <c r="DL309" s="451">
        <v>0</v>
      </c>
      <c r="DM309" s="451">
        <v>0</v>
      </c>
      <c r="DN309" s="451">
        <v>0</v>
      </c>
      <c r="DO309" s="451">
        <v>0</v>
      </c>
      <c r="DP309" s="451">
        <v>0</v>
      </c>
      <c r="DQ309" s="451">
        <v>0</v>
      </c>
      <c r="DR309" s="451">
        <v>0</v>
      </c>
      <c r="DS309" s="451">
        <v>0</v>
      </c>
      <c r="DT309" s="451">
        <v>0</v>
      </c>
      <c r="DU309" s="451">
        <v>0</v>
      </c>
      <c r="DV309" s="451">
        <v>0</v>
      </c>
      <c r="DW309" s="451">
        <v>0</v>
      </c>
      <c r="DX309" s="451">
        <v>0</v>
      </c>
      <c r="DY309" s="451">
        <v>0</v>
      </c>
      <c r="DZ309" s="451">
        <v>0</v>
      </c>
      <c r="EA309" s="451">
        <v>0</v>
      </c>
      <c r="EB309" s="451">
        <v>19872</v>
      </c>
      <c r="EC309" s="451">
        <v>0</v>
      </c>
      <c r="ED309" s="451">
        <v>0</v>
      </c>
      <c r="EE309" s="451">
        <v>19872</v>
      </c>
      <c r="EF309" s="451">
        <v>0</v>
      </c>
      <c r="EG309" s="451">
        <v>0</v>
      </c>
      <c r="EH309" s="451">
        <v>0</v>
      </c>
      <c r="EI309" s="451">
        <v>0</v>
      </c>
      <c r="EJ309" s="451">
        <v>0</v>
      </c>
      <c r="EK309" s="451">
        <v>0</v>
      </c>
      <c r="EL309" s="451">
        <v>0</v>
      </c>
      <c r="EM309" s="451">
        <v>0</v>
      </c>
    </row>
    <row r="310" spans="1:143" ht="12.75" x14ac:dyDescent="0.2">
      <c r="A310" s="446">
        <v>304</v>
      </c>
      <c r="B310" s="447" t="s">
        <v>491</v>
      </c>
      <c r="C310" s="448" t="s">
        <v>1093</v>
      </c>
      <c r="D310" s="449" t="s">
        <v>1102</v>
      </c>
      <c r="E310" s="450" t="s">
        <v>490</v>
      </c>
      <c r="F310" s="451">
        <v>148790</v>
      </c>
      <c r="G310" s="451">
        <v>0</v>
      </c>
      <c r="H310" s="451">
        <v>0</v>
      </c>
      <c r="I310" s="451">
        <v>148790</v>
      </c>
      <c r="J310" s="451">
        <v>-203184</v>
      </c>
      <c r="K310" s="451">
        <v>0</v>
      </c>
      <c r="L310" s="451">
        <v>0</v>
      </c>
      <c r="M310" s="451">
        <v>-203184</v>
      </c>
      <c r="N310" s="451">
        <v>9357</v>
      </c>
      <c r="O310" s="451">
        <v>0</v>
      </c>
      <c r="P310" s="451">
        <v>0</v>
      </c>
      <c r="Q310" s="451">
        <v>9357</v>
      </c>
      <c r="R310" s="451">
        <v>8471</v>
      </c>
      <c r="S310" s="451">
        <v>0</v>
      </c>
      <c r="T310" s="451">
        <v>0</v>
      </c>
      <c r="U310" s="451">
        <v>8471</v>
      </c>
      <c r="V310" s="451">
        <v>1295342</v>
      </c>
      <c r="W310" s="451">
        <v>0</v>
      </c>
      <c r="X310" s="451">
        <v>0</v>
      </c>
      <c r="Y310" s="451">
        <v>1295342</v>
      </c>
      <c r="Z310" s="451">
        <v>130451</v>
      </c>
      <c r="AA310" s="451">
        <v>0</v>
      </c>
      <c r="AB310" s="451">
        <v>0</v>
      </c>
      <c r="AC310" s="451">
        <v>130451</v>
      </c>
      <c r="AD310" s="451">
        <v>176698</v>
      </c>
      <c r="AE310" s="451">
        <v>0</v>
      </c>
      <c r="AF310" s="451">
        <v>0</v>
      </c>
      <c r="AG310" s="451">
        <v>176698</v>
      </c>
      <c r="AH310" s="451">
        <v>-6387</v>
      </c>
      <c r="AI310" s="451">
        <v>0</v>
      </c>
      <c r="AJ310" s="451">
        <v>0</v>
      </c>
      <c r="AK310" s="451">
        <v>-6387</v>
      </c>
      <c r="AL310" s="451">
        <v>714362</v>
      </c>
      <c r="AM310" s="451">
        <v>0</v>
      </c>
      <c r="AN310" s="451">
        <v>0</v>
      </c>
      <c r="AO310" s="451">
        <v>714362</v>
      </c>
      <c r="AP310" s="451">
        <v>-835</v>
      </c>
      <c r="AQ310" s="451">
        <v>0</v>
      </c>
      <c r="AR310" s="451">
        <v>0</v>
      </c>
      <c r="AS310" s="451">
        <v>-835</v>
      </c>
      <c r="AT310" s="451">
        <v>73156</v>
      </c>
      <c r="AU310" s="451">
        <v>0</v>
      </c>
      <c r="AV310" s="451">
        <v>0</v>
      </c>
      <c r="AW310" s="451">
        <v>73156</v>
      </c>
      <c r="AX310" s="451">
        <v>3476</v>
      </c>
      <c r="AY310" s="451">
        <v>0</v>
      </c>
      <c r="AZ310" s="451">
        <v>0</v>
      </c>
      <c r="BA310" s="451">
        <v>3476</v>
      </c>
      <c r="BB310" s="451">
        <v>45740</v>
      </c>
      <c r="BC310" s="451">
        <v>0</v>
      </c>
      <c r="BD310" s="451">
        <v>0</v>
      </c>
      <c r="BE310" s="451">
        <v>45740</v>
      </c>
      <c r="BF310" s="451">
        <v>3996</v>
      </c>
      <c r="BG310" s="451">
        <v>0</v>
      </c>
      <c r="BH310" s="451">
        <v>0</v>
      </c>
      <c r="BI310" s="451">
        <v>3996</v>
      </c>
      <c r="BJ310" s="451">
        <v>8956</v>
      </c>
      <c r="BK310" s="451">
        <v>0</v>
      </c>
      <c r="BL310" s="451">
        <v>0</v>
      </c>
      <c r="BM310" s="451">
        <v>8956</v>
      </c>
      <c r="BN310" s="451">
        <v>0</v>
      </c>
      <c r="BO310" s="451">
        <v>0</v>
      </c>
      <c r="BP310" s="451">
        <v>0</v>
      </c>
      <c r="BQ310" s="451">
        <v>0</v>
      </c>
      <c r="BR310" s="451">
        <v>223480</v>
      </c>
      <c r="BS310" s="451">
        <v>0</v>
      </c>
      <c r="BT310" s="451">
        <v>0</v>
      </c>
      <c r="BU310" s="451">
        <v>223480</v>
      </c>
      <c r="BV310" s="451">
        <v>56439</v>
      </c>
      <c r="BW310" s="451">
        <v>0</v>
      </c>
      <c r="BX310" s="451">
        <v>0</v>
      </c>
      <c r="BY310" s="451">
        <v>56439</v>
      </c>
      <c r="BZ310" s="451">
        <v>65660</v>
      </c>
      <c r="CA310" s="451">
        <v>0</v>
      </c>
      <c r="CB310" s="451">
        <v>0</v>
      </c>
      <c r="CC310" s="451">
        <v>65660</v>
      </c>
      <c r="CD310" s="451">
        <v>1104</v>
      </c>
      <c r="CE310" s="451">
        <v>0</v>
      </c>
      <c r="CF310" s="451">
        <v>0</v>
      </c>
      <c r="CG310" s="451">
        <v>1104</v>
      </c>
      <c r="CH310" s="451">
        <v>20846</v>
      </c>
      <c r="CI310" s="451">
        <v>0</v>
      </c>
      <c r="CJ310" s="451">
        <v>0</v>
      </c>
      <c r="CK310" s="451">
        <v>20846</v>
      </c>
      <c r="CL310" s="451">
        <v>1736</v>
      </c>
      <c r="CM310" s="451">
        <v>0</v>
      </c>
      <c r="CN310" s="451">
        <v>0</v>
      </c>
      <c r="CO310" s="451">
        <v>1736</v>
      </c>
      <c r="CP310" s="451">
        <v>8372</v>
      </c>
      <c r="CQ310" s="451">
        <v>0</v>
      </c>
      <c r="CR310" s="451">
        <v>0</v>
      </c>
      <c r="CS310" s="451">
        <v>8372</v>
      </c>
      <c r="CT310" s="451">
        <v>0</v>
      </c>
      <c r="CU310" s="451">
        <v>0</v>
      </c>
      <c r="CV310" s="451">
        <v>0</v>
      </c>
      <c r="CW310" s="451">
        <v>0</v>
      </c>
      <c r="CX310" s="451">
        <v>15780</v>
      </c>
      <c r="CY310" s="451">
        <v>0</v>
      </c>
      <c r="CZ310" s="451">
        <v>0</v>
      </c>
      <c r="DA310" s="451">
        <v>15780</v>
      </c>
      <c r="DB310" s="451">
        <v>-1387</v>
      </c>
      <c r="DC310" s="451">
        <v>0</v>
      </c>
      <c r="DD310" s="451">
        <v>0</v>
      </c>
      <c r="DE310" s="451">
        <v>-1387</v>
      </c>
      <c r="DF310" s="451">
        <v>0</v>
      </c>
      <c r="DG310" s="451">
        <v>0</v>
      </c>
      <c r="DH310" s="451">
        <v>0</v>
      </c>
      <c r="DI310" s="451">
        <v>0</v>
      </c>
      <c r="DJ310" s="451">
        <v>0</v>
      </c>
      <c r="DK310" s="451">
        <v>0</v>
      </c>
      <c r="DL310" s="451">
        <v>0</v>
      </c>
      <c r="DM310" s="451">
        <v>0</v>
      </c>
      <c r="DN310" s="451">
        <v>0</v>
      </c>
      <c r="DO310" s="451">
        <v>0</v>
      </c>
      <c r="DP310" s="451">
        <v>0</v>
      </c>
      <c r="DQ310" s="451">
        <v>0</v>
      </c>
      <c r="DR310" s="451">
        <v>0</v>
      </c>
      <c r="DS310" s="451">
        <v>0</v>
      </c>
      <c r="DT310" s="451">
        <v>0</v>
      </c>
      <c r="DU310" s="451">
        <v>0</v>
      </c>
      <c r="DV310" s="451">
        <v>0</v>
      </c>
      <c r="DW310" s="451">
        <v>0</v>
      </c>
      <c r="DX310" s="451">
        <v>0</v>
      </c>
      <c r="DY310" s="451">
        <v>0</v>
      </c>
      <c r="DZ310" s="451">
        <v>0</v>
      </c>
      <c r="EA310" s="451">
        <v>0</v>
      </c>
      <c r="EB310" s="451">
        <v>0</v>
      </c>
      <c r="EC310" s="451">
        <v>0</v>
      </c>
      <c r="ED310" s="451">
        <v>0</v>
      </c>
      <c r="EE310" s="451">
        <v>0</v>
      </c>
      <c r="EF310" s="451">
        <v>8874</v>
      </c>
      <c r="EG310" s="451">
        <v>0</v>
      </c>
      <c r="EH310" s="451">
        <v>0</v>
      </c>
      <c r="EI310" s="451">
        <v>8874</v>
      </c>
      <c r="EJ310" s="451">
        <v>4335</v>
      </c>
      <c r="EK310" s="451">
        <v>0</v>
      </c>
      <c r="EL310" s="451">
        <v>0</v>
      </c>
      <c r="EM310" s="451">
        <v>4335</v>
      </c>
    </row>
    <row r="311" spans="1:143" ht="12.75" x14ac:dyDescent="0.2">
      <c r="A311" s="446">
        <v>305</v>
      </c>
      <c r="B311" s="447" t="s">
        <v>493</v>
      </c>
      <c r="C311" s="448" t="s">
        <v>1093</v>
      </c>
      <c r="D311" s="449" t="s">
        <v>1102</v>
      </c>
      <c r="E311" s="450" t="s">
        <v>492</v>
      </c>
      <c r="F311" s="451">
        <v>103273.11</v>
      </c>
      <c r="G311" s="451">
        <v>0</v>
      </c>
      <c r="H311" s="451">
        <v>0</v>
      </c>
      <c r="I311" s="451">
        <v>103273.11</v>
      </c>
      <c r="J311" s="451">
        <v>-57369.79</v>
      </c>
      <c r="K311" s="451">
        <v>0</v>
      </c>
      <c r="L311" s="451">
        <v>0</v>
      </c>
      <c r="M311" s="451">
        <v>-57369.79</v>
      </c>
      <c r="N311" s="451">
        <v>29653.13</v>
      </c>
      <c r="O311" s="451">
        <v>0</v>
      </c>
      <c r="P311" s="451">
        <v>0</v>
      </c>
      <c r="Q311" s="451">
        <v>29653.13</v>
      </c>
      <c r="R311" s="451">
        <v>49802.66</v>
      </c>
      <c r="S311" s="451">
        <v>0</v>
      </c>
      <c r="T311" s="451">
        <v>0</v>
      </c>
      <c r="U311" s="451">
        <v>49802.66</v>
      </c>
      <c r="V311" s="451">
        <v>3574523.76</v>
      </c>
      <c r="W311" s="451">
        <v>0</v>
      </c>
      <c r="X311" s="451">
        <v>0</v>
      </c>
      <c r="Y311" s="451">
        <v>3574523.76</v>
      </c>
      <c r="Z311" s="451">
        <v>196694.72</v>
      </c>
      <c r="AA311" s="451">
        <v>0</v>
      </c>
      <c r="AB311" s="451">
        <v>0</v>
      </c>
      <c r="AC311" s="451">
        <v>196694.72</v>
      </c>
      <c r="AD311" s="451">
        <v>534990.39</v>
      </c>
      <c r="AE311" s="451">
        <v>0</v>
      </c>
      <c r="AF311" s="451">
        <v>0</v>
      </c>
      <c r="AG311" s="451">
        <v>534990.39</v>
      </c>
      <c r="AH311" s="451">
        <v>-6544.59</v>
      </c>
      <c r="AI311" s="451">
        <v>0</v>
      </c>
      <c r="AJ311" s="451">
        <v>0</v>
      </c>
      <c r="AK311" s="451">
        <v>-6544.59</v>
      </c>
      <c r="AL311" s="451">
        <v>2740369.36</v>
      </c>
      <c r="AM311" s="451">
        <v>0</v>
      </c>
      <c r="AN311" s="451">
        <v>0</v>
      </c>
      <c r="AO311" s="451">
        <v>2740369.36</v>
      </c>
      <c r="AP311" s="451">
        <v>40191.69</v>
      </c>
      <c r="AQ311" s="451">
        <v>0</v>
      </c>
      <c r="AR311" s="451">
        <v>0</v>
      </c>
      <c r="AS311" s="451">
        <v>40191.69</v>
      </c>
      <c r="AT311" s="451">
        <v>103637.59</v>
      </c>
      <c r="AU311" s="451">
        <v>0</v>
      </c>
      <c r="AV311" s="451">
        <v>0</v>
      </c>
      <c r="AW311" s="451">
        <v>103637.59</v>
      </c>
      <c r="AX311" s="451">
        <v>2968.54</v>
      </c>
      <c r="AY311" s="451">
        <v>0</v>
      </c>
      <c r="AZ311" s="451">
        <v>0</v>
      </c>
      <c r="BA311" s="451">
        <v>2968.54</v>
      </c>
      <c r="BB311" s="451">
        <v>85460.56</v>
      </c>
      <c r="BC311" s="451">
        <v>0</v>
      </c>
      <c r="BD311" s="451">
        <v>0</v>
      </c>
      <c r="BE311" s="451">
        <v>85460.56</v>
      </c>
      <c r="BF311" s="451">
        <v>1350.61</v>
      </c>
      <c r="BG311" s="451">
        <v>0</v>
      </c>
      <c r="BH311" s="451">
        <v>0</v>
      </c>
      <c r="BI311" s="451">
        <v>1350.61</v>
      </c>
      <c r="BJ311" s="451">
        <v>18158.95</v>
      </c>
      <c r="BK311" s="451">
        <v>0</v>
      </c>
      <c r="BL311" s="451">
        <v>0</v>
      </c>
      <c r="BM311" s="451">
        <v>18158.95</v>
      </c>
      <c r="BN311" s="451">
        <v>135834</v>
      </c>
      <c r="BO311" s="451">
        <v>0</v>
      </c>
      <c r="BP311" s="451">
        <v>0</v>
      </c>
      <c r="BQ311" s="451">
        <v>135834</v>
      </c>
      <c r="BR311" s="451">
        <v>872358.01</v>
      </c>
      <c r="BS311" s="451">
        <v>0</v>
      </c>
      <c r="BT311" s="451">
        <v>0</v>
      </c>
      <c r="BU311" s="451">
        <v>872358.01</v>
      </c>
      <c r="BV311" s="451">
        <v>79566.399999999994</v>
      </c>
      <c r="BW311" s="451">
        <v>0</v>
      </c>
      <c r="BX311" s="451">
        <v>0</v>
      </c>
      <c r="BY311" s="451">
        <v>79566.399999999994</v>
      </c>
      <c r="BZ311" s="451">
        <v>154386.9</v>
      </c>
      <c r="CA311" s="451">
        <v>0</v>
      </c>
      <c r="CB311" s="451">
        <v>0</v>
      </c>
      <c r="CC311" s="451">
        <v>154386.9</v>
      </c>
      <c r="CD311" s="451">
        <v>444.26</v>
      </c>
      <c r="CE311" s="451">
        <v>0</v>
      </c>
      <c r="CF311" s="451">
        <v>0</v>
      </c>
      <c r="CG311" s="451">
        <v>444.26</v>
      </c>
      <c r="CH311" s="451">
        <v>7202.19</v>
      </c>
      <c r="CI311" s="451">
        <v>0</v>
      </c>
      <c r="CJ311" s="451">
        <v>0</v>
      </c>
      <c r="CK311" s="451">
        <v>7202.19</v>
      </c>
      <c r="CL311" s="451">
        <v>0</v>
      </c>
      <c r="CM311" s="451">
        <v>0</v>
      </c>
      <c r="CN311" s="451">
        <v>0</v>
      </c>
      <c r="CO311" s="451">
        <v>0</v>
      </c>
      <c r="CP311" s="451">
        <v>1450.67</v>
      </c>
      <c r="CQ311" s="451">
        <v>0</v>
      </c>
      <c r="CR311" s="451">
        <v>0</v>
      </c>
      <c r="CS311" s="451">
        <v>1450.67</v>
      </c>
      <c r="CT311" s="451">
        <v>0</v>
      </c>
      <c r="CU311" s="451">
        <v>0</v>
      </c>
      <c r="CV311" s="451">
        <v>0</v>
      </c>
      <c r="CW311" s="451">
        <v>0</v>
      </c>
      <c r="CX311" s="451">
        <v>72672.5</v>
      </c>
      <c r="CY311" s="451">
        <v>0</v>
      </c>
      <c r="CZ311" s="451">
        <v>0</v>
      </c>
      <c r="DA311" s="451">
        <v>72672.5</v>
      </c>
      <c r="DB311" s="451">
        <v>0</v>
      </c>
      <c r="DC311" s="451">
        <v>0</v>
      </c>
      <c r="DD311" s="451">
        <v>0</v>
      </c>
      <c r="DE311" s="451">
        <v>0</v>
      </c>
      <c r="DF311" s="451">
        <v>0</v>
      </c>
      <c r="DG311" s="451">
        <v>0</v>
      </c>
      <c r="DH311" s="451">
        <v>0</v>
      </c>
      <c r="DI311" s="451">
        <v>0</v>
      </c>
      <c r="DJ311" s="451">
        <v>0</v>
      </c>
      <c r="DK311" s="451">
        <v>0</v>
      </c>
      <c r="DL311" s="451">
        <v>0</v>
      </c>
      <c r="DM311" s="451">
        <v>0</v>
      </c>
      <c r="DN311" s="451">
        <v>0</v>
      </c>
      <c r="DO311" s="451">
        <v>0</v>
      </c>
      <c r="DP311" s="451">
        <v>0</v>
      </c>
      <c r="DQ311" s="451">
        <v>0</v>
      </c>
      <c r="DR311" s="451">
        <v>0</v>
      </c>
      <c r="DS311" s="451">
        <v>0</v>
      </c>
      <c r="DT311" s="451">
        <v>0</v>
      </c>
      <c r="DU311" s="451">
        <v>0</v>
      </c>
      <c r="DV311" s="451">
        <v>0</v>
      </c>
      <c r="DW311" s="451">
        <v>0</v>
      </c>
      <c r="DX311" s="451">
        <v>0</v>
      </c>
      <c r="DY311" s="451">
        <v>0</v>
      </c>
      <c r="DZ311" s="451">
        <v>0</v>
      </c>
      <c r="EA311" s="451">
        <v>0</v>
      </c>
      <c r="EB311" s="451">
        <v>0</v>
      </c>
      <c r="EC311" s="451">
        <v>0</v>
      </c>
      <c r="ED311" s="451">
        <v>0</v>
      </c>
      <c r="EE311" s="451">
        <v>0</v>
      </c>
      <c r="EF311" s="451">
        <v>810.72</v>
      </c>
      <c r="EG311" s="451">
        <v>0</v>
      </c>
      <c r="EH311" s="451">
        <v>0</v>
      </c>
      <c r="EI311" s="451">
        <v>810.72</v>
      </c>
      <c r="EJ311" s="451">
        <v>-1184.6300000000001</v>
      </c>
      <c r="EK311" s="451">
        <v>0</v>
      </c>
      <c r="EL311" s="451">
        <v>0</v>
      </c>
      <c r="EM311" s="451">
        <v>-1184.6300000000001</v>
      </c>
    </row>
    <row r="312" spans="1:143" ht="12.75" x14ac:dyDescent="0.2">
      <c r="A312" s="446">
        <v>306</v>
      </c>
      <c r="B312" s="447" t="s">
        <v>495</v>
      </c>
      <c r="C312" s="448" t="s">
        <v>1093</v>
      </c>
      <c r="D312" s="449" t="s">
        <v>1095</v>
      </c>
      <c r="E312" s="450" t="s">
        <v>494</v>
      </c>
      <c r="F312" s="451">
        <v>111580</v>
      </c>
      <c r="G312" s="451">
        <v>0</v>
      </c>
      <c r="H312" s="451">
        <v>0</v>
      </c>
      <c r="I312" s="451">
        <v>111580</v>
      </c>
      <c r="J312" s="451">
        <v>-61128</v>
      </c>
      <c r="K312" s="451">
        <v>0</v>
      </c>
      <c r="L312" s="451">
        <v>0</v>
      </c>
      <c r="M312" s="451">
        <v>-61128</v>
      </c>
      <c r="N312" s="451">
        <v>19709</v>
      </c>
      <c r="O312" s="451">
        <v>0</v>
      </c>
      <c r="P312" s="451">
        <v>0</v>
      </c>
      <c r="Q312" s="451">
        <v>19709</v>
      </c>
      <c r="R312" s="451">
        <v>168559</v>
      </c>
      <c r="S312" s="451">
        <v>0</v>
      </c>
      <c r="T312" s="451">
        <v>0</v>
      </c>
      <c r="U312" s="451">
        <v>168559</v>
      </c>
      <c r="V312" s="451">
        <v>1865947</v>
      </c>
      <c r="W312" s="451">
        <v>0</v>
      </c>
      <c r="X312" s="451">
        <v>0</v>
      </c>
      <c r="Y312" s="451">
        <v>1865947</v>
      </c>
      <c r="Z312" s="451">
        <v>78325</v>
      </c>
      <c r="AA312" s="451">
        <v>0</v>
      </c>
      <c r="AB312" s="451">
        <v>0</v>
      </c>
      <c r="AC312" s="451">
        <v>78325</v>
      </c>
      <c r="AD312" s="451">
        <v>612568</v>
      </c>
      <c r="AE312" s="451">
        <v>0</v>
      </c>
      <c r="AF312" s="451">
        <v>0</v>
      </c>
      <c r="AG312" s="451">
        <v>612568</v>
      </c>
      <c r="AH312" s="451">
        <v>25146</v>
      </c>
      <c r="AI312" s="451">
        <v>0</v>
      </c>
      <c r="AJ312" s="451">
        <v>0</v>
      </c>
      <c r="AK312" s="451">
        <v>25146</v>
      </c>
      <c r="AL312" s="451">
        <v>2322037</v>
      </c>
      <c r="AM312" s="451">
        <v>0</v>
      </c>
      <c r="AN312" s="451">
        <v>0</v>
      </c>
      <c r="AO312" s="451">
        <v>2322037</v>
      </c>
      <c r="AP312" s="451">
        <v>84538</v>
      </c>
      <c r="AQ312" s="451">
        <v>0</v>
      </c>
      <c r="AR312" s="451">
        <v>0</v>
      </c>
      <c r="AS312" s="451">
        <v>84538</v>
      </c>
      <c r="AT312" s="451">
        <v>0</v>
      </c>
      <c r="AU312" s="451">
        <v>0</v>
      </c>
      <c r="AV312" s="451">
        <v>0</v>
      </c>
      <c r="AW312" s="451">
        <v>0</v>
      </c>
      <c r="AX312" s="451">
        <v>0</v>
      </c>
      <c r="AY312" s="451">
        <v>0</v>
      </c>
      <c r="AZ312" s="451">
        <v>0</v>
      </c>
      <c r="BA312" s="451">
        <v>0</v>
      </c>
      <c r="BB312" s="451">
        <v>5263</v>
      </c>
      <c r="BC312" s="451">
        <v>0</v>
      </c>
      <c r="BD312" s="451">
        <v>0</v>
      </c>
      <c r="BE312" s="451">
        <v>5263</v>
      </c>
      <c r="BF312" s="451">
        <v>1721</v>
      </c>
      <c r="BG312" s="451">
        <v>0</v>
      </c>
      <c r="BH312" s="451">
        <v>0</v>
      </c>
      <c r="BI312" s="451">
        <v>1721</v>
      </c>
      <c r="BJ312" s="451">
        <v>157191</v>
      </c>
      <c r="BK312" s="451">
        <v>0</v>
      </c>
      <c r="BL312" s="451">
        <v>0</v>
      </c>
      <c r="BM312" s="451">
        <v>157191</v>
      </c>
      <c r="BN312" s="451">
        <v>46726</v>
      </c>
      <c r="BO312" s="451">
        <v>0</v>
      </c>
      <c r="BP312" s="451">
        <v>0</v>
      </c>
      <c r="BQ312" s="451">
        <v>46726</v>
      </c>
      <c r="BR312" s="451">
        <v>2209432</v>
      </c>
      <c r="BS312" s="451">
        <v>0</v>
      </c>
      <c r="BT312" s="451">
        <v>0</v>
      </c>
      <c r="BU312" s="451">
        <v>2209432</v>
      </c>
      <c r="BV312" s="451">
        <v>-324792</v>
      </c>
      <c r="BW312" s="451">
        <v>0</v>
      </c>
      <c r="BX312" s="451">
        <v>0</v>
      </c>
      <c r="BY312" s="451">
        <v>-324792</v>
      </c>
      <c r="BZ312" s="451">
        <v>9061</v>
      </c>
      <c r="CA312" s="451">
        <v>0</v>
      </c>
      <c r="CB312" s="451">
        <v>0</v>
      </c>
      <c r="CC312" s="451">
        <v>9061</v>
      </c>
      <c r="CD312" s="451">
        <v>-2540</v>
      </c>
      <c r="CE312" s="451">
        <v>0</v>
      </c>
      <c r="CF312" s="451">
        <v>0</v>
      </c>
      <c r="CG312" s="451">
        <v>-2540</v>
      </c>
      <c r="CH312" s="451">
        <v>25233</v>
      </c>
      <c r="CI312" s="451">
        <v>0</v>
      </c>
      <c r="CJ312" s="451">
        <v>0</v>
      </c>
      <c r="CK312" s="451">
        <v>25233</v>
      </c>
      <c r="CL312" s="451">
        <v>7489</v>
      </c>
      <c r="CM312" s="451">
        <v>0</v>
      </c>
      <c r="CN312" s="451">
        <v>0</v>
      </c>
      <c r="CO312" s="451">
        <v>7489</v>
      </c>
      <c r="CP312" s="451">
        <v>0</v>
      </c>
      <c r="CQ312" s="451">
        <v>0</v>
      </c>
      <c r="CR312" s="451">
        <v>0</v>
      </c>
      <c r="CS312" s="451">
        <v>0</v>
      </c>
      <c r="CT312" s="451">
        <v>0</v>
      </c>
      <c r="CU312" s="451">
        <v>0</v>
      </c>
      <c r="CV312" s="451">
        <v>0</v>
      </c>
      <c r="CW312" s="451">
        <v>0</v>
      </c>
      <c r="CX312" s="451">
        <v>0</v>
      </c>
      <c r="CY312" s="451">
        <v>0</v>
      </c>
      <c r="CZ312" s="451">
        <v>0</v>
      </c>
      <c r="DA312" s="451">
        <v>0</v>
      </c>
      <c r="DB312" s="451">
        <v>-2329</v>
      </c>
      <c r="DC312" s="451">
        <v>0</v>
      </c>
      <c r="DD312" s="451">
        <v>0</v>
      </c>
      <c r="DE312" s="451">
        <v>-2329</v>
      </c>
      <c r="DF312" s="451">
        <v>0</v>
      </c>
      <c r="DG312" s="451">
        <v>0</v>
      </c>
      <c r="DH312" s="451">
        <v>0</v>
      </c>
      <c r="DI312" s="451">
        <v>0</v>
      </c>
      <c r="DJ312" s="451">
        <v>0</v>
      </c>
      <c r="DK312" s="451">
        <v>0</v>
      </c>
      <c r="DL312" s="451">
        <v>0</v>
      </c>
      <c r="DM312" s="451">
        <v>0</v>
      </c>
      <c r="DN312" s="451">
        <v>0</v>
      </c>
      <c r="DO312" s="451">
        <v>0</v>
      </c>
      <c r="DP312" s="451">
        <v>0</v>
      </c>
      <c r="DQ312" s="451">
        <v>0</v>
      </c>
      <c r="DR312" s="451">
        <v>0</v>
      </c>
      <c r="DS312" s="451">
        <v>0</v>
      </c>
      <c r="DT312" s="451">
        <v>0</v>
      </c>
      <c r="DU312" s="451">
        <v>0</v>
      </c>
      <c r="DV312" s="451">
        <v>0</v>
      </c>
      <c r="DW312" s="451">
        <v>0</v>
      </c>
      <c r="DX312" s="451">
        <v>0</v>
      </c>
      <c r="DY312" s="451">
        <v>0</v>
      </c>
      <c r="DZ312" s="451">
        <v>0</v>
      </c>
      <c r="EA312" s="451">
        <v>0</v>
      </c>
      <c r="EB312" s="451">
        <v>0</v>
      </c>
      <c r="EC312" s="451">
        <v>0</v>
      </c>
      <c r="ED312" s="451">
        <v>0</v>
      </c>
      <c r="EE312" s="451">
        <v>0</v>
      </c>
      <c r="EF312" s="451">
        <v>2554</v>
      </c>
      <c r="EG312" s="451">
        <v>0</v>
      </c>
      <c r="EH312" s="451">
        <v>0</v>
      </c>
      <c r="EI312" s="451">
        <v>2554</v>
      </c>
      <c r="EJ312" s="451">
        <v>2289</v>
      </c>
      <c r="EK312" s="451">
        <v>0</v>
      </c>
      <c r="EL312" s="451">
        <v>0</v>
      </c>
      <c r="EM312" s="451">
        <v>2289</v>
      </c>
    </row>
    <row r="313" spans="1:143" ht="12.75" x14ac:dyDescent="0.2">
      <c r="A313" s="446">
        <v>307</v>
      </c>
      <c r="B313" s="447" t="s">
        <v>497</v>
      </c>
      <c r="C313" s="448" t="s">
        <v>1093</v>
      </c>
      <c r="D313" s="449" t="s">
        <v>1096</v>
      </c>
      <c r="E313" s="450" t="s">
        <v>496</v>
      </c>
      <c r="F313" s="451">
        <v>61177.62</v>
      </c>
      <c r="G313" s="451">
        <v>0</v>
      </c>
      <c r="H313" s="451">
        <v>0</v>
      </c>
      <c r="I313" s="451">
        <v>61177.62</v>
      </c>
      <c r="J313" s="451">
        <v>-63208.43</v>
      </c>
      <c r="K313" s="451">
        <v>0</v>
      </c>
      <c r="L313" s="451">
        <v>0</v>
      </c>
      <c r="M313" s="451">
        <v>-63208.43</v>
      </c>
      <c r="N313" s="451">
        <v>608.65</v>
      </c>
      <c r="O313" s="451">
        <v>0</v>
      </c>
      <c r="P313" s="451">
        <v>0</v>
      </c>
      <c r="Q313" s="451">
        <v>608.65</v>
      </c>
      <c r="R313" s="451">
        <v>22522.75</v>
      </c>
      <c r="S313" s="451">
        <v>0</v>
      </c>
      <c r="T313" s="451">
        <v>0</v>
      </c>
      <c r="U313" s="451">
        <v>22522.75</v>
      </c>
      <c r="V313" s="451">
        <v>1582471.46</v>
      </c>
      <c r="W313" s="451">
        <v>0</v>
      </c>
      <c r="X313" s="451">
        <v>0</v>
      </c>
      <c r="Y313" s="451">
        <v>1582471.46</v>
      </c>
      <c r="Z313" s="451">
        <v>41634.54</v>
      </c>
      <c r="AA313" s="451">
        <v>0</v>
      </c>
      <c r="AB313" s="451">
        <v>0</v>
      </c>
      <c r="AC313" s="451">
        <v>41634.54</v>
      </c>
      <c r="AD313" s="451">
        <v>317773.19</v>
      </c>
      <c r="AE313" s="451">
        <v>0</v>
      </c>
      <c r="AF313" s="451">
        <v>0</v>
      </c>
      <c r="AG313" s="451">
        <v>317773.19</v>
      </c>
      <c r="AH313" s="451">
        <v>-15079.17</v>
      </c>
      <c r="AI313" s="451">
        <v>0</v>
      </c>
      <c r="AJ313" s="451">
        <v>0</v>
      </c>
      <c r="AK313" s="451">
        <v>-15079.17</v>
      </c>
      <c r="AL313" s="451">
        <v>1339282.46</v>
      </c>
      <c r="AM313" s="451">
        <v>0</v>
      </c>
      <c r="AN313" s="451">
        <v>0</v>
      </c>
      <c r="AO313" s="451">
        <v>1339282.46</v>
      </c>
      <c r="AP313" s="451">
        <v>13297.11</v>
      </c>
      <c r="AQ313" s="451">
        <v>0</v>
      </c>
      <c r="AR313" s="451">
        <v>0</v>
      </c>
      <c r="AS313" s="451">
        <v>13297.11</v>
      </c>
      <c r="AT313" s="451">
        <v>24576.78</v>
      </c>
      <c r="AU313" s="451">
        <v>0</v>
      </c>
      <c r="AV313" s="451">
        <v>0</v>
      </c>
      <c r="AW313" s="451">
        <v>24576.78</v>
      </c>
      <c r="AX313" s="451">
        <v>0</v>
      </c>
      <c r="AY313" s="451">
        <v>0</v>
      </c>
      <c r="AZ313" s="451">
        <v>0</v>
      </c>
      <c r="BA313" s="451">
        <v>0</v>
      </c>
      <c r="BB313" s="451">
        <v>33780.42</v>
      </c>
      <c r="BC313" s="451">
        <v>0</v>
      </c>
      <c r="BD313" s="451">
        <v>0</v>
      </c>
      <c r="BE313" s="451">
        <v>33780.42</v>
      </c>
      <c r="BF313" s="451">
        <v>-2058</v>
      </c>
      <c r="BG313" s="451">
        <v>0</v>
      </c>
      <c r="BH313" s="451">
        <v>0</v>
      </c>
      <c r="BI313" s="451">
        <v>-2058</v>
      </c>
      <c r="BJ313" s="451">
        <v>17693.23</v>
      </c>
      <c r="BK313" s="451">
        <v>0</v>
      </c>
      <c r="BL313" s="451">
        <v>0</v>
      </c>
      <c r="BM313" s="451">
        <v>17693.23</v>
      </c>
      <c r="BN313" s="451">
        <v>0</v>
      </c>
      <c r="BO313" s="451">
        <v>0</v>
      </c>
      <c r="BP313" s="451">
        <v>0</v>
      </c>
      <c r="BQ313" s="451">
        <v>0</v>
      </c>
      <c r="BR313" s="451">
        <v>674017.59</v>
      </c>
      <c r="BS313" s="451">
        <v>0</v>
      </c>
      <c r="BT313" s="451">
        <v>0</v>
      </c>
      <c r="BU313" s="451">
        <v>674017.59</v>
      </c>
      <c r="BV313" s="451">
        <v>-15389.66</v>
      </c>
      <c r="BW313" s="451">
        <v>0</v>
      </c>
      <c r="BX313" s="451">
        <v>0</v>
      </c>
      <c r="BY313" s="451">
        <v>-15389.66</v>
      </c>
      <c r="BZ313" s="451">
        <v>31212.11</v>
      </c>
      <c r="CA313" s="451">
        <v>0</v>
      </c>
      <c r="CB313" s="451">
        <v>0</v>
      </c>
      <c r="CC313" s="451">
        <v>31212.11</v>
      </c>
      <c r="CD313" s="451">
        <v>45.06</v>
      </c>
      <c r="CE313" s="451">
        <v>0</v>
      </c>
      <c r="CF313" s="451">
        <v>0</v>
      </c>
      <c r="CG313" s="451">
        <v>45.06</v>
      </c>
      <c r="CH313" s="451">
        <v>40202.11</v>
      </c>
      <c r="CI313" s="451">
        <v>0</v>
      </c>
      <c r="CJ313" s="451">
        <v>0</v>
      </c>
      <c r="CK313" s="451">
        <v>40202.11</v>
      </c>
      <c r="CL313" s="451">
        <v>509.59</v>
      </c>
      <c r="CM313" s="451">
        <v>0</v>
      </c>
      <c r="CN313" s="451">
        <v>0</v>
      </c>
      <c r="CO313" s="451">
        <v>509.59</v>
      </c>
      <c r="CP313" s="451">
        <v>1738.01</v>
      </c>
      <c r="CQ313" s="451">
        <v>0</v>
      </c>
      <c r="CR313" s="451">
        <v>0</v>
      </c>
      <c r="CS313" s="451">
        <v>1738.01</v>
      </c>
      <c r="CT313" s="451">
        <v>0</v>
      </c>
      <c r="CU313" s="451">
        <v>0</v>
      </c>
      <c r="CV313" s="451">
        <v>0</v>
      </c>
      <c r="CW313" s="451">
        <v>0</v>
      </c>
      <c r="CX313" s="451">
        <v>6475.53</v>
      </c>
      <c r="CY313" s="451">
        <v>0</v>
      </c>
      <c r="CZ313" s="451">
        <v>0</v>
      </c>
      <c r="DA313" s="451">
        <v>6475.53</v>
      </c>
      <c r="DB313" s="451">
        <v>88.93</v>
      </c>
      <c r="DC313" s="451">
        <v>0</v>
      </c>
      <c r="DD313" s="451">
        <v>0</v>
      </c>
      <c r="DE313" s="451">
        <v>88.93</v>
      </c>
      <c r="DF313" s="451">
        <v>232.56</v>
      </c>
      <c r="DG313" s="451">
        <v>0</v>
      </c>
      <c r="DH313" s="451">
        <v>0</v>
      </c>
      <c r="DI313" s="451">
        <v>232.56</v>
      </c>
      <c r="DJ313" s="451">
        <v>0</v>
      </c>
      <c r="DK313" s="451">
        <v>0</v>
      </c>
      <c r="DL313" s="451">
        <v>0</v>
      </c>
      <c r="DM313" s="451">
        <v>0</v>
      </c>
      <c r="DN313" s="451">
        <v>0</v>
      </c>
      <c r="DO313" s="451">
        <v>0</v>
      </c>
      <c r="DP313" s="451">
        <v>0</v>
      </c>
      <c r="DQ313" s="451">
        <v>0</v>
      </c>
      <c r="DR313" s="451">
        <v>0</v>
      </c>
      <c r="DS313" s="451">
        <v>0</v>
      </c>
      <c r="DT313" s="451">
        <v>0</v>
      </c>
      <c r="DU313" s="451">
        <v>0</v>
      </c>
      <c r="DV313" s="451">
        <v>0</v>
      </c>
      <c r="DW313" s="451">
        <v>0</v>
      </c>
      <c r="DX313" s="451">
        <v>281</v>
      </c>
      <c r="DY313" s="451">
        <v>0</v>
      </c>
      <c r="DZ313" s="451">
        <v>0</v>
      </c>
      <c r="EA313" s="451">
        <v>281</v>
      </c>
      <c r="EB313" s="451">
        <v>0</v>
      </c>
      <c r="EC313" s="451">
        <v>0</v>
      </c>
      <c r="ED313" s="451">
        <v>0</v>
      </c>
      <c r="EE313" s="451">
        <v>0</v>
      </c>
      <c r="EF313" s="451">
        <v>0</v>
      </c>
      <c r="EG313" s="451">
        <v>0</v>
      </c>
      <c r="EH313" s="451">
        <v>0</v>
      </c>
      <c r="EI313" s="451">
        <v>0</v>
      </c>
      <c r="EJ313" s="451">
        <v>0</v>
      </c>
      <c r="EK313" s="451">
        <v>0</v>
      </c>
      <c r="EL313" s="451">
        <v>0</v>
      </c>
      <c r="EM313" s="451">
        <v>0</v>
      </c>
    </row>
    <row r="314" spans="1:143" ht="12.75" x14ac:dyDescent="0.2">
      <c r="A314" s="446">
        <v>308</v>
      </c>
      <c r="B314" s="447" t="s">
        <v>499</v>
      </c>
      <c r="C314" s="448" t="s">
        <v>1093</v>
      </c>
      <c r="D314" s="449" t="s">
        <v>1094</v>
      </c>
      <c r="E314" s="450" t="s">
        <v>498</v>
      </c>
      <c r="F314" s="451">
        <v>122518.25</v>
      </c>
      <c r="G314" s="451">
        <v>0</v>
      </c>
      <c r="H314" s="451">
        <v>0</v>
      </c>
      <c r="I314" s="451">
        <v>122518.25</v>
      </c>
      <c r="J314" s="451">
        <v>-49278.34</v>
      </c>
      <c r="K314" s="451">
        <v>0</v>
      </c>
      <c r="L314" s="451">
        <v>0</v>
      </c>
      <c r="M314" s="451">
        <v>-49278.34</v>
      </c>
      <c r="N314" s="451">
        <v>39577.519999999997</v>
      </c>
      <c r="O314" s="451">
        <v>0</v>
      </c>
      <c r="P314" s="451">
        <v>0</v>
      </c>
      <c r="Q314" s="451">
        <v>39577.519999999997</v>
      </c>
      <c r="R314" s="451">
        <v>31221.15</v>
      </c>
      <c r="S314" s="451">
        <v>0</v>
      </c>
      <c r="T314" s="451">
        <v>0</v>
      </c>
      <c r="U314" s="451">
        <v>31221.15</v>
      </c>
      <c r="V314" s="451">
        <v>2201983.08</v>
      </c>
      <c r="W314" s="451">
        <v>0</v>
      </c>
      <c r="X314" s="451">
        <v>0</v>
      </c>
      <c r="Y314" s="451">
        <v>2201983.08</v>
      </c>
      <c r="Z314" s="451">
        <v>86618.53</v>
      </c>
      <c r="AA314" s="451">
        <v>0</v>
      </c>
      <c r="AB314" s="451">
        <v>0</v>
      </c>
      <c r="AC314" s="451">
        <v>86618.53</v>
      </c>
      <c r="AD314" s="451">
        <v>570909.16</v>
      </c>
      <c r="AE314" s="451">
        <v>0</v>
      </c>
      <c r="AF314" s="451">
        <v>0</v>
      </c>
      <c r="AG314" s="451">
        <v>570909.16</v>
      </c>
      <c r="AH314" s="451">
        <v>32788.61</v>
      </c>
      <c r="AI314" s="451">
        <v>0</v>
      </c>
      <c r="AJ314" s="451">
        <v>0</v>
      </c>
      <c r="AK314" s="451">
        <v>32788.61</v>
      </c>
      <c r="AL314" s="451">
        <v>2231633.7999999998</v>
      </c>
      <c r="AM314" s="451">
        <v>0</v>
      </c>
      <c r="AN314" s="451">
        <v>0</v>
      </c>
      <c r="AO314" s="451">
        <v>2231633.7999999998</v>
      </c>
      <c r="AP314" s="451">
        <v>-32471.439999999999</v>
      </c>
      <c r="AQ314" s="451">
        <v>0</v>
      </c>
      <c r="AR314" s="451">
        <v>0</v>
      </c>
      <c r="AS314" s="451">
        <v>-32471.439999999999</v>
      </c>
      <c r="AT314" s="451">
        <v>62718.65</v>
      </c>
      <c r="AU314" s="451">
        <v>0</v>
      </c>
      <c r="AV314" s="451">
        <v>0</v>
      </c>
      <c r="AW314" s="451">
        <v>62718.65</v>
      </c>
      <c r="AX314" s="451">
        <v>0</v>
      </c>
      <c r="AY314" s="451">
        <v>0</v>
      </c>
      <c r="AZ314" s="451">
        <v>0</v>
      </c>
      <c r="BA314" s="451">
        <v>0</v>
      </c>
      <c r="BB314" s="451">
        <v>42962.99</v>
      </c>
      <c r="BC314" s="451">
        <v>0</v>
      </c>
      <c r="BD314" s="451">
        <v>0</v>
      </c>
      <c r="BE314" s="451">
        <v>42962.99</v>
      </c>
      <c r="BF314" s="451">
        <v>7625</v>
      </c>
      <c r="BG314" s="451">
        <v>0</v>
      </c>
      <c r="BH314" s="451">
        <v>0</v>
      </c>
      <c r="BI314" s="451">
        <v>7625</v>
      </c>
      <c r="BJ314" s="451">
        <v>115.28</v>
      </c>
      <c r="BK314" s="451">
        <v>0</v>
      </c>
      <c r="BL314" s="451">
        <v>0</v>
      </c>
      <c r="BM314" s="451">
        <v>115.28</v>
      </c>
      <c r="BN314" s="451">
        <v>-55.86</v>
      </c>
      <c r="BO314" s="451">
        <v>0</v>
      </c>
      <c r="BP314" s="451">
        <v>0</v>
      </c>
      <c r="BQ314" s="451">
        <v>-55.86</v>
      </c>
      <c r="BR314" s="451">
        <v>816180.43</v>
      </c>
      <c r="BS314" s="451">
        <v>0</v>
      </c>
      <c r="BT314" s="451">
        <v>0</v>
      </c>
      <c r="BU314" s="451">
        <v>816180.43</v>
      </c>
      <c r="BV314" s="451">
        <v>15975.35</v>
      </c>
      <c r="BW314" s="451">
        <v>0</v>
      </c>
      <c r="BX314" s="451">
        <v>0</v>
      </c>
      <c r="BY314" s="451">
        <v>15975.35</v>
      </c>
      <c r="BZ314" s="451">
        <v>75719.11</v>
      </c>
      <c r="CA314" s="451">
        <v>0</v>
      </c>
      <c r="CB314" s="451">
        <v>0</v>
      </c>
      <c r="CC314" s="451">
        <v>75719.11</v>
      </c>
      <c r="CD314" s="451">
        <v>-877.8</v>
      </c>
      <c r="CE314" s="451">
        <v>0</v>
      </c>
      <c r="CF314" s="451">
        <v>0</v>
      </c>
      <c r="CG314" s="451">
        <v>-877.8</v>
      </c>
      <c r="CH314" s="451">
        <v>0</v>
      </c>
      <c r="CI314" s="451">
        <v>0</v>
      </c>
      <c r="CJ314" s="451">
        <v>0</v>
      </c>
      <c r="CK314" s="451">
        <v>0</v>
      </c>
      <c r="CL314" s="451">
        <v>0</v>
      </c>
      <c r="CM314" s="451">
        <v>0</v>
      </c>
      <c r="CN314" s="451">
        <v>0</v>
      </c>
      <c r="CO314" s="451">
        <v>0</v>
      </c>
      <c r="CP314" s="451">
        <v>0</v>
      </c>
      <c r="CQ314" s="451">
        <v>0</v>
      </c>
      <c r="CR314" s="451">
        <v>0</v>
      </c>
      <c r="CS314" s="451">
        <v>0</v>
      </c>
      <c r="CT314" s="451">
        <v>0</v>
      </c>
      <c r="CU314" s="451">
        <v>0</v>
      </c>
      <c r="CV314" s="451">
        <v>0</v>
      </c>
      <c r="CW314" s="451">
        <v>0</v>
      </c>
      <c r="CX314" s="451">
        <v>3373.53</v>
      </c>
      <c r="CY314" s="451">
        <v>0</v>
      </c>
      <c r="CZ314" s="451">
        <v>0</v>
      </c>
      <c r="DA314" s="451">
        <v>3373.53</v>
      </c>
      <c r="DB314" s="451">
        <v>0</v>
      </c>
      <c r="DC314" s="451">
        <v>0</v>
      </c>
      <c r="DD314" s="451">
        <v>0</v>
      </c>
      <c r="DE314" s="451">
        <v>0</v>
      </c>
      <c r="DF314" s="451">
        <v>0</v>
      </c>
      <c r="DG314" s="451">
        <v>0</v>
      </c>
      <c r="DH314" s="451">
        <v>0</v>
      </c>
      <c r="DI314" s="451">
        <v>0</v>
      </c>
      <c r="DJ314" s="451">
        <v>0</v>
      </c>
      <c r="DK314" s="451">
        <v>0</v>
      </c>
      <c r="DL314" s="451">
        <v>0</v>
      </c>
      <c r="DM314" s="451">
        <v>0</v>
      </c>
      <c r="DN314" s="451">
        <v>0</v>
      </c>
      <c r="DO314" s="451">
        <v>0</v>
      </c>
      <c r="DP314" s="451">
        <v>0</v>
      </c>
      <c r="DQ314" s="451">
        <v>0</v>
      </c>
      <c r="DR314" s="451">
        <v>0</v>
      </c>
      <c r="DS314" s="451">
        <v>0</v>
      </c>
      <c r="DT314" s="451">
        <v>0</v>
      </c>
      <c r="DU314" s="451">
        <v>0</v>
      </c>
      <c r="DV314" s="451">
        <v>0</v>
      </c>
      <c r="DW314" s="451">
        <v>0</v>
      </c>
      <c r="DX314" s="451">
        <v>0</v>
      </c>
      <c r="DY314" s="451">
        <v>0</v>
      </c>
      <c r="DZ314" s="451">
        <v>0</v>
      </c>
      <c r="EA314" s="451">
        <v>0</v>
      </c>
      <c r="EB314" s="451">
        <v>5857.46</v>
      </c>
      <c r="EC314" s="451">
        <v>0</v>
      </c>
      <c r="ED314" s="451">
        <v>0</v>
      </c>
      <c r="EE314" s="451">
        <v>5857.46</v>
      </c>
      <c r="EF314" s="451">
        <v>0</v>
      </c>
      <c r="EG314" s="451">
        <v>0</v>
      </c>
      <c r="EH314" s="451">
        <v>0</v>
      </c>
      <c r="EI314" s="451">
        <v>0</v>
      </c>
      <c r="EJ314" s="451">
        <v>0</v>
      </c>
      <c r="EK314" s="451">
        <v>0</v>
      </c>
      <c r="EL314" s="451">
        <v>0</v>
      </c>
      <c r="EM314" s="451">
        <v>0</v>
      </c>
    </row>
    <row r="315" spans="1:143" ht="12.75" x14ac:dyDescent="0.2">
      <c r="A315" s="446">
        <v>309</v>
      </c>
      <c r="B315" s="447" t="s">
        <v>501</v>
      </c>
      <c r="C315" s="448" t="s">
        <v>1093</v>
      </c>
      <c r="D315" s="449" t="s">
        <v>1102</v>
      </c>
      <c r="E315" s="450" t="s">
        <v>500</v>
      </c>
      <c r="F315" s="451">
        <v>949134</v>
      </c>
      <c r="G315" s="451">
        <v>0</v>
      </c>
      <c r="H315" s="451">
        <v>0</v>
      </c>
      <c r="I315" s="451">
        <v>949134</v>
      </c>
      <c r="J315" s="451">
        <v>-64528</v>
      </c>
      <c r="K315" s="451">
        <v>0</v>
      </c>
      <c r="L315" s="451">
        <v>0</v>
      </c>
      <c r="M315" s="451">
        <v>-64528</v>
      </c>
      <c r="N315" s="451">
        <v>60760</v>
      </c>
      <c r="O315" s="451">
        <v>0</v>
      </c>
      <c r="P315" s="451">
        <v>0</v>
      </c>
      <c r="Q315" s="451">
        <v>60760</v>
      </c>
      <c r="R315" s="451">
        <v>4015</v>
      </c>
      <c r="S315" s="451">
        <v>0</v>
      </c>
      <c r="T315" s="451">
        <v>0</v>
      </c>
      <c r="U315" s="451">
        <v>4015</v>
      </c>
      <c r="V315" s="451">
        <v>1246018</v>
      </c>
      <c r="W315" s="451">
        <v>0</v>
      </c>
      <c r="X315" s="451">
        <v>0</v>
      </c>
      <c r="Y315" s="451">
        <v>1246018</v>
      </c>
      <c r="Z315" s="451">
        <v>57855</v>
      </c>
      <c r="AA315" s="451">
        <v>0</v>
      </c>
      <c r="AB315" s="451">
        <v>0</v>
      </c>
      <c r="AC315" s="451">
        <v>57855</v>
      </c>
      <c r="AD315" s="451">
        <v>219789</v>
      </c>
      <c r="AE315" s="451">
        <v>0</v>
      </c>
      <c r="AF315" s="451">
        <v>0</v>
      </c>
      <c r="AG315" s="451">
        <v>219789</v>
      </c>
      <c r="AH315" s="451">
        <v>-927</v>
      </c>
      <c r="AI315" s="451">
        <v>0</v>
      </c>
      <c r="AJ315" s="451">
        <v>0</v>
      </c>
      <c r="AK315" s="451">
        <v>-927</v>
      </c>
      <c r="AL315" s="451">
        <v>521645</v>
      </c>
      <c r="AM315" s="451">
        <v>0</v>
      </c>
      <c r="AN315" s="451">
        <v>0</v>
      </c>
      <c r="AO315" s="451">
        <v>521645</v>
      </c>
      <c r="AP315" s="451">
        <v>-621</v>
      </c>
      <c r="AQ315" s="451">
        <v>0</v>
      </c>
      <c r="AR315" s="451">
        <v>0</v>
      </c>
      <c r="AS315" s="451">
        <v>-621</v>
      </c>
      <c r="AT315" s="451">
        <v>11114</v>
      </c>
      <c r="AU315" s="451">
        <v>0</v>
      </c>
      <c r="AV315" s="451">
        <v>0</v>
      </c>
      <c r="AW315" s="451">
        <v>11114</v>
      </c>
      <c r="AX315" s="451">
        <v>0</v>
      </c>
      <c r="AY315" s="451">
        <v>0</v>
      </c>
      <c r="AZ315" s="451">
        <v>0</v>
      </c>
      <c r="BA315" s="451">
        <v>0</v>
      </c>
      <c r="BB315" s="451">
        <v>39775</v>
      </c>
      <c r="BC315" s="451">
        <v>0</v>
      </c>
      <c r="BD315" s="451">
        <v>0</v>
      </c>
      <c r="BE315" s="451">
        <v>39775</v>
      </c>
      <c r="BF315" s="451">
        <v>0</v>
      </c>
      <c r="BG315" s="451">
        <v>0</v>
      </c>
      <c r="BH315" s="451">
        <v>0</v>
      </c>
      <c r="BI315" s="451">
        <v>0</v>
      </c>
      <c r="BJ315" s="451">
        <v>0</v>
      </c>
      <c r="BK315" s="451">
        <v>0</v>
      </c>
      <c r="BL315" s="451">
        <v>0</v>
      </c>
      <c r="BM315" s="451">
        <v>0</v>
      </c>
      <c r="BN315" s="451">
        <v>0</v>
      </c>
      <c r="BO315" s="451">
        <v>0</v>
      </c>
      <c r="BP315" s="451">
        <v>0</v>
      </c>
      <c r="BQ315" s="451">
        <v>0</v>
      </c>
      <c r="BR315" s="451">
        <v>129421</v>
      </c>
      <c r="BS315" s="451">
        <v>0</v>
      </c>
      <c r="BT315" s="451">
        <v>0</v>
      </c>
      <c r="BU315" s="451">
        <v>129421</v>
      </c>
      <c r="BV315" s="451">
        <v>4682</v>
      </c>
      <c r="BW315" s="451">
        <v>0</v>
      </c>
      <c r="BX315" s="451">
        <v>0</v>
      </c>
      <c r="BY315" s="451">
        <v>4682</v>
      </c>
      <c r="BZ315" s="451">
        <v>27490</v>
      </c>
      <c r="CA315" s="451">
        <v>0</v>
      </c>
      <c r="CB315" s="451">
        <v>0</v>
      </c>
      <c r="CC315" s="451">
        <v>27490</v>
      </c>
      <c r="CD315" s="451">
        <v>0</v>
      </c>
      <c r="CE315" s="451">
        <v>0</v>
      </c>
      <c r="CF315" s="451">
        <v>0</v>
      </c>
      <c r="CG315" s="451">
        <v>0</v>
      </c>
      <c r="CH315" s="451">
        <v>82531</v>
      </c>
      <c r="CI315" s="451">
        <v>0</v>
      </c>
      <c r="CJ315" s="451">
        <v>0</v>
      </c>
      <c r="CK315" s="451">
        <v>82531</v>
      </c>
      <c r="CL315" s="451">
        <v>0</v>
      </c>
      <c r="CM315" s="451">
        <v>0</v>
      </c>
      <c r="CN315" s="451">
        <v>0</v>
      </c>
      <c r="CO315" s="451">
        <v>0</v>
      </c>
      <c r="CP315" s="451">
        <v>2298</v>
      </c>
      <c r="CQ315" s="451">
        <v>0</v>
      </c>
      <c r="CR315" s="451">
        <v>0</v>
      </c>
      <c r="CS315" s="451">
        <v>2298</v>
      </c>
      <c r="CT315" s="451">
        <v>0</v>
      </c>
      <c r="CU315" s="451">
        <v>0</v>
      </c>
      <c r="CV315" s="451">
        <v>0</v>
      </c>
      <c r="CW315" s="451">
        <v>0</v>
      </c>
      <c r="CX315" s="451">
        <v>39775</v>
      </c>
      <c r="CY315" s="451">
        <v>0</v>
      </c>
      <c r="CZ315" s="451">
        <v>0</v>
      </c>
      <c r="DA315" s="451">
        <v>39775</v>
      </c>
      <c r="DB315" s="451">
        <v>0</v>
      </c>
      <c r="DC315" s="451">
        <v>0</v>
      </c>
      <c r="DD315" s="451">
        <v>0</v>
      </c>
      <c r="DE315" s="451">
        <v>0</v>
      </c>
      <c r="DF315" s="451">
        <v>57794</v>
      </c>
      <c r="DG315" s="451">
        <v>0</v>
      </c>
      <c r="DH315" s="451">
        <v>0</v>
      </c>
      <c r="DI315" s="451">
        <v>57794</v>
      </c>
      <c r="DJ315" s="451">
        <v>3297</v>
      </c>
      <c r="DK315" s="451">
        <v>0</v>
      </c>
      <c r="DL315" s="451">
        <v>0</v>
      </c>
      <c r="DM315" s="451">
        <v>3297</v>
      </c>
      <c r="DN315" s="451">
        <v>0</v>
      </c>
      <c r="DO315" s="451">
        <v>0</v>
      </c>
      <c r="DP315" s="451">
        <v>0</v>
      </c>
      <c r="DQ315" s="451">
        <v>0</v>
      </c>
      <c r="DR315" s="451">
        <v>0</v>
      </c>
      <c r="DS315" s="451">
        <v>0</v>
      </c>
      <c r="DT315" s="451">
        <v>0</v>
      </c>
      <c r="DU315" s="451">
        <v>0</v>
      </c>
      <c r="DV315" s="451">
        <v>0</v>
      </c>
      <c r="DW315" s="451">
        <v>0</v>
      </c>
      <c r="DX315" s="451">
        <v>0</v>
      </c>
      <c r="DY315" s="451">
        <v>0</v>
      </c>
      <c r="DZ315" s="451">
        <v>0</v>
      </c>
      <c r="EA315" s="451">
        <v>0</v>
      </c>
      <c r="EB315" s="451">
        <v>0</v>
      </c>
      <c r="EC315" s="451">
        <v>0</v>
      </c>
      <c r="ED315" s="451">
        <v>0</v>
      </c>
      <c r="EE315" s="451">
        <v>0</v>
      </c>
      <c r="EF315" s="451">
        <v>0</v>
      </c>
      <c r="EG315" s="451">
        <v>0</v>
      </c>
      <c r="EH315" s="451">
        <v>0</v>
      </c>
      <c r="EI315" s="451">
        <v>0</v>
      </c>
      <c r="EJ315" s="451">
        <v>27481</v>
      </c>
      <c r="EK315" s="451">
        <v>0</v>
      </c>
      <c r="EL315" s="451">
        <v>0</v>
      </c>
      <c r="EM315" s="451">
        <v>27481</v>
      </c>
    </row>
    <row r="316" spans="1:143" ht="12.75" x14ac:dyDescent="0.2">
      <c r="A316" s="446">
        <v>310</v>
      </c>
      <c r="B316" s="447" t="s">
        <v>503</v>
      </c>
      <c r="C316" s="448" t="s">
        <v>1104</v>
      </c>
      <c r="D316" s="449" t="s">
        <v>1099</v>
      </c>
      <c r="E316" s="450" t="s">
        <v>502</v>
      </c>
      <c r="F316" s="451">
        <v>14271066</v>
      </c>
      <c r="G316" s="451">
        <v>0</v>
      </c>
      <c r="H316" s="451">
        <v>0</v>
      </c>
      <c r="I316" s="451">
        <v>14271066</v>
      </c>
      <c r="J316" s="451">
        <v>-34551691</v>
      </c>
      <c r="K316" s="451">
        <v>0</v>
      </c>
      <c r="L316" s="451">
        <v>0</v>
      </c>
      <c r="M316" s="451">
        <v>-34551691</v>
      </c>
      <c r="N316" s="451">
        <v>377698</v>
      </c>
      <c r="O316" s="451">
        <v>0</v>
      </c>
      <c r="P316" s="451">
        <v>0</v>
      </c>
      <c r="Q316" s="451">
        <v>377698</v>
      </c>
      <c r="R316" s="451">
        <v>2324288</v>
      </c>
      <c r="S316" s="451">
        <v>0</v>
      </c>
      <c r="T316" s="451">
        <v>0</v>
      </c>
      <c r="U316" s="451">
        <v>2324288</v>
      </c>
      <c r="V316" s="451">
        <v>1854069</v>
      </c>
      <c r="W316" s="451">
        <v>0</v>
      </c>
      <c r="X316" s="451">
        <v>0</v>
      </c>
      <c r="Y316" s="451">
        <v>1854069</v>
      </c>
      <c r="Z316" s="451">
        <v>106630</v>
      </c>
      <c r="AA316" s="451">
        <v>0</v>
      </c>
      <c r="AB316" s="451">
        <v>0</v>
      </c>
      <c r="AC316" s="451">
        <v>106630</v>
      </c>
      <c r="AD316" s="451">
        <v>36189158</v>
      </c>
      <c r="AE316" s="451">
        <v>0</v>
      </c>
      <c r="AF316" s="451">
        <v>0</v>
      </c>
      <c r="AG316" s="451">
        <v>36189158</v>
      </c>
      <c r="AH316" s="451">
        <v>-1043747</v>
      </c>
      <c r="AI316" s="451">
        <v>0</v>
      </c>
      <c r="AJ316" s="451">
        <v>0</v>
      </c>
      <c r="AK316" s="451">
        <v>-1043747</v>
      </c>
      <c r="AL316" s="451">
        <v>64530319</v>
      </c>
      <c r="AM316" s="451">
        <v>0</v>
      </c>
      <c r="AN316" s="451">
        <v>0</v>
      </c>
      <c r="AO316" s="451">
        <v>64530319</v>
      </c>
      <c r="AP316" s="451">
        <v>-37963</v>
      </c>
      <c r="AQ316" s="451">
        <v>0</v>
      </c>
      <c r="AR316" s="451">
        <v>0</v>
      </c>
      <c r="AS316" s="451">
        <v>-37963</v>
      </c>
      <c r="AT316" s="451">
        <v>22231</v>
      </c>
      <c r="AU316" s="451">
        <v>0</v>
      </c>
      <c r="AV316" s="451">
        <v>0</v>
      </c>
      <c r="AW316" s="451">
        <v>22231</v>
      </c>
      <c r="AX316" s="451">
        <v>0</v>
      </c>
      <c r="AY316" s="451">
        <v>0</v>
      </c>
      <c r="AZ316" s="451">
        <v>0</v>
      </c>
      <c r="BA316" s="451">
        <v>0</v>
      </c>
      <c r="BB316" s="451">
        <v>0</v>
      </c>
      <c r="BC316" s="451">
        <v>0</v>
      </c>
      <c r="BD316" s="451">
        <v>0</v>
      </c>
      <c r="BE316" s="451">
        <v>0</v>
      </c>
      <c r="BF316" s="451">
        <v>0</v>
      </c>
      <c r="BG316" s="451">
        <v>0</v>
      </c>
      <c r="BH316" s="451">
        <v>0</v>
      </c>
      <c r="BI316" s="451">
        <v>0</v>
      </c>
      <c r="BJ316" s="451">
        <v>5896652</v>
      </c>
      <c r="BK316" s="451">
        <v>0</v>
      </c>
      <c r="BL316" s="451">
        <v>0</v>
      </c>
      <c r="BM316" s="451">
        <v>5896652</v>
      </c>
      <c r="BN316" s="451">
        <v>1655243</v>
      </c>
      <c r="BO316" s="451">
        <v>0</v>
      </c>
      <c r="BP316" s="451">
        <v>0</v>
      </c>
      <c r="BQ316" s="451">
        <v>1655243</v>
      </c>
      <c r="BR316" s="451">
        <v>108643180</v>
      </c>
      <c r="BS316" s="451">
        <v>0</v>
      </c>
      <c r="BT316" s="451">
        <v>0</v>
      </c>
      <c r="BU316" s="451">
        <v>108643180</v>
      </c>
      <c r="BV316" s="451">
        <v>-3281101</v>
      </c>
      <c r="BW316" s="451">
        <v>0</v>
      </c>
      <c r="BX316" s="451">
        <v>0</v>
      </c>
      <c r="BY316" s="451">
        <v>-3281101</v>
      </c>
      <c r="BZ316" s="451">
        <v>405259</v>
      </c>
      <c r="CA316" s="451">
        <v>0</v>
      </c>
      <c r="CB316" s="451">
        <v>0</v>
      </c>
      <c r="CC316" s="451">
        <v>405259</v>
      </c>
      <c r="CD316" s="451">
        <v>9897</v>
      </c>
      <c r="CE316" s="451">
        <v>0</v>
      </c>
      <c r="CF316" s="451">
        <v>0</v>
      </c>
      <c r="CG316" s="451">
        <v>9897</v>
      </c>
      <c r="CH316" s="451">
        <v>20874</v>
      </c>
      <c r="CI316" s="451">
        <v>0</v>
      </c>
      <c r="CJ316" s="451">
        <v>0</v>
      </c>
      <c r="CK316" s="451">
        <v>20874</v>
      </c>
      <c r="CL316" s="451">
        <v>6915</v>
      </c>
      <c r="CM316" s="451">
        <v>0</v>
      </c>
      <c r="CN316" s="451">
        <v>0</v>
      </c>
      <c r="CO316" s="451">
        <v>6915</v>
      </c>
      <c r="CP316" s="451">
        <v>5558</v>
      </c>
      <c r="CQ316" s="451">
        <v>0</v>
      </c>
      <c r="CR316" s="451">
        <v>0</v>
      </c>
      <c r="CS316" s="451">
        <v>5558</v>
      </c>
      <c r="CT316" s="451">
        <v>0</v>
      </c>
      <c r="CU316" s="451">
        <v>0</v>
      </c>
      <c r="CV316" s="451">
        <v>0</v>
      </c>
      <c r="CW316" s="451">
        <v>0</v>
      </c>
      <c r="CX316" s="451">
        <v>0</v>
      </c>
      <c r="CY316" s="451">
        <v>0</v>
      </c>
      <c r="CZ316" s="451">
        <v>0</v>
      </c>
      <c r="DA316" s="451">
        <v>0</v>
      </c>
      <c r="DB316" s="451">
        <v>0</v>
      </c>
      <c r="DC316" s="451">
        <v>0</v>
      </c>
      <c r="DD316" s="451">
        <v>0</v>
      </c>
      <c r="DE316" s="451">
        <v>0</v>
      </c>
      <c r="DF316" s="451">
        <v>0</v>
      </c>
      <c r="DG316" s="451">
        <v>0</v>
      </c>
      <c r="DH316" s="451">
        <v>0</v>
      </c>
      <c r="DI316" s="451">
        <v>0</v>
      </c>
      <c r="DJ316" s="451">
        <v>0</v>
      </c>
      <c r="DK316" s="451">
        <v>0</v>
      </c>
      <c r="DL316" s="451">
        <v>0</v>
      </c>
      <c r="DM316" s="451">
        <v>0</v>
      </c>
      <c r="DN316" s="451">
        <v>0</v>
      </c>
      <c r="DO316" s="451">
        <v>0</v>
      </c>
      <c r="DP316" s="451">
        <v>0</v>
      </c>
      <c r="DQ316" s="451">
        <v>0</v>
      </c>
      <c r="DR316" s="451">
        <v>0</v>
      </c>
      <c r="DS316" s="451">
        <v>0</v>
      </c>
      <c r="DT316" s="451">
        <v>0</v>
      </c>
      <c r="DU316" s="451">
        <v>0</v>
      </c>
      <c r="DV316" s="451">
        <v>0</v>
      </c>
      <c r="DW316" s="451">
        <v>0</v>
      </c>
      <c r="DX316" s="451">
        <v>0</v>
      </c>
      <c r="DY316" s="451">
        <v>0</v>
      </c>
      <c r="DZ316" s="451">
        <v>0</v>
      </c>
      <c r="EA316" s="451">
        <v>0</v>
      </c>
      <c r="EB316" s="451">
        <v>0</v>
      </c>
      <c r="EC316" s="451">
        <v>0</v>
      </c>
      <c r="ED316" s="451">
        <v>0</v>
      </c>
      <c r="EE316" s="451">
        <v>0</v>
      </c>
      <c r="EF316" s="451">
        <v>21148</v>
      </c>
      <c r="EG316" s="451">
        <v>0</v>
      </c>
      <c r="EH316" s="451">
        <v>0</v>
      </c>
      <c r="EI316" s="451">
        <v>21148</v>
      </c>
      <c r="EJ316" s="451">
        <v>47465</v>
      </c>
      <c r="EK316" s="451">
        <v>0</v>
      </c>
      <c r="EL316" s="451">
        <v>0</v>
      </c>
      <c r="EM316" s="451">
        <v>47465</v>
      </c>
    </row>
    <row r="317" spans="1:143" ht="12.75" x14ac:dyDescent="0.2">
      <c r="A317" s="446">
        <v>311</v>
      </c>
      <c r="B317" s="447" t="s">
        <v>505</v>
      </c>
      <c r="C317" s="448" t="s">
        <v>1093</v>
      </c>
      <c r="D317" s="449" t="s">
        <v>1102</v>
      </c>
      <c r="E317" s="450" t="s">
        <v>756</v>
      </c>
      <c r="F317" s="451">
        <v>61191.06</v>
      </c>
      <c r="G317" s="451">
        <v>0</v>
      </c>
      <c r="H317" s="451">
        <v>0</v>
      </c>
      <c r="I317" s="451">
        <v>61191.06</v>
      </c>
      <c r="J317" s="451">
        <v>-8386.51</v>
      </c>
      <c r="K317" s="451">
        <v>0</v>
      </c>
      <c r="L317" s="451">
        <v>0</v>
      </c>
      <c r="M317" s="451">
        <v>-8386.51</v>
      </c>
      <c r="N317" s="451">
        <v>32097.439999999999</v>
      </c>
      <c r="O317" s="451">
        <v>0</v>
      </c>
      <c r="P317" s="451">
        <v>0</v>
      </c>
      <c r="Q317" s="451">
        <v>32097.439999999999</v>
      </c>
      <c r="R317" s="451">
        <v>82691.16</v>
      </c>
      <c r="S317" s="451">
        <v>0</v>
      </c>
      <c r="T317" s="451">
        <v>0</v>
      </c>
      <c r="U317" s="451">
        <v>82691.16</v>
      </c>
      <c r="V317" s="451">
        <v>1500619.7</v>
      </c>
      <c r="W317" s="451">
        <v>0</v>
      </c>
      <c r="X317" s="451">
        <v>0</v>
      </c>
      <c r="Y317" s="451">
        <v>1500619.7</v>
      </c>
      <c r="Z317" s="451">
        <v>81778.460000000006</v>
      </c>
      <c r="AA317" s="451">
        <v>0</v>
      </c>
      <c r="AB317" s="451">
        <v>0</v>
      </c>
      <c r="AC317" s="451">
        <v>81778.460000000006</v>
      </c>
      <c r="AD317" s="451">
        <v>307402.03000000003</v>
      </c>
      <c r="AE317" s="451">
        <v>0</v>
      </c>
      <c r="AF317" s="451">
        <v>0</v>
      </c>
      <c r="AG317" s="451">
        <v>307402.03000000003</v>
      </c>
      <c r="AH317" s="451">
        <v>-19038.580000000002</v>
      </c>
      <c r="AI317" s="451">
        <v>0</v>
      </c>
      <c r="AJ317" s="451">
        <v>0</v>
      </c>
      <c r="AK317" s="451">
        <v>-19038.580000000002</v>
      </c>
      <c r="AL317" s="451">
        <v>1093661.2</v>
      </c>
      <c r="AM317" s="451">
        <v>0</v>
      </c>
      <c r="AN317" s="451">
        <v>0</v>
      </c>
      <c r="AO317" s="451">
        <v>1093661.2</v>
      </c>
      <c r="AP317" s="451">
        <v>88643</v>
      </c>
      <c r="AQ317" s="451">
        <v>0</v>
      </c>
      <c r="AR317" s="451">
        <v>0</v>
      </c>
      <c r="AS317" s="451">
        <v>88643</v>
      </c>
      <c r="AT317" s="451">
        <v>69612.070000000007</v>
      </c>
      <c r="AU317" s="451">
        <v>0</v>
      </c>
      <c r="AV317" s="451">
        <v>0</v>
      </c>
      <c r="AW317" s="451">
        <v>69612.070000000007</v>
      </c>
      <c r="AX317" s="451">
        <v>3.88</v>
      </c>
      <c r="AY317" s="451">
        <v>0</v>
      </c>
      <c r="AZ317" s="451">
        <v>0</v>
      </c>
      <c r="BA317" s="451">
        <v>3.88</v>
      </c>
      <c r="BB317" s="451">
        <v>0</v>
      </c>
      <c r="BC317" s="451">
        <v>0</v>
      </c>
      <c r="BD317" s="451">
        <v>0</v>
      </c>
      <c r="BE317" s="451">
        <v>0</v>
      </c>
      <c r="BF317" s="451">
        <v>0</v>
      </c>
      <c r="BG317" s="451">
        <v>0</v>
      </c>
      <c r="BH317" s="451">
        <v>0</v>
      </c>
      <c r="BI317" s="451">
        <v>0</v>
      </c>
      <c r="BJ317" s="451">
        <v>0</v>
      </c>
      <c r="BK317" s="451">
        <v>0</v>
      </c>
      <c r="BL317" s="451">
        <v>0</v>
      </c>
      <c r="BM317" s="451">
        <v>0</v>
      </c>
      <c r="BN317" s="451">
        <v>-7687.41</v>
      </c>
      <c r="BO317" s="451">
        <v>0</v>
      </c>
      <c r="BP317" s="451">
        <v>0</v>
      </c>
      <c r="BQ317" s="451">
        <v>-7687.41</v>
      </c>
      <c r="BR317" s="451">
        <v>523356.5</v>
      </c>
      <c r="BS317" s="451">
        <v>0</v>
      </c>
      <c r="BT317" s="451">
        <v>0</v>
      </c>
      <c r="BU317" s="451">
        <v>523356.5</v>
      </c>
      <c r="BV317" s="451">
        <v>15142.54</v>
      </c>
      <c r="BW317" s="451">
        <v>0</v>
      </c>
      <c r="BX317" s="451">
        <v>0</v>
      </c>
      <c r="BY317" s="451">
        <v>15142.54</v>
      </c>
      <c r="BZ317" s="451">
        <v>25172.61</v>
      </c>
      <c r="CA317" s="451">
        <v>0</v>
      </c>
      <c r="CB317" s="451">
        <v>0</v>
      </c>
      <c r="CC317" s="451">
        <v>25172.61</v>
      </c>
      <c r="CD317" s="451">
        <v>93.11</v>
      </c>
      <c r="CE317" s="451">
        <v>0</v>
      </c>
      <c r="CF317" s="451">
        <v>0</v>
      </c>
      <c r="CG317" s="451">
        <v>93.11</v>
      </c>
      <c r="CH317" s="451">
        <v>87682.25</v>
      </c>
      <c r="CI317" s="451">
        <v>0</v>
      </c>
      <c r="CJ317" s="451">
        <v>0</v>
      </c>
      <c r="CK317" s="451">
        <v>87682.25</v>
      </c>
      <c r="CL317" s="451">
        <v>0</v>
      </c>
      <c r="CM317" s="451">
        <v>0</v>
      </c>
      <c r="CN317" s="451">
        <v>0</v>
      </c>
      <c r="CO317" s="451">
        <v>0</v>
      </c>
      <c r="CP317" s="451">
        <v>0</v>
      </c>
      <c r="CQ317" s="451">
        <v>0</v>
      </c>
      <c r="CR317" s="451">
        <v>0</v>
      </c>
      <c r="CS317" s="451">
        <v>0</v>
      </c>
      <c r="CT317" s="451">
        <v>0</v>
      </c>
      <c r="CU317" s="451">
        <v>0</v>
      </c>
      <c r="CV317" s="451">
        <v>0</v>
      </c>
      <c r="CW317" s="451">
        <v>0</v>
      </c>
      <c r="CX317" s="451">
        <v>0</v>
      </c>
      <c r="CY317" s="451">
        <v>0</v>
      </c>
      <c r="CZ317" s="451">
        <v>0</v>
      </c>
      <c r="DA317" s="451">
        <v>0</v>
      </c>
      <c r="DB317" s="451">
        <v>0</v>
      </c>
      <c r="DC317" s="451">
        <v>0</v>
      </c>
      <c r="DD317" s="451">
        <v>0</v>
      </c>
      <c r="DE317" s="451">
        <v>0</v>
      </c>
      <c r="DF317" s="451">
        <v>0</v>
      </c>
      <c r="DG317" s="451">
        <v>0</v>
      </c>
      <c r="DH317" s="451">
        <v>0</v>
      </c>
      <c r="DI317" s="451">
        <v>0</v>
      </c>
      <c r="DJ317" s="451">
        <v>0</v>
      </c>
      <c r="DK317" s="451">
        <v>0</v>
      </c>
      <c r="DL317" s="451">
        <v>0</v>
      </c>
      <c r="DM317" s="451">
        <v>0</v>
      </c>
      <c r="DN317" s="451">
        <v>0</v>
      </c>
      <c r="DO317" s="451">
        <v>0</v>
      </c>
      <c r="DP317" s="451">
        <v>0</v>
      </c>
      <c r="DQ317" s="451">
        <v>0</v>
      </c>
      <c r="DR317" s="451">
        <v>0</v>
      </c>
      <c r="DS317" s="451">
        <v>0</v>
      </c>
      <c r="DT317" s="451">
        <v>0</v>
      </c>
      <c r="DU317" s="451">
        <v>0</v>
      </c>
      <c r="DV317" s="451">
        <v>0</v>
      </c>
      <c r="DW317" s="451">
        <v>0</v>
      </c>
      <c r="DX317" s="451">
        <v>0</v>
      </c>
      <c r="DY317" s="451">
        <v>0</v>
      </c>
      <c r="DZ317" s="451">
        <v>0</v>
      </c>
      <c r="EA317" s="451">
        <v>0</v>
      </c>
      <c r="EB317" s="451">
        <v>0</v>
      </c>
      <c r="EC317" s="451">
        <v>0</v>
      </c>
      <c r="ED317" s="451">
        <v>0</v>
      </c>
      <c r="EE317" s="451">
        <v>0</v>
      </c>
      <c r="EF317" s="451">
        <v>0</v>
      </c>
      <c r="EG317" s="451">
        <v>0</v>
      </c>
      <c r="EH317" s="451">
        <v>0</v>
      </c>
      <c r="EI317" s="451">
        <v>0</v>
      </c>
      <c r="EJ317" s="451">
        <v>0</v>
      </c>
      <c r="EK317" s="451">
        <v>0</v>
      </c>
      <c r="EL317" s="451">
        <v>0</v>
      </c>
      <c r="EM317" s="451">
        <v>0</v>
      </c>
    </row>
    <row r="318" spans="1:143" ht="12.75" x14ac:dyDescent="0.2">
      <c r="A318" s="446">
        <v>312</v>
      </c>
      <c r="B318" s="447" t="s">
        <v>507</v>
      </c>
      <c r="C318" s="448" t="s">
        <v>1100</v>
      </c>
      <c r="D318" s="449" t="s">
        <v>1095</v>
      </c>
      <c r="E318" s="450" t="s">
        <v>506</v>
      </c>
      <c r="F318" s="451">
        <v>635367</v>
      </c>
      <c r="G318" s="451">
        <v>0</v>
      </c>
      <c r="H318" s="451">
        <v>0</v>
      </c>
      <c r="I318" s="451">
        <v>635367</v>
      </c>
      <c r="J318" s="451">
        <v>-235505</v>
      </c>
      <c r="K318" s="451">
        <v>0</v>
      </c>
      <c r="L318" s="451">
        <v>0</v>
      </c>
      <c r="M318" s="451">
        <v>-235505</v>
      </c>
      <c r="N318" s="451">
        <v>100867</v>
      </c>
      <c r="O318" s="451">
        <v>0</v>
      </c>
      <c r="P318" s="451">
        <v>0</v>
      </c>
      <c r="Q318" s="451">
        <v>100867</v>
      </c>
      <c r="R318" s="451">
        <v>179138</v>
      </c>
      <c r="S318" s="451">
        <v>0</v>
      </c>
      <c r="T318" s="451">
        <v>0</v>
      </c>
      <c r="U318" s="451">
        <v>179138</v>
      </c>
      <c r="V318" s="451">
        <v>6318895</v>
      </c>
      <c r="W318" s="451">
        <v>0</v>
      </c>
      <c r="X318" s="451">
        <v>0</v>
      </c>
      <c r="Y318" s="451">
        <v>6318895</v>
      </c>
      <c r="Z318" s="451">
        <v>159750</v>
      </c>
      <c r="AA318" s="451">
        <v>0</v>
      </c>
      <c r="AB318" s="451">
        <v>0</v>
      </c>
      <c r="AC318" s="451">
        <v>159750</v>
      </c>
      <c r="AD318" s="451">
        <v>1571585</v>
      </c>
      <c r="AE318" s="451">
        <v>0</v>
      </c>
      <c r="AF318" s="451">
        <v>0</v>
      </c>
      <c r="AG318" s="451">
        <v>1571585</v>
      </c>
      <c r="AH318" s="451">
        <v>-17489</v>
      </c>
      <c r="AI318" s="451">
        <v>0</v>
      </c>
      <c r="AJ318" s="451">
        <v>0</v>
      </c>
      <c r="AK318" s="451">
        <v>-17489</v>
      </c>
      <c r="AL318" s="451">
        <v>4828158</v>
      </c>
      <c r="AM318" s="451">
        <v>0</v>
      </c>
      <c r="AN318" s="451">
        <v>0</v>
      </c>
      <c r="AO318" s="451">
        <v>4828158</v>
      </c>
      <c r="AP318" s="451">
        <v>-159114</v>
      </c>
      <c r="AQ318" s="451">
        <v>0</v>
      </c>
      <c r="AR318" s="451">
        <v>0</v>
      </c>
      <c r="AS318" s="451">
        <v>-159114</v>
      </c>
      <c r="AT318" s="451">
        <v>156786</v>
      </c>
      <c r="AU318" s="451">
        <v>0</v>
      </c>
      <c r="AV318" s="451">
        <v>0</v>
      </c>
      <c r="AW318" s="451">
        <v>156786</v>
      </c>
      <c r="AX318" s="451">
        <v>0</v>
      </c>
      <c r="AY318" s="451">
        <v>0</v>
      </c>
      <c r="AZ318" s="451">
        <v>0</v>
      </c>
      <c r="BA318" s="451">
        <v>0</v>
      </c>
      <c r="BB318" s="451">
        <v>0</v>
      </c>
      <c r="BC318" s="451">
        <v>0</v>
      </c>
      <c r="BD318" s="451">
        <v>0</v>
      </c>
      <c r="BE318" s="451">
        <v>0</v>
      </c>
      <c r="BF318" s="451">
        <v>0</v>
      </c>
      <c r="BG318" s="451">
        <v>0</v>
      </c>
      <c r="BH318" s="451">
        <v>0</v>
      </c>
      <c r="BI318" s="451">
        <v>0</v>
      </c>
      <c r="BJ318" s="451">
        <v>79431</v>
      </c>
      <c r="BK318" s="451">
        <v>0</v>
      </c>
      <c r="BL318" s="451">
        <v>0</v>
      </c>
      <c r="BM318" s="451">
        <v>79431</v>
      </c>
      <c r="BN318" s="451">
        <v>110653</v>
      </c>
      <c r="BO318" s="451">
        <v>0</v>
      </c>
      <c r="BP318" s="451">
        <v>0</v>
      </c>
      <c r="BQ318" s="451">
        <v>110653</v>
      </c>
      <c r="BR318" s="451">
        <v>4418725</v>
      </c>
      <c r="BS318" s="451">
        <v>0</v>
      </c>
      <c r="BT318" s="451">
        <v>0</v>
      </c>
      <c r="BU318" s="451">
        <v>4418725</v>
      </c>
      <c r="BV318" s="451">
        <v>-305795</v>
      </c>
      <c r="BW318" s="451">
        <v>0</v>
      </c>
      <c r="BX318" s="451">
        <v>0</v>
      </c>
      <c r="BY318" s="451">
        <v>-305795</v>
      </c>
      <c r="BZ318" s="451">
        <v>449106</v>
      </c>
      <c r="CA318" s="451">
        <v>0</v>
      </c>
      <c r="CB318" s="451">
        <v>0</v>
      </c>
      <c r="CC318" s="451">
        <v>449106</v>
      </c>
      <c r="CD318" s="451">
        <v>31618</v>
      </c>
      <c r="CE318" s="451">
        <v>0</v>
      </c>
      <c r="CF318" s="451">
        <v>0</v>
      </c>
      <c r="CG318" s="451">
        <v>31618</v>
      </c>
      <c r="CH318" s="451">
        <v>785358</v>
      </c>
      <c r="CI318" s="451">
        <v>0</v>
      </c>
      <c r="CJ318" s="451">
        <v>0</v>
      </c>
      <c r="CK318" s="451">
        <v>785358</v>
      </c>
      <c r="CL318" s="451">
        <v>83910</v>
      </c>
      <c r="CM318" s="451">
        <v>0</v>
      </c>
      <c r="CN318" s="451">
        <v>0</v>
      </c>
      <c r="CO318" s="451">
        <v>83910</v>
      </c>
      <c r="CP318" s="451">
        <v>27516</v>
      </c>
      <c r="CQ318" s="451">
        <v>0</v>
      </c>
      <c r="CR318" s="451">
        <v>0</v>
      </c>
      <c r="CS318" s="451">
        <v>27516</v>
      </c>
      <c r="CT318" s="451">
        <v>0</v>
      </c>
      <c r="CU318" s="451">
        <v>0</v>
      </c>
      <c r="CV318" s="451">
        <v>0</v>
      </c>
      <c r="CW318" s="451">
        <v>0</v>
      </c>
      <c r="CX318" s="451">
        <v>0</v>
      </c>
      <c r="CY318" s="451">
        <v>0</v>
      </c>
      <c r="CZ318" s="451">
        <v>0</v>
      </c>
      <c r="DA318" s="451">
        <v>0</v>
      </c>
      <c r="DB318" s="451">
        <v>0</v>
      </c>
      <c r="DC318" s="451">
        <v>0</v>
      </c>
      <c r="DD318" s="451">
        <v>0</v>
      </c>
      <c r="DE318" s="451">
        <v>0</v>
      </c>
      <c r="DF318" s="451">
        <v>0</v>
      </c>
      <c r="DG318" s="451">
        <v>0</v>
      </c>
      <c r="DH318" s="451">
        <v>0</v>
      </c>
      <c r="DI318" s="451">
        <v>0</v>
      </c>
      <c r="DJ318" s="451">
        <v>0</v>
      </c>
      <c r="DK318" s="451">
        <v>0</v>
      </c>
      <c r="DL318" s="451">
        <v>0</v>
      </c>
      <c r="DM318" s="451">
        <v>0</v>
      </c>
      <c r="DN318" s="451">
        <v>0</v>
      </c>
      <c r="DO318" s="451">
        <v>0</v>
      </c>
      <c r="DP318" s="451">
        <v>0</v>
      </c>
      <c r="DQ318" s="451">
        <v>0</v>
      </c>
      <c r="DR318" s="451">
        <v>0</v>
      </c>
      <c r="DS318" s="451">
        <v>0</v>
      </c>
      <c r="DT318" s="451">
        <v>0</v>
      </c>
      <c r="DU318" s="451">
        <v>0</v>
      </c>
      <c r="DV318" s="451">
        <v>0</v>
      </c>
      <c r="DW318" s="451">
        <v>0</v>
      </c>
      <c r="DX318" s="451">
        <v>0</v>
      </c>
      <c r="DY318" s="451">
        <v>0</v>
      </c>
      <c r="DZ318" s="451">
        <v>0</v>
      </c>
      <c r="EA318" s="451">
        <v>0</v>
      </c>
      <c r="EB318" s="451">
        <v>0</v>
      </c>
      <c r="EC318" s="451">
        <v>0</v>
      </c>
      <c r="ED318" s="451">
        <v>0</v>
      </c>
      <c r="EE318" s="451">
        <v>0</v>
      </c>
      <c r="EF318" s="451">
        <v>0</v>
      </c>
      <c r="EG318" s="451">
        <v>0</v>
      </c>
      <c r="EH318" s="451">
        <v>0</v>
      </c>
      <c r="EI318" s="451">
        <v>0</v>
      </c>
      <c r="EJ318" s="451">
        <v>1030</v>
      </c>
      <c r="EK318" s="451">
        <v>0</v>
      </c>
      <c r="EL318" s="451">
        <v>0</v>
      </c>
      <c r="EM318" s="451">
        <v>1030</v>
      </c>
    </row>
    <row r="319" spans="1:143" ht="12.75" x14ac:dyDescent="0.2">
      <c r="A319" s="446">
        <v>313</v>
      </c>
      <c r="B319" s="447" t="s">
        <v>509</v>
      </c>
      <c r="C319" s="448" t="s">
        <v>794</v>
      </c>
      <c r="D319" s="449" t="s">
        <v>1102</v>
      </c>
      <c r="E319" s="450" t="s">
        <v>508</v>
      </c>
      <c r="F319" s="451">
        <v>467687</v>
      </c>
      <c r="G319" s="451">
        <v>0</v>
      </c>
      <c r="H319" s="451">
        <v>0</v>
      </c>
      <c r="I319" s="451">
        <v>467687</v>
      </c>
      <c r="J319" s="451">
        <v>-262740</v>
      </c>
      <c r="K319" s="451">
        <v>0</v>
      </c>
      <c r="L319" s="451">
        <v>0</v>
      </c>
      <c r="M319" s="451">
        <v>-262740</v>
      </c>
      <c r="N319" s="451">
        <v>84206</v>
      </c>
      <c r="O319" s="451">
        <v>0</v>
      </c>
      <c r="P319" s="451">
        <v>0</v>
      </c>
      <c r="Q319" s="451">
        <v>84206</v>
      </c>
      <c r="R319" s="451">
        <v>640586</v>
      </c>
      <c r="S319" s="451">
        <v>0</v>
      </c>
      <c r="T319" s="451">
        <v>0</v>
      </c>
      <c r="U319" s="451">
        <v>640586</v>
      </c>
      <c r="V319" s="451">
        <v>8723804</v>
      </c>
      <c r="W319" s="451">
        <v>0</v>
      </c>
      <c r="X319" s="451">
        <v>0</v>
      </c>
      <c r="Y319" s="451">
        <v>8723804</v>
      </c>
      <c r="Z319" s="451">
        <v>1025079</v>
      </c>
      <c r="AA319" s="451">
        <v>0</v>
      </c>
      <c r="AB319" s="451">
        <v>0</v>
      </c>
      <c r="AC319" s="451">
        <v>1025079</v>
      </c>
      <c r="AD319" s="451">
        <v>2678493</v>
      </c>
      <c r="AE319" s="451">
        <v>0</v>
      </c>
      <c r="AF319" s="451">
        <v>0</v>
      </c>
      <c r="AG319" s="451">
        <v>2678493</v>
      </c>
      <c r="AH319" s="451">
        <v>-24171</v>
      </c>
      <c r="AI319" s="451">
        <v>0</v>
      </c>
      <c r="AJ319" s="451">
        <v>0</v>
      </c>
      <c r="AK319" s="451">
        <v>-24171</v>
      </c>
      <c r="AL319" s="451">
        <v>9019016</v>
      </c>
      <c r="AM319" s="451">
        <v>0</v>
      </c>
      <c r="AN319" s="451">
        <v>0</v>
      </c>
      <c r="AO319" s="451">
        <v>9019016</v>
      </c>
      <c r="AP319" s="451">
        <v>84836</v>
      </c>
      <c r="AQ319" s="451">
        <v>0</v>
      </c>
      <c r="AR319" s="451">
        <v>0</v>
      </c>
      <c r="AS319" s="451">
        <v>84836</v>
      </c>
      <c r="AT319" s="451">
        <v>159842</v>
      </c>
      <c r="AU319" s="451">
        <v>0</v>
      </c>
      <c r="AV319" s="451">
        <v>0</v>
      </c>
      <c r="AW319" s="451">
        <v>159842</v>
      </c>
      <c r="AX319" s="451">
        <v>6397</v>
      </c>
      <c r="AY319" s="451">
        <v>0</v>
      </c>
      <c r="AZ319" s="451">
        <v>0</v>
      </c>
      <c r="BA319" s="451">
        <v>6397</v>
      </c>
      <c r="BB319" s="451">
        <v>230017</v>
      </c>
      <c r="BC319" s="451">
        <v>0</v>
      </c>
      <c r="BD319" s="451">
        <v>0</v>
      </c>
      <c r="BE319" s="451">
        <v>230017</v>
      </c>
      <c r="BF319" s="451">
        <v>5946</v>
      </c>
      <c r="BG319" s="451">
        <v>0</v>
      </c>
      <c r="BH319" s="451">
        <v>0</v>
      </c>
      <c r="BI319" s="451">
        <v>5946</v>
      </c>
      <c r="BJ319" s="451">
        <v>388637</v>
      </c>
      <c r="BK319" s="451">
        <v>0</v>
      </c>
      <c r="BL319" s="451">
        <v>0</v>
      </c>
      <c r="BM319" s="451">
        <v>388637</v>
      </c>
      <c r="BN319" s="451">
        <v>1133544</v>
      </c>
      <c r="BO319" s="451">
        <v>0</v>
      </c>
      <c r="BP319" s="451">
        <v>0</v>
      </c>
      <c r="BQ319" s="451">
        <v>1133544</v>
      </c>
      <c r="BR319" s="451">
        <v>4418589</v>
      </c>
      <c r="BS319" s="451">
        <v>0</v>
      </c>
      <c r="BT319" s="451">
        <v>0</v>
      </c>
      <c r="BU319" s="451">
        <v>4418589</v>
      </c>
      <c r="BV319" s="451">
        <v>422405</v>
      </c>
      <c r="BW319" s="451">
        <v>0</v>
      </c>
      <c r="BX319" s="451">
        <v>0</v>
      </c>
      <c r="BY319" s="451">
        <v>422405</v>
      </c>
      <c r="BZ319" s="451">
        <v>213030.27</v>
      </c>
      <c r="CA319" s="451">
        <v>0</v>
      </c>
      <c r="CB319" s="451">
        <v>0</v>
      </c>
      <c r="CC319" s="451">
        <v>213030.27</v>
      </c>
      <c r="CD319" s="451">
        <v>10078.549999999999</v>
      </c>
      <c r="CE319" s="451">
        <v>0</v>
      </c>
      <c r="CF319" s="451">
        <v>0</v>
      </c>
      <c r="CG319" s="451">
        <v>10078.549999999999</v>
      </c>
      <c r="CH319" s="451">
        <v>599805.24</v>
      </c>
      <c r="CI319" s="451">
        <v>0</v>
      </c>
      <c r="CJ319" s="451">
        <v>0</v>
      </c>
      <c r="CK319" s="451">
        <v>599805.24</v>
      </c>
      <c r="CL319" s="451">
        <v>-36805.46</v>
      </c>
      <c r="CM319" s="451">
        <v>0</v>
      </c>
      <c r="CN319" s="451">
        <v>0</v>
      </c>
      <c r="CO319" s="451">
        <v>-36805.46</v>
      </c>
      <c r="CP319" s="451">
        <v>624</v>
      </c>
      <c r="CQ319" s="451">
        <v>0</v>
      </c>
      <c r="CR319" s="451">
        <v>0</v>
      </c>
      <c r="CS319" s="451">
        <v>624</v>
      </c>
      <c r="CT319" s="451">
        <v>0</v>
      </c>
      <c r="CU319" s="451">
        <v>0</v>
      </c>
      <c r="CV319" s="451">
        <v>0</v>
      </c>
      <c r="CW319" s="451">
        <v>0</v>
      </c>
      <c r="CX319" s="451">
        <v>238053</v>
      </c>
      <c r="CY319" s="451">
        <v>0</v>
      </c>
      <c r="CZ319" s="451">
        <v>0</v>
      </c>
      <c r="DA319" s="451">
        <v>238053</v>
      </c>
      <c r="DB319" s="451">
        <v>18658</v>
      </c>
      <c r="DC319" s="451">
        <v>0</v>
      </c>
      <c r="DD319" s="451">
        <v>0</v>
      </c>
      <c r="DE319" s="451">
        <v>18658</v>
      </c>
      <c r="DF319" s="451">
        <v>0</v>
      </c>
      <c r="DG319" s="451">
        <v>0</v>
      </c>
      <c r="DH319" s="451">
        <v>0</v>
      </c>
      <c r="DI319" s="451">
        <v>0</v>
      </c>
      <c r="DJ319" s="451">
        <v>0</v>
      </c>
      <c r="DK319" s="451">
        <v>0</v>
      </c>
      <c r="DL319" s="451">
        <v>0</v>
      </c>
      <c r="DM319" s="451">
        <v>0</v>
      </c>
      <c r="DN319" s="451">
        <v>0</v>
      </c>
      <c r="DO319" s="451">
        <v>0</v>
      </c>
      <c r="DP319" s="451">
        <v>0</v>
      </c>
      <c r="DQ319" s="451">
        <v>0</v>
      </c>
      <c r="DR319" s="451">
        <v>0</v>
      </c>
      <c r="DS319" s="451">
        <v>0</v>
      </c>
      <c r="DT319" s="451">
        <v>0</v>
      </c>
      <c r="DU319" s="451">
        <v>0</v>
      </c>
      <c r="DV319" s="451">
        <v>0</v>
      </c>
      <c r="DW319" s="451">
        <v>0</v>
      </c>
      <c r="DX319" s="451">
        <v>0</v>
      </c>
      <c r="DY319" s="451">
        <v>0</v>
      </c>
      <c r="DZ319" s="451">
        <v>0</v>
      </c>
      <c r="EA319" s="451">
        <v>0</v>
      </c>
      <c r="EB319" s="451">
        <v>16286</v>
      </c>
      <c r="EC319" s="451">
        <v>0</v>
      </c>
      <c r="ED319" s="451">
        <v>0</v>
      </c>
      <c r="EE319" s="451">
        <v>16286</v>
      </c>
      <c r="EF319" s="451">
        <v>68657</v>
      </c>
      <c r="EG319" s="451">
        <v>0</v>
      </c>
      <c r="EH319" s="451">
        <v>0</v>
      </c>
      <c r="EI319" s="451">
        <v>68657</v>
      </c>
      <c r="EJ319" s="451">
        <v>-779</v>
      </c>
      <c r="EK319" s="451">
        <v>0</v>
      </c>
      <c r="EL319" s="451">
        <v>0</v>
      </c>
      <c r="EM319" s="451">
        <v>-779</v>
      </c>
    </row>
    <row r="320" spans="1:143" ht="12.75" x14ac:dyDescent="0.2">
      <c r="A320" s="446">
        <v>314</v>
      </c>
      <c r="B320" s="447" t="s">
        <v>511</v>
      </c>
      <c r="C320" s="448" t="s">
        <v>1093</v>
      </c>
      <c r="D320" s="449" t="s">
        <v>1094</v>
      </c>
      <c r="E320" s="450" t="s">
        <v>510</v>
      </c>
      <c r="F320" s="451">
        <v>178726</v>
      </c>
      <c r="G320" s="451">
        <v>0</v>
      </c>
      <c r="H320" s="451">
        <v>0</v>
      </c>
      <c r="I320" s="451">
        <v>178726</v>
      </c>
      <c r="J320" s="451">
        <v>-187920</v>
      </c>
      <c r="K320" s="451">
        <v>0</v>
      </c>
      <c r="L320" s="451">
        <v>0</v>
      </c>
      <c r="M320" s="451">
        <v>-187920</v>
      </c>
      <c r="N320" s="451">
        <v>14871</v>
      </c>
      <c r="O320" s="451">
        <v>0</v>
      </c>
      <c r="P320" s="451">
        <v>0</v>
      </c>
      <c r="Q320" s="451">
        <v>14871</v>
      </c>
      <c r="R320" s="451">
        <v>66808</v>
      </c>
      <c r="S320" s="451">
        <v>0</v>
      </c>
      <c r="T320" s="451">
        <v>0</v>
      </c>
      <c r="U320" s="451">
        <v>66808</v>
      </c>
      <c r="V320" s="451">
        <v>2244746</v>
      </c>
      <c r="W320" s="451">
        <v>0</v>
      </c>
      <c r="X320" s="451">
        <v>0</v>
      </c>
      <c r="Y320" s="451">
        <v>2244746</v>
      </c>
      <c r="Z320" s="451">
        <v>153390</v>
      </c>
      <c r="AA320" s="451">
        <v>0</v>
      </c>
      <c r="AB320" s="451">
        <v>0</v>
      </c>
      <c r="AC320" s="451">
        <v>153390</v>
      </c>
      <c r="AD320" s="451">
        <v>1042220</v>
      </c>
      <c r="AE320" s="451">
        <v>0</v>
      </c>
      <c r="AF320" s="451">
        <v>0</v>
      </c>
      <c r="AG320" s="451">
        <v>1042220</v>
      </c>
      <c r="AH320" s="451">
        <v>793</v>
      </c>
      <c r="AI320" s="451">
        <v>0</v>
      </c>
      <c r="AJ320" s="451">
        <v>0</v>
      </c>
      <c r="AK320" s="451">
        <v>793</v>
      </c>
      <c r="AL320" s="451">
        <v>3156188</v>
      </c>
      <c r="AM320" s="451">
        <v>0</v>
      </c>
      <c r="AN320" s="451">
        <v>0</v>
      </c>
      <c r="AO320" s="451">
        <v>3156188</v>
      </c>
      <c r="AP320" s="451">
        <v>-22029</v>
      </c>
      <c r="AQ320" s="451">
        <v>0</v>
      </c>
      <c r="AR320" s="451">
        <v>0</v>
      </c>
      <c r="AS320" s="451">
        <v>-22029</v>
      </c>
      <c r="AT320" s="451">
        <v>42962</v>
      </c>
      <c r="AU320" s="451">
        <v>0</v>
      </c>
      <c r="AV320" s="451">
        <v>0</v>
      </c>
      <c r="AW320" s="451">
        <v>42962</v>
      </c>
      <c r="AX320" s="451">
        <v>0</v>
      </c>
      <c r="AY320" s="451">
        <v>0</v>
      </c>
      <c r="AZ320" s="451">
        <v>0</v>
      </c>
      <c r="BA320" s="451">
        <v>0</v>
      </c>
      <c r="BB320" s="451">
        <v>14651</v>
      </c>
      <c r="BC320" s="451">
        <v>0</v>
      </c>
      <c r="BD320" s="451">
        <v>0</v>
      </c>
      <c r="BE320" s="451">
        <v>14651</v>
      </c>
      <c r="BF320" s="451">
        <v>186</v>
      </c>
      <c r="BG320" s="451">
        <v>0</v>
      </c>
      <c r="BH320" s="451">
        <v>0</v>
      </c>
      <c r="BI320" s="451">
        <v>186</v>
      </c>
      <c r="BJ320" s="451">
        <v>1482</v>
      </c>
      <c r="BK320" s="451">
        <v>0</v>
      </c>
      <c r="BL320" s="451">
        <v>0</v>
      </c>
      <c r="BM320" s="451">
        <v>1482</v>
      </c>
      <c r="BN320" s="451">
        <v>5915</v>
      </c>
      <c r="BO320" s="451">
        <v>0</v>
      </c>
      <c r="BP320" s="451">
        <v>0</v>
      </c>
      <c r="BQ320" s="451">
        <v>5915</v>
      </c>
      <c r="BR320" s="451">
        <v>1299546</v>
      </c>
      <c r="BS320" s="451">
        <v>0</v>
      </c>
      <c r="BT320" s="451">
        <v>0</v>
      </c>
      <c r="BU320" s="451">
        <v>1299546</v>
      </c>
      <c r="BV320" s="451">
        <v>49992</v>
      </c>
      <c r="BW320" s="451">
        <v>0</v>
      </c>
      <c r="BX320" s="451">
        <v>0</v>
      </c>
      <c r="BY320" s="451">
        <v>49992</v>
      </c>
      <c r="BZ320" s="451">
        <v>72273</v>
      </c>
      <c r="CA320" s="451">
        <v>0</v>
      </c>
      <c r="CB320" s="451">
        <v>0</v>
      </c>
      <c r="CC320" s="451">
        <v>72273</v>
      </c>
      <c r="CD320" s="451">
        <v>531</v>
      </c>
      <c r="CE320" s="451">
        <v>0</v>
      </c>
      <c r="CF320" s="451">
        <v>0</v>
      </c>
      <c r="CG320" s="451">
        <v>531</v>
      </c>
      <c r="CH320" s="451">
        <v>178757</v>
      </c>
      <c r="CI320" s="451">
        <v>0</v>
      </c>
      <c r="CJ320" s="451">
        <v>0</v>
      </c>
      <c r="CK320" s="451">
        <v>178757</v>
      </c>
      <c r="CL320" s="451">
        <v>0</v>
      </c>
      <c r="CM320" s="451">
        <v>0</v>
      </c>
      <c r="CN320" s="451">
        <v>0</v>
      </c>
      <c r="CO320" s="451">
        <v>0</v>
      </c>
      <c r="CP320" s="451">
        <v>3898</v>
      </c>
      <c r="CQ320" s="451">
        <v>0</v>
      </c>
      <c r="CR320" s="451">
        <v>0</v>
      </c>
      <c r="CS320" s="451">
        <v>3898</v>
      </c>
      <c r="CT320" s="451">
        <v>0</v>
      </c>
      <c r="CU320" s="451">
        <v>0</v>
      </c>
      <c r="CV320" s="451">
        <v>0</v>
      </c>
      <c r="CW320" s="451">
        <v>0</v>
      </c>
      <c r="CX320" s="451">
        <v>8448</v>
      </c>
      <c r="CY320" s="451">
        <v>0</v>
      </c>
      <c r="CZ320" s="451">
        <v>0</v>
      </c>
      <c r="DA320" s="451">
        <v>8448</v>
      </c>
      <c r="DB320" s="451">
        <v>186</v>
      </c>
      <c r="DC320" s="451">
        <v>0</v>
      </c>
      <c r="DD320" s="451">
        <v>0</v>
      </c>
      <c r="DE320" s="451">
        <v>186</v>
      </c>
      <c r="DF320" s="451">
        <v>9331</v>
      </c>
      <c r="DG320" s="451">
        <v>0</v>
      </c>
      <c r="DH320" s="451">
        <v>0</v>
      </c>
      <c r="DI320" s="451">
        <v>9331</v>
      </c>
      <c r="DJ320" s="451">
        <v>-4</v>
      </c>
      <c r="DK320" s="451">
        <v>0</v>
      </c>
      <c r="DL320" s="451">
        <v>0</v>
      </c>
      <c r="DM320" s="451">
        <v>-4</v>
      </c>
      <c r="DN320" s="451">
        <v>0</v>
      </c>
      <c r="DO320" s="451">
        <v>0</v>
      </c>
      <c r="DP320" s="451">
        <v>0</v>
      </c>
      <c r="DQ320" s="451">
        <v>0</v>
      </c>
      <c r="DR320" s="451">
        <v>0</v>
      </c>
      <c r="DS320" s="451">
        <v>0</v>
      </c>
      <c r="DT320" s="451">
        <v>0</v>
      </c>
      <c r="DU320" s="451">
        <v>0</v>
      </c>
      <c r="DV320" s="451">
        <v>0</v>
      </c>
      <c r="DW320" s="451">
        <v>0</v>
      </c>
      <c r="DX320" s="451">
        <v>0</v>
      </c>
      <c r="DY320" s="451">
        <v>0</v>
      </c>
      <c r="DZ320" s="451">
        <v>0</v>
      </c>
      <c r="EA320" s="451">
        <v>0</v>
      </c>
      <c r="EB320" s="451">
        <v>0</v>
      </c>
      <c r="EC320" s="451">
        <v>0</v>
      </c>
      <c r="ED320" s="451">
        <v>0</v>
      </c>
      <c r="EE320" s="451">
        <v>0</v>
      </c>
      <c r="EF320" s="451">
        <v>0</v>
      </c>
      <c r="EG320" s="451">
        <v>0</v>
      </c>
      <c r="EH320" s="451">
        <v>0</v>
      </c>
      <c r="EI320" s="451">
        <v>0</v>
      </c>
      <c r="EJ320" s="451">
        <v>0</v>
      </c>
      <c r="EK320" s="451">
        <v>0</v>
      </c>
      <c r="EL320" s="451">
        <v>0</v>
      </c>
      <c r="EM320" s="451">
        <v>0</v>
      </c>
    </row>
    <row r="321" spans="1:143" ht="12.75" x14ac:dyDescent="0.2">
      <c r="A321" s="446">
        <v>315</v>
      </c>
      <c r="B321" s="447" t="s">
        <v>513</v>
      </c>
      <c r="C321" s="448" t="s">
        <v>794</v>
      </c>
      <c r="D321" s="449" t="s">
        <v>1094</v>
      </c>
      <c r="E321" s="450" t="s">
        <v>757</v>
      </c>
      <c r="F321" s="451">
        <v>158055</v>
      </c>
      <c r="G321" s="451">
        <v>0</v>
      </c>
      <c r="H321" s="451">
        <v>0</v>
      </c>
      <c r="I321" s="451">
        <v>158055</v>
      </c>
      <c r="J321" s="451">
        <v>-222536.71</v>
      </c>
      <c r="K321" s="451">
        <v>0</v>
      </c>
      <c r="L321" s="451">
        <v>0</v>
      </c>
      <c r="M321" s="451">
        <v>-222536.71</v>
      </c>
      <c r="N321" s="451">
        <v>132155.63</v>
      </c>
      <c r="O321" s="451">
        <v>0</v>
      </c>
      <c r="P321" s="451">
        <v>0</v>
      </c>
      <c r="Q321" s="451">
        <v>132155.63</v>
      </c>
      <c r="R321" s="451">
        <v>251360.41</v>
      </c>
      <c r="S321" s="451">
        <v>0</v>
      </c>
      <c r="T321" s="451">
        <v>0</v>
      </c>
      <c r="U321" s="451">
        <v>251360.41</v>
      </c>
      <c r="V321" s="451">
        <v>1651565.48</v>
      </c>
      <c r="W321" s="451">
        <v>0</v>
      </c>
      <c r="X321" s="451">
        <v>0</v>
      </c>
      <c r="Y321" s="451">
        <v>1651565.48</v>
      </c>
      <c r="Z321" s="451">
        <v>131193.76</v>
      </c>
      <c r="AA321" s="451">
        <v>0</v>
      </c>
      <c r="AB321" s="451">
        <v>0</v>
      </c>
      <c r="AC321" s="451">
        <v>131193.76</v>
      </c>
      <c r="AD321" s="451">
        <v>1570106.47</v>
      </c>
      <c r="AE321" s="451">
        <v>0</v>
      </c>
      <c r="AF321" s="451">
        <v>0</v>
      </c>
      <c r="AG321" s="451">
        <v>1570106.47</v>
      </c>
      <c r="AH321" s="451">
        <v>-50370.61</v>
      </c>
      <c r="AI321" s="451">
        <v>0</v>
      </c>
      <c r="AJ321" s="451">
        <v>0</v>
      </c>
      <c r="AK321" s="451">
        <v>-50370.61</v>
      </c>
      <c r="AL321" s="451">
        <v>5277030.2699999996</v>
      </c>
      <c r="AM321" s="451">
        <v>0</v>
      </c>
      <c r="AN321" s="451">
        <v>0</v>
      </c>
      <c r="AO321" s="451">
        <v>5277030.2699999996</v>
      </c>
      <c r="AP321" s="451">
        <v>-135436.01</v>
      </c>
      <c r="AQ321" s="451">
        <v>0</v>
      </c>
      <c r="AR321" s="451">
        <v>0</v>
      </c>
      <c r="AS321" s="451">
        <v>-135436.01</v>
      </c>
      <c r="AT321" s="451">
        <v>0</v>
      </c>
      <c r="AU321" s="451">
        <v>0</v>
      </c>
      <c r="AV321" s="451">
        <v>0</v>
      </c>
      <c r="AW321" s="451">
        <v>0</v>
      </c>
      <c r="AX321" s="451">
        <v>0</v>
      </c>
      <c r="AY321" s="451">
        <v>0</v>
      </c>
      <c r="AZ321" s="451">
        <v>0</v>
      </c>
      <c r="BA321" s="451">
        <v>0</v>
      </c>
      <c r="BB321" s="451">
        <v>10573.95</v>
      </c>
      <c r="BC321" s="451">
        <v>0</v>
      </c>
      <c r="BD321" s="451">
        <v>0</v>
      </c>
      <c r="BE321" s="451">
        <v>10573.95</v>
      </c>
      <c r="BF321" s="451">
        <v>0.02</v>
      </c>
      <c r="BG321" s="451">
        <v>0</v>
      </c>
      <c r="BH321" s="451">
        <v>0</v>
      </c>
      <c r="BI321" s="451">
        <v>0.02</v>
      </c>
      <c r="BJ321" s="451">
        <v>18072.650000000001</v>
      </c>
      <c r="BK321" s="451">
        <v>0</v>
      </c>
      <c r="BL321" s="451">
        <v>0</v>
      </c>
      <c r="BM321" s="451">
        <v>18072.650000000001</v>
      </c>
      <c r="BN321" s="451">
        <v>560.69000000000005</v>
      </c>
      <c r="BO321" s="451">
        <v>0</v>
      </c>
      <c r="BP321" s="451">
        <v>0</v>
      </c>
      <c r="BQ321" s="451">
        <v>560.69000000000005</v>
      </c>
      <c r="BR321" s="451">
        <v>3875396.05</v>
      </c>
      <c r="BS321" s="451">
        <v>0</v>
      </c>
      <c r="BT321" s="451">
        <v>0</v>
      </c>
      <c r="BU321" s="451">
        <v>3875396.05</v>
      </c>
      <c r="BV321" s="451">
        <v>-782306.88</v>
      </c>
      <c r="BW321" s="451">
        <v>0</v>
      </c>
      <c r="BX321" s="451">
        <v>0</v>
      </c>
      <c r="BY321" s="451">
        <v>-782306.88</v>
      </c>
      <c r="BZ321" s="451">
        <v>207561.69</v>
      </c>
      <c r="CA321" s="451">
        <v>0</v>
      </c>
      <c r="CB321" s="451">
        <v>0</v>
      </c>
      <c r="CC321" s="451">
        <v>207561.69</v>
      </c>
      <c r="CD321" s="451">
        <v>2534.41</v>
      </c>
      <c r="CE321" s="451">
        <v>0</v>
      </c>
      <c r="CF321" s="451">
        <v>0</v>
      </c>
      <c r="CG321" s="451">
        <v>2534.41</v>
      </c>
      <c r="CH321" s="451">
        <v>163343.57999999999</v>
      </c>
      <c r="CI321" s="451">
        <v>0</v>
      </c>
      <c r="CJ321" s="451">
        <v>0</v>
      </c>
      <c r="CK321" s="451">
        <v>163343.57999999999</v>
      </c>
      <c r="CL321" s="451">
        <v>0</v>
      </c>
      <c r="CM321" s="451">
        <v>0</v>
      </c>
      <c r="CN321" s="451">
        <v>0</v>
      </c>
      <c r="CO321" s="451">
        <v>0</v>
      </c>
      <c r="CP321" s="451">
        <v>0</v>
      </c>
      <c r="CQ321" s="451">
        <v>0</v>
      </c>
      <c r="CR321" s="451">
        <v>0</v>
      </c>
      <c r="CS321" s="451">
        <v>0</v>
      </c>
      <c r="CT321" s="451">
        <v>0</v>
      </c>
      <c r="CU321" s="451">
        <v>0</v>
      </c>
      <c r="CV321" s="451">
        <v>0</v>
      </c>
      <c r="CW321" s="451">
        <v>0</v>
      </c>
      <c r="CX321" s="451">
        <v>0</v>
      </c>
      <c r="CY321" s="451">
        <v>0</v>
      </c>
      <c r="CZ321" s="451">
        <v>0</v>
      </c>
      <c r="DA321" s="451">
        <v>0</v>
      </c>
      <c r="DB321" s="451">
        <v>0</v>
      </c>
      <c r="DC321" s="451">
        <v>0</v>
      </c>
      <c r="DD321" s="451">
        <v>0</v>
      </c>
      <c r="DE321" s="451">
        <v>0</v>
      </c>
      <c r="DF321" s="451">
        <v>27165.64</v>
      </c>
      <c r="DG321" s="451">
        <v>0</v>
      </c>
      <c r="DH321" s="451">
        <v>0</v>
      </c>
      <c r="DI321" s="451">
        <v>27165.64</v>
      </c>
      <c r="DJ321" s="451">
        <v>-1.02</v>
      </c>
      <c r="DK321" s="451">
        <v>0</v>
      </c>
      <c r="DL321" s="451">
        <v>0</v>
      </c>
      <c r="DM321" s="451">
        <v>-1.02</v>
      </c>
      <c r="DN321" s="451">
        <v>0</v>
      </c>
      <c r="DO321" s="451">
        <v>0</v>
      </c>
      <c r="DP321" s="451">
        <v>0</v>
      </c>
      <c r="DQ321" s="451">
        <v>0</v>
      </c>
      <c r="DR321" s="451">
        <v>0</v>
      </c>
      <c r="DS321" s="451">
        <v>0</v>
      </c>
      <c r="DT321" s="451">
        <v>0</v>
      </c>
      <c r="DU321" s="451">
        <v>0</v>
      </c>
      <c r="DV321" s="451">
        <v>0</v>
      </c>
      <c r="DW321" s="451">
        <v>0</v>
      </c>
      <c r="DX321" s="451">
        <v>0</v>
      </c>
      <c r="DY321" s="451">
        <v>0</v>
      </c>
      <c r="DZ321" s="451">
        <v>0</v>
      </c>
      <c r="EA321" s="451">
        <v>0</v>
      </c>
      <c r="EB321" s="451">
        <v>181143.9</v>
      </c>
      <c r="EC321" s="451">
        <v>0</v>
      </c>
      <c r="ED321" s="451">
        <v>0</v>
      </c>
      <c r="EE321" s="451">
        <v>181143.9</v>
      </c>
      <c r="EF321" s="451">
        <v>15947.66</v>
      </c>
      <c r="EG321" s="451">
        <v>0</v>
      </c>
      <c r="EH321" s="451">
        <v>0</v>
      </c>
      <c r="EI321" s="451">
        <v>15947.66</v>
      </c>
      <c r="EJ321" s="451">
        <v>0</v>
      </c>
      <c r="EK321" s="451">
        <v>0</v>
      </c>
      <c r="EL321" s="451">
        <v>0</v>
      </c>
      <c r="EM321" s="451">
        <v>0</v>
      </c>
    </row>
    <row r="322" spans="1:143" ht="12.75" x14ac:dyDescent="0.2">
      <c r="A322" s="446">
        <v>316</v>
      </c>
      <c r="B322" s="447" t="s">
        <v>515</v>
      </c>
      <c r="C322" s="448" t="s">
        <v>1100</v>
      </c>
      <c r="D322" s="449" t="s">
        <v>1095</v>
      </c>
      <c r="E322" s="450" t="s">
        <v>514</v>
      </c>
      <c r="F322" s="451">
        <v>221435.68</v>
      </c>
      <c r="G322" s="451">
        <v>0</v>
      </c>
      <c r="H322" s="451">
        <v>0</v>
      </c>
      <c r="I322" s="451">
        <v>221435.68</v>
      </c>
      <c r="J322" s="451">
        <v>-172095.52</v>
      </c>
      <c r="K322" s="451">
        <v>0</v>
      </c>
      <c r="L322" s="451">
        <v>0</v>
      </c>
      <c r="M322" s="451">
        <v>-172095.52</v>
      </c>
      <c r="N322" s="451">
        <v>135703.51</v>
      </c>
      <c r="O322" s="451">
        <v>0</v>
      </c>
      <c r="P322" s="451">
        <v>0</v>
      </c>
      <c r="Q322" s="451">
        <v>135703.51</v>
      </c>
      <c r="R322" s="451">
        <v>176634.73</v>
      </c>
      <c r="S322" s="451">
        <v>0</v>
      </c>
      <c r="T322" s="451">
        <v>0</v>
      </c>
      <c r="U322" s="451">
        <v>176634.73</v>
      </c>
      <c r="V322" s="451">
        <v>5815423.3799999999</v>
      </c>
      <c r="W322" s="451">
        <v>0</v>
      </c>
      <c r="X322" s="451">
        <v>0</v>
      </c>
      <c r="Y322" s="451">
        <v>5815423.3799999999</v>
      </c>
      <c r="Z322" s="451">
        <v>176064</v>
      </c>
      <c r="AA322" s="451">
        <v>0</v>
      </c>
      <c r="AB322" s="451">
        <v>0</v>
      </c>
      <c r="AC322" s="451">
        <v>176064</v>
      </c>
      <c r="AD322" s="451">
        <v>1346091.35</v>
      </c>
      <c r="AE322" s="451">
        <v>0</v>
      </c>
      <c r="AF322" s="451">
        <v>0</v>
      </c>
      <c r="AG322" s="451">
        <v>1346091.35</v>
      </c>
      <c r="AH322" s="451">
        <v>-23206</v>
      </c>
      <c r="AI322" s="451">
        <v>0</v>
      </c>
      <c r="AJ322" s="451">
        <v>0</v>
      </c>
      <c r="AK322" s="451">
        <v>-23206</v>
      </c>
      <c r="AL322" s="451">
        <v>4634656</v>
      </c>
      <c r="AM322" s="451">
        <v>0</v>
      </c>
      <c r="AN322" s="451">
        <v>0</v>
      </c>
      <c r="AO322" s="451">
        <v>4634656</v>
      </c>
      <c r="AP322" s="451">
        <v>24827</v>
      </c>
      <c r="AQ322" s="451">
        <v>0</v>
      </c>
      <c r="AR322" s="451">
        <v>0</v>
      </c>
      <c r="AS322" s="451">
        <v>24827</v>
      </c>
      <c r="AT322" s="451">
        <v>30992</v>
      </c>
      <c r="AU322" s="451">
        <v>0</v>
      </c>
      <c r="AV322" s="451">
        <v>0</v>
      </c>
      <c r="AW322" s="451">
        <v>30992</v>
      </c>
      <c r="AX322" s="451">
        <v>0</v>
      </c>
      <c r="AY322" s="451">
        <v>0</v>
      </c>
      <c r="AZ322" s="451">
        <v>0</v>
      </c>
      <c r="BA322" s="451">
        <v>0</v>
      </c>
      <c r="BB322" s="451">
        <v>565</v>
      </c>
      <c r="BC322" s="451">
        <v>0</v>
      </c>
      <c r="BD322" s="451">
        <v>0</v>
      </c>
      <c r="BE322" s="451">
        <v>565</v>
      </c>
      <c r="BF322" s="451">
        <v>0</v>
      </c>
      <c r="BG322" s="451">
        <v>0</v>
      </c>
      <c r="BH322" s="451">
        <v>0</v>
      </c>
      <c r="BI322" s="451">
        <v>0</v>
      </c>
      <c r="BJ322" s="451">
        <v>123546</v>
      </c>
      <c r="BK322" s="451">
        <v>0</v>
      </c>
      <c r="BL322" s="451">
        <v>0</v>
      </c>
      <c r="BM322" s="451">
        <v>123546</v>
      </c>
      <c r="BN322" s="451">
        <v>1684</v>
      </c>
      <c r="BO322" s="451">
        <v>0</v>
      </c>
      <c r="BP322" s="451">
        <v>0</v>
      </c>
      <c r="BQ322" s="451">
        <v>1684</v>
      </c>
      <c r="BR322" s="451">
        <v>3710641</v>
      </c>
      <c r="BS322" s="451">
        <v>0</v>
      </c>
      <c r="BT322" s="451">
        <v>0</v>
      </c>
      <c r="BU322" s="451">
        <v>3710641</v>
      </c>
      <c r="BV322" s="451">
        <v>243575</v>
      </c>
      <c r="BW322" s="451">
        <v>0</v>
      </c>
      <c r="BX322" s="451">
        <v>0</v>
      </c>
      <c r="BY322" s="451">
        <v>243575</v>
      </c>
      <c r="BZ322" s="451">
        <v>567801</v>
      </c>
      <c r="CA322" s="451">
        <v>0</v>
      </c>
      <c r="CB322" s="451">
        <v>0</v>
      </c>
      <c r="CC322" s="451">
        <v>567801</v>
      </c>
      <c r="CD322" s="451">
        <v>-31466</v>
      </c>
      <c r="CE322" s="451">
        <v>0</v>
      </c>
      <c r="CF322" s="451">
        <v>0</v>
      </c>
      <c r="CG322" s="451">
        <v>-31466</v>
      </c>
      <c r="CH322" s="451">
        <v>140899</v>
      </c>
      <c r="CI322" s="451">
        <v>0</v>
      </c>
      <c r="CJ322" s="451">
        <v>0</v>
      </c>
      <c r="CK322" s="451">
        <v>140899</v>
      </c>
      <c r="CL322" s="451">
        <v>16794</v>
      </c>
      <c r="CM322" s="451">
        <v>0</v>
      </c>
      <c r="CN322" s="451">
        <v>0</v>
      </c>
      <c r="CO322" s="451">
        <v>16794</v>
      </c>
      <c r="CP322" s="451">
        <v>7748</v>
      </c>
      <c r="CQ322" s="451">
        <v>0</v>
      </c>
      <c r="CR322" s="451">
        <v>0</v>
      </c>
      <c r="CS322" s="451">
        <v>7748</v>
      </c>
      <c r="CT322" s="451">
        <v>0</v>
      </c>
      <c r="CU322" s="451">
        <v>0</v>
      </c>
      <c r="CV322" s="451">
        <v>0</v>
      </c>
      <c r="CW322" s="451">
        <v>0</v>
      </c>
      <c r="CX322" s="451">
        <v>565</v>
      </c>
      <c r="CY322" s="451">
        <v>0</v>
      </c>
      <c r="CZ322" s="451">
        <v>0</v>
      </c>
      <c r="DA322" s="451">
        <v>565</v>
      </c>
      <c r="DB322" s="451">
        <v>0</v>
      </c>
      <c r="DC322" s="451">
        <v>0</v>
      </c>
      <c r="DD322" s="451">
        <v>0</v>
      </c>
      <c r="DE322" s="451">
        <v>0</v>
      </c>
      <c r="DF322" s="451">
        <v>0</v>
      </c>
      <c r="DG322" s="451">
        <v>0</v>
      </c>
      <c r="DH322" s="451">
        <v>0</v>
      </c>
      <c r="DI322" s="451">
        <v>0</v>
      </c>
      <c r="DJ322" s="451">
        <v>0</v>
      </c>
      <c r="DK322" s="451">
        <v>0</v>
      </c>
      <c r="DL322" s="451">
        <v>0</v>
      </c>
      <c r="DM322" s="451">
        <v>0</v>
      </c>
      <c r="DN322" s="451">
        <v>0</v>
      </c>
      <c r="DO322" s="451">
        <v>0</v>
      </c>
      <c r="DP322" s="451">
        <v>0</v>
      </c>
      <c r="DQ322" s="451">
        <v>0</v>
      </c>
      <c r="DR322" s="451">
        <v>16343</v>
      </c>
      <c r="DS322" s="451">
        <v>0</v>
      </c>
      <c r="DT322" s="451">
        <v>0</v>
      </c>
      <c r="DU322" s="451">
        <v>16343</v>
      </c>
      <c r="DV322" s="451">
        <v>0</v>
      </c>
      <c r="DW322" s="451">
        <v>0</v>
      </c>
      <c r="DX322" s="451">
        <v>0</v>
      </c>
      <c r="DY322" s="451">
        <v>0</v>
      </c>
      <c r="DZ322" s="451">
        <v>0</v>
      </c>
      <c r="EA322" s="451">
        <v>0</v>
      </c>
      <c r="EB322" s="451">
        <v>323623</v>
      </c>
      <c r="EC322" s="451">
        <v>0</v>
      </c>
      <c r="ED322" s="451">
        <v>0</v>
      </c>
      <c r="EE322" s="451">
        <v>323623</v>
      </c>
      <c r="EF322" s="451">
        <v>0</v>
      </c>
      <c r="EG322" s="451">
        <v>0</v>
      </c>
      <c r="EH322" s="451">
        <v>0</v>
      </c>
      <c r="EI322" s="451">
        <v>0</v>
      </c>
      <c r="EJ322" s="451">
        <v>0</v>
      </c>
      <c r="EK322" s="451">
        <v>0</v>
      </c>
      <c r="EL322" s="451">
        <v>0</v>
      </c>
      <c r="EM322" s="451">
        <v>0</v>
      </c>
    </row>
    <row r="323" spans="1:143" ht="12.75" x14ac:dyDescent="0.2">
      <c r="A323" s="446">
        <v>317</v>
      </c>
      <c r="B323" s="447" t="s">
        <v>517</v>
      </c>
      <c r="C323" s="448" t="s">
        <v>1093</v>
      </c>
      <c r="D323" s="449" t="s">
        <v>1094</v>
      </c>
      <c r="E323" s="450" t="s">
        <v>516</v>
      </c>
      <c r="F323" s="451">
        <v>36781.760000000002</v>
      </c>
      <c r="G323" s="451">
        <v>0</v>
      </c>
      <c r="H323" s="451">
        <v>0</v>
      </c>
      <c r="I323" s="451">
        <v>36781.760000000002</v>
      </c>
      <c r="J323" s="451">
        <v>-15574.13</v>
      </c>
      <c r="K323" s="451">
        <v>0</v>
      </c>
      <c r="L323" s="451">
        <v>0</v>
      </c>
      <c r="M323" s="451">
        <v>-15574.13</v>
      </c>
      <c r="N323" s="451">
        <v>117824.16</v>
      </c>
      <c r="O323" s="451">
        <v>0</v>
      </c>
      <c r="P323" s="451">
        <v>0</v>
      </c>
      <c r="Q323" s="451">
        <v>117824.16</v>
      </c>
      <c r="R323" s="451">
        <v>326521.75</v>
      </c>
      <c r="S323" s="451">
        <v>0</v>
      </c>
      <c r="T323" s="451">
        <v>0</v>
      </c>
      <c r="U323" s="451">
        <v>326521.75</v>
      </c>
      <c r="V323" s="451">
        <v>966127.73</v>
      </c>
      <c r="W323" s="451">
        <v>0</v>
      </c>
      <c r="X323" s="451">
        <v>0</v>
      </c>
      <c r="Y323" s="451">
        <v>966127.73</v>
      </c>
      <c r="Z323" s="451">
        <v>10630.36</v>
      </c>
      <c r="AA323" s="451">
        <v>0</v>
      </c>
      <c r="AB323" s="451">
        <v>0</v>
      </c>
      <c r="AC323" s="451">
        <v>10630.36</v>
      </c>
      <c r="AD323" s="451">
        <v>878328.7</v>
      </c>
      <c r="AE323" s="451">
        <v>0</v>
      </c>
      <c r="AF323" s="451">
        <v>0</v>
      </c>
      <c r="AG323" s="451">
        <v>878328.7</v>
      </c>
      <c r="AH323" s="451">
        <v>-14644.65</v>
      </c>
      <c r="AI323" s="451">
        <v>0</v>
      </c>
      <c r="AJ323" s="451">
        <v>0</v>
      </c>
      <c r="AK323" s="451">
        <v>-14644.65</v>
      </c>
      <c r="AL323" s="451">
        <v>2168139.17</v>
      </c>
      <c r="AM323" s="451">
        <v>0</v>
      </c>
      <c r="AN323" s="451">
        <v>0</v>
      </c>
      <c r="AO323" s="451">
        <v>2168139.17</v>
      </c>
      <c r="AP323" s="451">
        <v>17084.46</v>
      </c>
      <c r="AQ323" s="451">
        <v>0</v>
      </c>
      <c r="AR323" s="451">
        <v>0</v>
      </c>
      <c r="AS323" s="451">
        <v>17084.46</v>
      </c>
      <c r="AT323" s="451">
        <v>0</v>
      </c>
      <c r="AU323" s="451">
        <v>0</v>
      </c>
      <c r="AV323" s="451">
        <v>0</v>
      </c>
      <c r="AW323" s="451">
        <v>0</v>
      </c>
      <c r="AX323" s="451">
        <v>0</v>
      </c>
      <c r="AY323" s="451">
        <v>0</v>
      </c>
      <c r="AZ323" s="451">
        <v>0</v>
      </c>
      <c r="BA323" s="451">
        <v>0</v>
      </c>
      <c r="BB323" s="451">
        <v>682.95</v>
      </c>
      <c r="BC323" s="451">
        <v>0</v>
      </c>
      <c r="BD323" s="451">
        <v>0</v>
      </c>
      <c r="BE323" s="451">
        <v>682.95</v>
      </c>
      <c r="BF323" s="451">
        <v>0</v>
      </c>
      <c r="BG323" s="451">
        <v>0</v>
      </c>
      <c r="BH323" s="451">
        <v>0</v>
      </c>
      <c r="BI323" s="451">
        <v>0</v>
      </c>
      <c r="BJ323" s="451">
        <v>7111.88</v>
      </c>
      <c r="BK323" s="451">
        <v>0</v>
      </c>
      <c r="BL323" s="451">
        <v>0</v>
      </c>
      <c r="BM323" s="451">
        <v>7111.88</v>
      </c>
      <c r="BN323" s="451">
        <v>0</v>
      </c>
      <c r="BO323" s="451">
        <v>0</v>
      </c>
      <c r="BP323" s="451">
        <v>0</v>
      </c>
      <c r="BQ323" s="451">
        <v>0</v>
      </c>
      <c r="BR323" s="451">
        <v>1480444.29</v>
      </c>
      <c r="BS323" s="451">
        <v>0</v>
      </c>
      <c r="BT323" s="451">
        <v>0</v>
      </c>
      <c r="BU323" s="451">
        <v>1480444.29</v>
      </c>
      <c r="BV323" s="451">
        <v>73660.69</v>
      </c>
      <c r="BW323" s="451">
        <v>0</v>
      </c>
      <c r="BX323" s="451">
        <v>0</v>
      </c>
      <c r="BY323" s="451">
        <v>73660.69</v>
      </c>
      <c r="BZ323" s="451">
        <v>294018.69</v>
      </c>
      <c r="CA323" s="451">
        <v>0</v>
      </c>
      <c r="CB323" s="451">
        <v>0</v>
      </c>
      <c r="CC323" s="451">
        <v>294018.69</v>
      </c>
      <c r="CD323" s="451">
        <v>1491.71</v>
      </c>
      <c r="CE323" s="451">
        <v>0</v>
      </c>
      <c r="CF323" s="451">
        <v>0</v>
      </c>
      <c r="CG323" s="451">
        <v>1491.71</v>
      </c>
      <c r="CH323" s="451">
        <v>42296.83</v>
      </c>
      <c r="CI323" s="451">
        <v>0</v>
      </c>
      <c r="CJ323" s="451">
        <v>0</v>
      </c>
      <c r="CK323" s="451">
        <v>42296.83</v>
      </c>
      <c r="CL323" s="451">
        <v>0</v>
      </c>
      <c r="CM323" s="451">
        <v>0</v>
      </c>
      <c r="CN323" s="451">
        <v>0</v>
      </c>
      <c r="CO323" s="451">
        <v>0</v>
      </c>
      <c r="CP323" s="451">
        <v>0</v>
      </c>
      <c r="CQ323" s="451">
        <v>0</v>
      </c>
      <c r="CR323" s="451">
        <v>0</v>
      </c>
      <c r="CS323" s="451">
        <v>0</v>
      </c>
      <c r="CT323" s="451">
        <v>0</v>
      </c>
      <c r="CU323" s="451">
        <v>0</v>
      </c>
      <c r="CV323" s="451">
        <v>0</v>
      </c>
      <c r="CW323" s="451">
        <v>0</v>
      </c>
      <c r="CX323" s="451">
        <v>0</v>
      </c>
      <c r="CY323" s="451">
        <v>0</v>
      </c>
      <c r="CZ323" s="451">
        <v>0</v>
      </c>
      <c r="DA323" s="451">
        <v>0</v>
      </c>
      <c r="DB323" s="451">
        <v>0</v>
      </c>
      <c r="DC323" s="451">
        <v>0</v>
      </c>
      <c r="DD323" s="451">
        <v>0</v>
      </c>
      <c r="DE323" s="451">
        <v>0</v>
      </c>
      <c r="DF323" s="451">
        <v>0</v>
      </c>
      <c r="DG323" s="451">
        <v>0</v>
      </c>
      <c r="DH323" s="451">
        <v>0</v>
      </c>
      <c r="DI323" s="451">
        <v>0</v>
      </c>
      <c r="DJ323" s="451">
        <v>0</v>
      </c>
      <c r="DK323" s="451">
        <v>0</v>
      </c>
      <c r="DL323" s="451">
        <v>0</v>
      </c>
      <c r="DM323" s="451">
        <v>0</v>
      </c>
      <c r="DN323" s="451">
        <v>0</v>
      </c>
      <c r="DO323" s="451">
        <v>0</v>
      </c>
      <c r="DP323" s="451">
        <v>0</v>
      </c>
      <c r="DQ323" s="451">
        <v>0</v>
      </c>
      <c r="DR323" s="451">
        <v>0</v>
      </c>
      <c r="DS323" s="451">
        <v>0</v>
      </c>
      <c r="DT323" s="451">
        <v>0</v>
      </c>
      <c r="DU323" s="451">
        <v>0</v>
      </c>
      <c r="DV323" s="451">
        <v>0</v>
      </c>
      <c r="DW323" s="451">
        <v>0</v>
      </c>
      <c r="DX323" s="451">
        <v>0</v>
      </c>
      <c r="DY323" s="451">
        <v>0</v>
      </c>
      <c r="DZ323" s="451">
        <v>0</v>
      </c>
      <c r="EA323" s="451">
        <v>0</v>
      </c>
      <c r="EB323" s="451">
        <v>0</v>
      </c>
      <c r="EC323" s="451">
        <v>0</v>
      </c>
      <c r="ED323" s="451">
        <v>0</v>
      </c>
      <c r="EE323" s="451">
        <v>0</v>
      </c>
      <c r="EF323" s="451">
        <v>349323.08</v>
      </c>
      <c r="EG323" s="451">
        <v>0</v>
      </c>
      <c r="EH323" s="451">
        <v>0</v>
      </c>
      <c r="EI323" s="451">
        <v>349323.08</v>
      </c>
      <c r="EJ323" s="451">
        <v>0</v>
      </c>
      <c r="EK323" s="451">
        <v>0</v>
      </c>
      <c r="EL323" s="451">
        <v>0</v>
      </c>
      <c r="EM323" s="451">
        <v>0</v>
      </c>
    </row>
    <row r="324" spans="1:143" ht="12.75" x14ac:dyDescent="0.2">
      <c r="A324" s="446">
        <v>318</v>
      </c>
      <c r="B324" s="447" t="s">
        <v>519</v>
      </c>
      <c r="C324" s="448" t="s">
        <v>794</v>
      </c>
      <c r="D324" s="449" t="s">
        <v>1094</v>
      </c>
      <c r="E324" s="450" t="s">
        <v>758</v>
      </c>
      <c r="F324" s="451">
        <v>78120</v>
      </c>
      <c r="G324" s="451">
        <v>0</v>
      </c>
      <c r="H324" s="451">
        <v>0</v>
      </c>
      <c r="I324" s="451">
        <v>78120</v>
      </c>
      <c r="J324" s="451">
        <v>-35950</v>
      </c>
      <c r="K324" s="451">
        <v>0</v>
      </c>
      <c r="L324" s="451">
        <v>0</v>
      </c>
      <c r="M324" s="451">
        <v>-35950</v>
      </c>
      <c r="N324" s="451">
        <v>103771</v>
      </c>
      <c r="O324" s="451">
        <v>0</v>
      </c>
      <c r="P324" s="451">
        <v>0</v>
      </c>
      <c r="Q324" s="451">
        <v>103771</v>
      </c>
      <c r="R324" s="451">
        <v>164315</v>
      </c>
      <c r="S324" s="451">
        <v>0</v>
      </c>
      <c r="T324" s="451">
        <v>0</v>
      </c>
      <c r="U324" s="451">
        <v>164315</v>
      </c>
      <c r="V324" s="451">
        <v>1590307</v>
      </c>
      <c r="W324" s="451">
        <v>0</v>
      </c>
      <c r="X324" s="451">
        <v>0</v>
      </c>
      <c r="Y324" s="451">
        <v>1590307</v>
      </c>
      <c r="Z324" s="451">
        <v>80201</v>
      </c>
      <c r="AA324" s="451">
        <v>0</v>
      </c>
      <c r="AB324" s="451">
        <v>0</v>
      </c>
      <c r="AC324" s="451">
        <v>80201</v>
      </c>
      <c r="AD324" s="451">
        <v>1115232</v>
      </c>
      <c r="AE324" s="451">
        <v>0</v>
      </c>
      <c r="AF324" s="451">
        <v>0</v>
      </c>
      <c r="AG324" s="451">
        <v>1115232</v>
      </c>
      <c r="AH324" s="451">
        <v>17794</v>
      </c>
      <c r="AI324" s="451">
        <v>0</v>
      </c>
      <c r="AJ324" s="451">
        <v>0</v>
      </c>
      <c r="AK324" s="451">
        <v>17794</v>
      </c>
      <c r="AL324" s="451">
        <v>5296561</v>
      </c>
      <c r="AM324" s="451">
        <v>0</v>
      </c>
      <c r="AN324" s="451">
        <v>0</v>
      </c>
      <c r="AO324" s="451">
        <v>5296561</v>
      </c>
      <c r="AP324" s="451">
        <v>43504</v>
      </c>
      <c r="AQ324" s="451">
        <v>0</v>
      </c>
      <c r="AR324" s="451">
        <v>0</v>
      </c>
      <c r="AS324" s="451">
        <v>43504</v>
      </c>
      <c r="AT324" s="451">
        <v>52903</v>
      </c>
      <c r="AU324" s="451">
        <v>0</v>
      </c>
      <c r="AV324" s="451">
        <v>0</v>
      </c>
      <c r="AW324" s="451">
        <v>52903</v>
      </c>
      <c r="AX324" s="451">
        <v>4659</v>
      </c>
      <c r="AY324" s="451">
        <v>0</v>
      </c>
      <c r="AZ324" s="451">
        <v>0</v>
      </c>
      <c r="BA324" s="451">
        <v>4659</v>
      </c>
      <c r="BB324" s="451">
        <v>4814</v>
      </c>
      <c r="BC324" s="451">
        <v>0</v>
      </c>
      <c r="BD324" s="451">
        <v>0</v>
      </c>
      <c r="BE324" s="451">
        <v>4814</v>
      </c>
      <c r="BF324" s="451">
        <v>0</v>
      </c>
      <c r="BG324" s="451">
        <v>0</v>
      </c>
      <c r="BH324" s="451">
        <v>0</v>
      </c>
      <c r="BI324" s="451">
        <v>0</v>
      </c>
      <c r="BJ324" s="451">
        <v>88455</v>
      </c>
      <c r="BK324" s="451">
        <v>0</v>
      </c>
      <c r="BL324" s="451">
        <v>0</v>
      </c>
      <c r="BM324" s="451">
        <v>88455</v>
      </c>
      <c r="BN324" s="451">
        <v>21189</v>
      </c>
      <c r="BO324" s="451">
        <v>0</v>
      </c>
      <c r="BP324" s="451">
        <v>0</v>
      </c>
      <c r="BQ324" s="451">
        <v>21189</v>
      </c>
      <c r="BR324" s="451">
        <v>1723330</v>
      </c>
      <c r="BS324" s="451">
        <v>0</v>
      </c>
      <c r="BT324" s="451">
        <v>0</v>
      </c>
      <c r="BU324" s="451">
        <v>1723330</v>
      </c>
      <c r="BV324" s="451">
        <v>-22790</v>
      </c>
      <c r="BW324" s="451">
        <v>0</v>
      </c>
      <c r="BX324" s="451">
        <v>0</v>
      </c>
      <c r="BY324" s="451">
        <v>-22790</v>
      </c>
      <c r="BZ324" s="451">
        <v>5460</v>
      </c>
      <c r="CA324" s="451">
        <v>0</v>
      </c>
      <c r="CB324" s="451">
        <v>0</v>
      </c>
      <c r="CC324" s="451">
        <v>5460</v>
      </c>
      <c r="CD324" s="451">
        <v>-4</v>
      </c>
      <c r="CE324" s="451">
        <v>0</v>
      </c>
      <c r="CF324" s="451">
        <v>0</v>
      </c>
      <c r="CG324" s="451">
        <v>-4</v>
      </c>
      <c r="CH324" s="451">
        <v>29453</v>
      </c>
      <c r="CI324" s="451">
        <v>0</v>
      </c>
      <c r="CJ324" s="451">
        <v>0</v>
      </c>
      <c r="CK324" s="451">
        <v>29453</v>
      </c>
      <c r="CL324" s="451">
        <v>11325</v>
      </c>
      <c r="CM324" s="451">
        <v>0</v>
      </c>
      <c r="CN324" s="451">
        <v>0</v>
      </c>
      <c r="CO324" s="451">
        <v>11325</v>
      </c>
      <c r="CP324" s="451">
        <v>796</v>
      </c>
      <c r="CQ324" s="451">
        <v>0</v>
      </c>
      <c r="CR324" s="451">
        <v>0</v>
      </c>
      <c r="CS324" s="451">
        <v>796</v>
      </c>
      <c r="CT324" s="451">
        <v>0</v>
      </c>
      <c r="CU324" s="451">
        <v>0</v>
      </c>
      <c r="CV324" s="451">
        <v>0</v>
      </c>
      <c r="CW324" s="451">
        <v>0</v>
      </c>
      <c r="CX324" s="451">
        <v>810</v>
      </c>
      <c r="CY324" s="451">
        <v>0</v>
      </c>
      <c r="CZ324" s="451">
        <v>0</v>
      </c>
      <c r="DA324" s="451">
        <v>810</v>
      </c>
      <c r="DB324" s="451">
        <v>0</v>
      </c>
      <c r="DC324" s="451">
        <v>0</v>
      </c>
      <c r="DD324" s="451">
        <v>0</v>
      </c>
      <c r="DE324" s="451">
        <v>0</v>
      </c>
      <c r="DF324" s="451">
        <v>0</v>
      </c>
      <c r="DG324" s="451">
        <v>0</v>
      </c>
      <c r="DH324" s="451">
        <v>0</v>
      </c>
      <c r="DI324" s="451">
        <v>0</v>
      </c>
      <c r="DJ324" s="451">
        <v>0</v>
      </c>
      <c r="DK324" s="451">
        <v>0</v>
      </c>
      <c r="DL324" s="451">
        <v>0</v>
      </c>
      <c r="DM324" s="451">
        <v>0</v>
      </c>
      <c r="DN324" s="451">
        <v>7304</v>
      </c>
      <c r="DO324" s="451">
        <v>0</v>
      </c>
      <c r="DP324" s="451">
        <v>0</v>
      </c>
      <c r="DQ324" s="451">
        <v>7304</v>
      </c>
      <c r="DR324" s="451">
        <v>0</v>
      </c>
      <c r="DS324" s="451">
        <v>0</v>
      </c>
      <c r="DT324" s="451">
        <v>0</v>
      </c>
      <c r="DU324" s="451">
        <v>0</v>
      </c>
      <c r="DV324" s="451">
        <v>0</v>
      </c>
      <c r="DW324" s="451">
        <v>0</v>
      </c>
      <c r="DX324" s="451">
        <v>0</v>
      </c>
      <c r="DY324" s="451">
        <v>0</v>
      </c>
      <c r="DZ324" s="451">
        <v>0</v>
      </c>
      <c r="EA324" s="451">
        <v>0</v>
      </c>
      <c r="EB324" s="451">
        <v>67781</v>
      </c>
      <c r="EC324" s="451">
        <v>0</v>
      </c>
      <c r="ED324" s="451">
        <v>0</v>
      </c>
      <c r="EE324" s="451">
        <v>67781</v>
      </c>
      <c r="EF324" s="451">
        <v>0</v>
      </c>
      <c r="EG324" s="451">
        <v>0</v>
      </c>
      <c r="EH324" s="451">
        <v>0</v>
      </c>
      <c r="EI324" s="451">
        <v>0</v>
      </c>
      <c r="EJ324" s="451">
        <v>0</v>
      </c>
      <c r="EK324" s="451">
        <v>0</v>
      </c>
      <c r="EL324" s="451">
        <v>0</v>
      </c>
      <c r="EM324" s="451">
        <v>0</v>
      </c>
    </row>
    <row r="325" spans="1:143" ht="12.75" x14ac:dyDescent="0.2">
      <c r="A325" s="446">
        <v>319</v>
      </c>
      <c r="B325" s="447" t="s">
        <v>521</v>
      </c>
      <c r="C325" s="448" t="s">
        <v>1100</v>
      </c>
      <c r="D325" s="449" t="s">
        <v>1103</v>
      </c>
      <c r="E325" s="450" t="s">
        <v>520</v>
      </c>
      <c r="F325" s="451">
        <v>420897</v>
      </c>
      <c r="G325" s="451">
        <v>0</v>
      </c>
      <c r="H325" s="451">
        <v>0</v>
      </c>
      <c r="I325" s="451">
        <v>420897</v>
      </c>
      <c r="J325" s="451">
        <v>-148463</v>
      </c>
      <c r="K325" s="451">
        <v>0</v>
      </c>
      <c r="L325" s="451">
        <v>0</v>
      </c>
      <c r="M325" s="451">
        <v>-148463</v>
      </c>
      <c r="N325" s="451">
        <v>58453</v>
      </c>
      <c r="O325" s="451">
        <v>0</v>
      </c>
      <c r="P325" s="451">
        <v>0</v>
      </c>
      <c r="Q325" s="451">
        <v>58453</v>
      </c>
      <c r="R325" s="451">
        <v>147432</v>
      </c>
      <c r="S325" s="451">
        <v>0</v>
      </c>
      <c r="T325" s="451">
        <v>0</v>
      </c>
      <c r="U325" s="451">
        <v>147432</v>
      </c>
      <c r="V325" s="451">
        <v>4825496</v>
      </c>
      <c r="W325" s="451">
        <v>0</v>
      </c>
      <c r="X325" s="451">
        <v>0</v>
      </c>
      <c r="Y325" s="451">
        <v>4825496</v>
      </c>
      <c r="Z325" s="451">
        <v>435105</v>
      </c>
      <c r="AA325" s="451">
        <v>0</v>
      </c>
      <c r="AB325" s="451">
        <v>0</v>
      </c>
      <c r="AC325" s="451">
        <v>435105</v>
      </c>
      <c r="AD325" s="451">
        <v>1442262</v>
      </c>
      <c r="AE325" s="451">
        <v>0</v>
      </c>
      <c r="AF325" s="451">
        <v>0</v>
      </c>
      <c r="AG325" s="451">
        <v>1442262</v>
      </c>
      <c r="AH325" s="451">
        <v>28148</v>
      </c>
      <c r="AI325" s="451">
        <v>0</v>
      </c>
      <c r="AJ325" s="451">
        <v>0</v>
      </c>
      <c r="AK325" s="451">
        <v>28148</v>
      </c>
      <c r="AL325" s="451">
        <v>4027612</v>
      </c>
      <c r="AM325" s="451">
        <v>0</v>
      </c>
      <c r="AN325" s="451">
        <v>0</v>
      </c>
      <c r="AO325" s="451">
        <v>4027612</v>
      </c>
      <c r="AP325" s="451">
        <v>-40420</v>
      </c>
      <c r="AQ325" s="451">
        <v>0</v>
      </c>
      <c r="AR325" s="451">
        <v>0</v>
      </c>
      <c r="AS325" s="451">
        <v>-40420</v>
      </c>
      <c r="AT325" s="451">
        <v>13291</v>
      </c>
      <c r="AU325" s="451">
        <v>0</v>
      </c>
      <c r="AV325" s="451">
        <v>0</v>
      </c>
      <c r="AW325" s="451">
        <v>13291</v>
      </c>
      <c r="AX325" s="451">
        <v>0</v>
      </c>
      <c r="AY325" s="451">
        <v>0</v>
      </c>
      <c r="AZ325" s="451">
        <v>0</v>
      </c>
      <c r="BA325" s="451">
        <v>0</v>
      </c>
      <c r="BB325" s="451">
        <v>0</v>
      </c>
      <c r="BC325" s="451">
        <v>0</v>
      </c>
      <c r="BD325" s="451">
        <v>0</v>
      </c>
      <c r="BE325" s="451">
        <v>0</v>
      </c>
      <c r="BF325" s="451">
        <v>0</v>
      </c>
      <c r="BG325" s="451">
        <v>0</v>
      </c>
      <c r="BH325" s="451">
        <v>0</v>
      </c>
      <c r="BI325" s="451">
        <v>0</v>
      </c>
      <c r="BJ325" s="451">
        <v>11856</v>
      </c>
      <c r="BK325" s="451">
        <v>0</v>
      </c>
      <c r="BL325" s="451">
        <v>0</v>
      </c>
      <c r="BM325" s="451">
        <v>11856</v>
      </c>
      <c r="BN325" s="451">
        <v>29561</v>
      </c>
      <c r="BO325" s="451">
        <v>0</v>
      </c>
      <c r="BP325" s="451">
        <v>0</v>
      </c>
      <c r="BQ325" s="451">
        <v>29561</v>
      </c>
      <c r="BR325" s="451">
        <v>3675115</v>
      </c>
      <c r="BS325" s="451">
        <v>0</v>
      </c>
      <c r="BT325" s="451">
        <v>0</v>
      </c>
      <c r="BU325" s="451">
        <v>3675115</v>
      </c>
      <c r="BV325" s="451">
        <v>-45685</v>
      </c>
      <c r="BW325" s="451">
        <v>0</v>
      </c>
      <c r="BX325" s="451">
        <v>0</v>
      </c>
      <c r="BY325" s="451">
        <v>-45685</v>
      </c>
      <c r="BZ325" s="451">
        <v>424796</v>
      </c>
      <c r="CA325" s="451">
        <v>0</v>
      </c>
      <c r="CB325" s="451">
        <v>0</v>
      </c>
      <c r="CC325" s="451">
        <v>424796</v>
      </c>
      <c r="CD325" s="451">
        <v>2180</v>
      </c>
      <c r="CE325" s="451">
        <v>0</v>
      </c>
      <c r="CF325" s="451">
        <v>0</v>
      </c>
      <c r="CG325" s="451">
        <v>2180</v>
      </c>
      <c r="CH325" s="451">
        <v>369373</v>
      </c>
      <c r="CI325" s="451">
        <v>0</v>
      </c>
      <c r="CJ325" s="451">
        <v>0</v>
      </c>
      <c r="CK325" s="451">
        <v>369373</v>
      </c>
      <c r="CL325" s="451">
        <v>5540</v>
      </c>
      <c r="CM325" s="451">
        <v>0</v>
      </c>
      <c r="CN325" s="451">
        <v>0</v>
      </c>
      <c r="CO325" s="451">
        <v>5540</v>
      </c>
      <c r="CP325" s="451">
        <v>1754</v>
      </c>
      <c r="CQ325" s="451">
        <v>0</v>
      </c>
      <c r="CR325" s="451">
        <v>0</v>
      </c>
      <c r="CS325" s="451">
        <v>1754</v>
      </c>
      <c r="CT325" s="451">
        <v>0</v>
      </c>
      <c r="CU325" s="451">
        <v>0</v>
      </c>
      <c r="CV325" s="451">
        <v>0</v>
      </c>
      <c r="CW325" s="451">
        <v>0</v>
      </c>
      <c r="CX325" s="451">
        <v>0</v>
      </c>
      <c r="CY325" s="451">
        <v>0</v>
      </c>
      <c r="CZ325" s="451">
        <v>0</v>
      </c>
      <c r="DA325" s="451">
        <v>0</v>
      </c>
      <c r="DB325" s="451">
        <v>0</v>
      </c>
      <c r="DC325" s="451">
        <v>0</v>
      </c>
      <c r="DD325" s="451">
        <v>0</v>
      </c>
      <c r="DE325" s="451">
        <v>0</v>
      </c>
      <c r="DF325" s="451">
        <v>0</v>
      </c>
      <c r="DG325" s="451">
        <v>0</v>
      </c>
      <c r="DH325" s="451">
        <v>0</v>
      </c>
      <c r="DI325" s="451">
        <v>0</v>
      </c>
      <c r="DJ325" s="451">
        <v>0</v>
      </c>
      <c r="DK325" s="451">
        <v>0</v>
      </c>
      <c r="DL325" s="451">
        <v>0</v>
      </c>
      <c r="DM325" s="451">
        <v>0</v>
      </c>
      <c r="DN325" s="451">
        <v>0</v>
      </c>
      <c r="DO325" s="451">
        <v>0</v>
      </c>
      <c r="DP325" s="451">
        <v>0</v>
      </c>
      <c r="DQ325" s="451">
        <v>0</v>
      </c>
      <c r="DR325" s="451">
        <v>0</v>
      </c>
      <c r="DS325" s="451">
        <v>0</v>
      </c>
      <c r="DT325" s="451">
        <v>0</v>
      </c>
      <c r="DU325" s="451">
        <v>0</v>
      </c>
      <c r="DV325" s="451">
        <v>0</v>
      </c>
      <c r="DW325" s="451">
        <v>0</v>
      </c>
      <c r="DX325" s="451">
        <v>0</v>
      </c>
      <c r="DY325" s="451">
        <v>0</v>
      </c>
      <c r="DZ325" s="451">
        <v>0</v>
      </c>
      <c r="EA325" s="451">
        <v>0</v>
      </c>
      <c r="EB325" s="451">
        <v>0</v>
      </c>
      <c r="EC325" s="451">
        <v>0</v>
      </c>
      <c r="ED325" s="451">
        <v>0</v>
      </c>
      <c r="EE325" s="451">
        <v>0</v>
      </c>
      <c r="EF325" s="451">
        <v>0</v>
      </c>
      <c r="EG325" s="451">
        <v>0</v>
      </c>
      <c r="EH325" s="451">
        <v>0</v>
      </c>
      <c r="EI325" s="451">
        <v>0</v>
      </c>
      <c r="EJ325" s="451">
        <v>4188</v>
      </c>
      <c r="EK325" s="451">
        <v>0</v>
      </c>
      <c r="EL325" s="451">
        <v>0</v>
      </c>
      <c r="EM325" s="451">
        <v>4188</v>
      </c>
    </row>
    <row r="326" spans="1:143" ht="12.75" x14ac:dyDescent="0.2">
      <c r="A326" s="446">
        <v>320</v>
      </c>
      <c r="B326" s="447" t="s">
        <v>523</v>
      </c>
      <c r="C326" s="448" t="s">
        <v>1093</v>
      </c>
      <c r="D326" s="449" t="s">
        <v>1103</v>
      </c>
      <c r="E326" s="450" t="s">
        <v>522</v>
      </c>
      <c r="F326" s="451">
        <v>74726</v>
      </c>
      <c r="G326" s="451">
        <v>0</v>
      </c>
      <c r="H326" s="451">
        <v>0</v>
      </c>
      <c r="I326" s="451">
        <v>74726</v>
      </c>
      <c r="J326" s="451">
        <v>-25407</v>
      </c>
      <c r="K326" s="451">
        <v>0</v>
      </c>
      <c r="L326" s="451">
        <v>0</v>
      </c>
      <c r="M326" s="451">
        <v>-25407</v>
      </c>
      <c r="N326" s="451">
        <v>37746</v>
      </c>
      <c r="O326" s="451">
        <v>0</v>
      </c>
      <c r="P326" s="451">
        <v>0</v>
      </c>
      <c r="Q326" s="451">
        <v>37746</v>
      </c>
      <c r="R326" s="451">
        <v>263409</v>
      </c>
      <c r="S326" s="451">
        <v>0</v>
      </c>
      <c r="T326" s="451">
        <v>0</v>
      </c>
      <c r="U326" s="451">
        <v>263409</v>
      </c>
      <c r="V326" s="451">
        <v>1668266</v>
      </c>
      <c r="W326" s="451">
        <v>0</v>
      </c>
      <c r="X326" s="451">
        <v>0</v>
      </c>
      <c r="Y326" s="451">
        <v>1668266</v>
      </c>
      <c r="Z326" s="451">
        <v>9052</v>
      </c>
      <c r="AA326" s="451">
        <v>0</v>
      </c>
      <c r="AB326" s="451">
        <v>0</v>
      </c>
      <c r="AC326" s="451">
        <v>9052</v>
      </c>
      <c r="AD326" s="451">
        <v>813931</v>
      </c>
      <c r="AE326" s="451">
        <v>0</v>
      </c>
      <c r="AF326" s="451">
        <v>0</v>
      </c>
      <c r="AG326" s="451">
        <v>813931</v>
      </c>
      <c r="AH326" s="451">
        <v>-19069</v>
      </c>
      <c r="AI326" s="451">
        <v>0</v>
      </c>
      <c r="AJ326" s="451">
        <v>0</v>
      </c>
      <c r="AK326" s="451">
        <v>-19069</v>
      </c>
      <c r="AL326" s="451">
        <v>3279573</v>
      </c>
      <c r="AM326" s="451">
        <v>0</v>
      </c>
      <c r="AN326" s="451">
        <v>0</v>
      </c>
      <c r="AO326" s="451">
        <v>3279573</v>
      </c>
      <c r="AP326" s="451">
        <v>-73894</v>
      </c>
      <c r="AQ326" s="451">
        <v>0</v>
      </c>
      <c r="AR326" s="451">
        <v>0</v>
      </c>
      <c r="AS326" s="451">
        <v>-73894</v>
      </c>
      <c r="AT326" s="451">
        <v>17239</v>
      </c>
      <c r="AU326" s="451">
        <v>0</v>
      </c>
      <c r="AV326" s="451">
        <v>0</v>
      </c>
      <c r="AW326" s="451">
        <v>17239</v>
      </c>
      <c r="AX326" s="451">
        <v>0</v>
      </c>
      <c r="AY326" s="451">
        <v>0</v>
      </c>
      <c r="AZ326" s="451">
        <v>0</v>
      </c>
      <c r="BA326" s="451">
        <v>0</v>
      </c>
      <c r="BB326" s="451">
        <v>0</v>
      </c>
      <c r="BC326" s="451">
        <v>0</v>
      </c>
      <c r="BD326" s="451">
        <v>0</v>
      </c>
      <c r="BE326" s="451">
        <v>0</v>
      </c>
      <c r="BF326" s="451">
        <v>0</v>
      </c>
      <c r="BG326" s="451">
        <v>0</v>
      </c>
      <c r="BH326" s="451">
        <v>0</v>
      </c>
      <c r="BI326" s="451">
        <v>0</v>
      </c>
      <c r="BJ326" s="451">
        <v>44561</v>
      </c>
      <c r="BK326" s="451">
        <v>0</v>
      </c>
      <c r="BL326" s="451">
        <v>0</v>
      </c>
      <c r="BM326" s="451">
        <v>44561</v>
      </c>
      <c r="BN326" s="451">
        <v>5020</v>
      </c>
      <c r="BO326" s="451">
        <v>0</v>
      </c>
      <c r="BP326" s="451">
        <v>0</v>
      </c>
      <c r="BQ326" s="451">
        <v>5020</v>
      </c>
      <c r="BR326" s="451">
        <v>1690453</v>
      </c>
      <c r="BS326" s="451">
        <v>0</v>
      </c>
      <c r="BT326" s="451">
        <v>0</v>
      </c>
      <c r="BU326" s="451">
        <v>1690453</v>
      </c>
      <c r="BV326" s="451">
        <v>88455</v>
      </c>
      <c r="BW326" s="451">
        <v>0</v>
      </c>
      <c r="BX326" s="451">
        <v>0</v>
      </c>
      <c r="BY326" s="451">
        <v>88455</v>
      </c>
      <c r="BZ326" s="451">
        <v>196620</v>
      </c>
      <c r="CA326" s="451">
        <v>0</v>
      </c>
      <c r="CB326" s="451">
        <v>0</v>
      </c>
      <c r="CC326" s="451">
        <v>196620</v>
      </c>
      <c r="CD326" s="451">
        <v>5135</v>
      </c>
      <c r="CE326" s="451">
        <v>0</v>
      </c>
      <c r="CF326" s="451">
        <v>0</v>
      </c>
      <c r="CG326" s="451">
        <v>5135</v>
      </c>
      <c r="CH326" s="451">
        <v>20631</v>
      </c>
      <c r="CI326" s="451">
        <v>0</v>
      </c>
      <c r="CJ326" s="451">
        <v>0</v>
      </c>
      <c r="CK326" s="451">
        <v>20631</v>
      </c>
      <c r="CL326" s="451">
        <v>3300</v>
      </c>
      <c r="CM326" s="451">
        <v>0</v>
      </c>
      <c r="CN326" s="451">
        <v>0</v>
      </c>
      <c r="CO326" s="451">
        <v>3300</v>
      </c>
      <c r="CP326" s="451">
        <v>4310</v>
      </c>
      <c r="CQ326" s="451">
        <v>0</v>
      </c>
      <c r="CR326" s="451">
        <v>0</v>
      </c>
      <c r="CS326" s="451">
        <v>4310</v>
      </c>
      <c r="CT326" s="451">
        <v>0</v>
      </c>
      <c r="CU326" s="451">
        <v>0</v>
      </c>
      <c r="CV326" s="451">
        <v>0</v>
      </c>
      <c r="CW326" s="451">
        <v>0</v>
      </c>
      <c r="CX326" s="451">
        <v>0</v>
      </c>
      <c r="CY326" s="451">
        <v>0</v>
      </c>
      <c r="CZ326" s="451">
        <v>0</v>
      </c>
      <c r="DA326" s="451">
        <v>0</v>
      </c>
      <c r="DB326" s="451">
        <v>0</v>
      </c>
      <c r="DC326" s="451">
        <v>0</v>
      </c>
      <c r="DD326" s="451">
        <v>0</v>
      </c>
      <c r="DE326" s="451">
        <v>0</v>
      </c>
      <c r="DF326" s="451">
        <v>0</v>
      </c>
      <c r="DG326" s="451">
        <v>0</v>
      </c>
      <c r="DH326" s="451">
        <v>0</v>
      </c>
      <c r="DI326" s="451">
        <v>0</v>
      </c>
      <c r="DJ326" s="451">
        <v>0</v>
      </c>
      <c r="DK326" s="451">
        <v>0</v>
      </c>
      <c r="DL326" s="451">
        <v>0</v>
      </c>
      <c r="DM326" s="451">
        <v>0</v>
      </c>
      <c r="DN326" s="451">
        <v>0</v>
      </c>
      <c r="DO326" s="451">
        <v>0</v>
      </c>
      <c r="DP326" s="451">
        <v>0</v>
      </c>
      <c r="DQ326" s="451">
        <v>0</v>
      </c>
      <c r="DR326" s="451">
        <v>0</v>
      </c>
      <c r="DS326" s="451">
        <v>0</v>
      </c>
      <c r="DT326" s="451">
        <v>0</v>
      </c>
      <c r="DU326" s="451">
        <v>0</v>
      </c>
      <c r="DV326" s="451">
        <v>0</v>
      </c>
      <c r="DW326" s="451">
        <v>0</v>
      </c>
      <c r="DX326" s="451">
        <v>0</v>
      </c>
      <c r="DY326" s="451">
        <v>0</v>
      </c>
      <c r="DZ326" s="451">
        <v>0</v>
      </c>
      <c r="EA326" s="451">
        <v>0</v>
      </c>
      <c r="EB326" s="451">
        <v>29378</v>
      </c>
      <c r="EC326" s="451">
        <v>0</v>
      </c>
      <c r="ED326" s="451">
        <v>0</v>
      </c>
      <c r="EE326" s="451">
        <v>29378</v>
      </c>
      <c r="EF326" s="451">
        <v>0</v>
      </c>
      <c r="EG326" s="451">
        <v>0</v>
      </c>
      <c r="EH326" s="451">
        <v>0</v>
      </c>
      <c r="EI326" s="451">
        <v>0</v>
      </c>
      <c r="EJ326" s="451">
        <v>0</v>
      </c>
      <c r="EK326" s="451">
        <v>0</v>
      </c>
      <c r="EL326" s="451">
        <v>0</v>
      </c>
      <c r="EM326" s="451">
        <v>0</v>
      </c>
    </row>
    <row r="327" spans="1:143" ht="12.75" x14ac:dyDescent="0.2">
      <c r="A327" s="446">
        <v>321</v>
      </c>
      <c r="B327" s="447" t="s">
        <v>525</v>
      </c>
      <c r="C327" s="448" t="s">
        <v>1093</v>
      </c>
      <c r="D327" s="449" t="s">
        <v>1094</v>
      </c>
      <c r="E327" s="450" t="s">
        <v>524</v>
      </c>
      <c r="F327" s="451">
        <v>46113</v>
      </c>
      <c r="G327" s="451">
        <v>0</v>
      </c>
      <c r="H327" s="451">
        <v>0</v>
      </c>
      <c r="I327" s="451">
        <v>46113</v>
      </c>
      <c r="J327" s="451">
        <v>-6636</v>
      </c>
      <c r="K327" s="451">
        <v>0</v>
      </c>
      <c r="L327" s="451">
        <v>0</v>
      </c>
      <c r="M327" s="451">
        <v>-6636</v>
      </c>
      <c r="N327" s="451">
        <v>52101</v>
      </c>
      <c r="O327" s="451">
        <v>0</v>
      </c>
      <c r="P327" s="451">
        <v>0</v>
      </c>
      <c r="Q327" s="451">
        <v>52101</v>
      </c>
      <c r="R327" s="451">
        <v>36148</v>
      </c>
      <c r="S327" s="451">
        <v>0</v>
      </c>
      <c r="T327" s="451">
        <v>0</v>
      </c>
      <c r="U327" s="451">
        <v>36148</v>
      </c>
      <c r="V327" s="451">
        <v>1945097</v>
      </c>
      <c r="W327" s="451">
        <v>0</v>
      </c>
      <c r="X327" s="451">
        <v>0</v>
      </c>
      <c r="Y327" s="451">
        <v>1945097</v>
      </c>
      <c r="Z327" s="451">
        <v>27442</v>
      </c>
      <c r="AA327" s="451">
        <v>0</v>
      </c>
      <c r="AB327" s="451">
        <v>0</v>
      </c>
      <c r="AC327" s="451">
        <v>27442</v>
      </c>
      <c r="AD327" s="451">
        <v>592734</v>
      </c>
      <c r="AE327" s="451">
        <v>0</v>
      </c>
      <c r="AF327" s="451">
        <v>0</v>
      </c>
      <c r="AG327" s="451">
        <v>592734</v>
      </c>
      <c r="AH327" s="451">
        <v>-2738</v>
      </c>
      <c r="AI327" s="451">
        <v>0</v>
      </c>
      <c r="AJ327" s="451">
        <v>0</v>
      </c>
      <c r="AK327" s="451">
        <v>-2738</v>
      </c>
      <c r="AL327" s="451">
        <v>1613119</v>
      </c>
      <c r="AM327" s="451">
        <v>0</v>
      </c>
      <c r="AN327" s="451">
        <v>0</v>
      </c>
      <c r="AO327" s="451">
        <v>1613119</v>
      </c>
      <c r="AP327" s="451">
        <v>15891</v>
      </c>
      <c r="AQ327" s="451">
        <v>0</v>
      </c>
      <c r="AR327" s="451">
        <v>0</v>
      </c>
      <c r="AS327" s="451">
        <v>15891</v>
      </c>
      <c r="AT327" s="451">
        <v>38575</v>
      </c>
      <c r="AU327" s="451">
        <v>0</v>
      </c>
      <c r="AV327" s="451">
        <v>0</v>
      </c>
      <c r="AW327" s="451">
        <v>38575</v>
      </c>
      <c r="AX327" s="451">
        <v>0</v>
      </c>
      <c r="AY327" s="451">
        <v>0</v>
      </c>
      <c r="AZ327" s="451">
        <v>0</v>
      </c>
      <c r="BA327" s="451">
        <v>0</v>
      </c>
      <c r="BB327" s="451">
        <v>0</v>
      </c>
      <c r="BC327" s="451">
        <v>0</v>
      </c>
      <c r="BD327" s="451">
        <v>0</v>
      </c>
      <c r="BE327" s="451">
        <v>0</v>
      </c>
      <c r="BF327" s="451">
        <v>0</v>
      </c>
      <c r="BG327" s="451">
        <v>0</v>
      </c>
      <c r="BH327" s="451">
        <v>0</v>
      </c>
      <c r="BI327" s="451">
        <v>0</v>
      </c>
      <c r="BJ327" s="451">
        <v>13512</v>
      </c>
      <c r="BK327" s="451">
        <v>0</v>
      </c>
      <c r="BL327" s="451">
        <v>0</v>
      </c>
      <c r="BM327" s="451">
        <v>13512</v>
      </c>
      <c r="BN327" s="451">
        <v>0</v>
      </c>
      <c r="BO327" s="451">
        <v>0</v>
      </c>
      <c r="BP327" s="451">
        <v>0</v>
      </c>
      <c r="BQ327" s="451">
        <v>0</v>
      </c>
      <c r="BR327" s="451">
        <v>1034634</v>
      </c>
      <c r="BS327" s="451">
        <v>0</v>
      </c>
      <c r="BT327" s="451">
        <v>0</v>
      </c>
      <c r="BU327" s="451">
        <v>1034634</v>
      </c>
      <c r="BV327" s="451">
        <v>-26713</v>
      </c>
      <c r="BW327" s="451">
        <v>0</v>
      </c>
      <c r="BX327" s="451">
        <v>0</v>
      </c>
      <c r="BY327" s="451">
        <v>-26713</v>
      </c>
      <c r="BZ327" s="451">
        <v>84475</v>
      </c>
      <c r="CA327" s="451">
        <v>0</v>
      </c>
      <c r="CB327" s="451">
        <v>0</v>
      </c>
      <c r="CC327" s="451">
        <v>84475</v>
      </c>
      <c r="CD327" s="451">
        <v>2065</v>
      </c>
      <c r="CE327" s="451">
        <v>0</v>
      </c>
      <c r="CF327" s="451">
        <v>0</v>
      </c>
      <c r="CG327" s="451">
        <v>2065</v>
      </c>
      <c r="CH327" s="451">
        <v>1719</v>
      </c>
      <c r="CI327" s="451">
        <v>0</v>
      </c>
      <c r="CJ327" s="451">
        <v>0</v>
      </c>
      <c r="CK327" s="451">
        <v>1719</v>
      </c>
      <c r="CL327" s="451">
        <v>0</v>
      </c>
      <c r="CM327" s="451">
        <v>0</v>
      </c>
      <c r="CN327" s="451">
        <v>0</v>
      </c>
      <c r="CO327" s="451">
        <v>0</v>
      </c>
      <c r="CP327" s="451">
        <v>0</v>
      </c>
      <c r="CQ327" s="451">
        <v>0</v>
      </c>
      <c r="CR327" s="451">
        <v>0</v>
      </c>
      <c r="CS327" s="451">
        <v>0</v>
      </c>
      <c r="CT327" s="451">
        <v>0</v>
      </c>
      <c r="CU327" s="451">
        <v>0</v>
      </c>
      <c r="CV327" s="451">
        <v>0</v>
      </c>
      <c r="CW327" s="451">
        <v>0</v>
      </c>
      <c r="CX327" s="451">
        <v>0</v>
      </c>
      <c r="CY327" s="451">
        <v>0</v>
      </c>
      <c r="CZ327" s="451">
        <v>0</v>
      </c>
      <c r="DA327" s="451">
        <v>0</v>
      </c>
      <c r="DB327" s="451">
        <v>0</v>
      </c>
      <c r="DC327" s="451">
        <v>0</v>
      </c>
      <c r="DD327" s="451">
        <v>0</v>
      </c>
      <c r="DE327" s="451">
        <v>0</v>
      </c>
      <c r="DF327" s="451">
        <v>0</v>
      </c>
      <c r="DG327" s="451">
        <v>0</v>
      </c>
      <c r="DH327" s="451">
        <v>0</v>
      </c>
      <c r="DI327" s="451">
        <v>0</v>
      </c>
      <c r="DJ327" s="451">
        <v>0</v>
      </c>
      <c r="DK327" s="451">
        <v>0</v>
      </c>
      <c r="DL327" s="451">
        <v>0</v>
      </c>
      <c r="DM327" s="451">
        <v>0</v>
      </c>
      <c r="DN327" s="451">
        <v>0</v>
      </c>
      <c r="DO327" s="451">
        <v>0</v>
      </c>
      <c r="DP327" s="451">
        <v>0</v>
      </c>
      <c r="DQ327" s="451">
        <v>0</v>
      </c>
      <c r="DR327" s="451">
        <v>0</v>
      </c>
      <c r="DS327" s="451">
        <v>0</v>
      </c>
      <c r="DT327" s="451">
        <v>0</v>
      </c>
      <c r="DU327" s="451">
        <v>0</v>
      </c>
      <c r="DV327" s="451">
        <v>0</v>
      </c>
      <c r="DW327" s="451">
        <v>0</v>
      </c>
      <c r="DX327" s="451">
        <v>0</v>
      </c>
      <c r="DY327" s="451">
        <v>0</v>
      </c>
      <c r="DZ327" s="451">
        <v>0</v>
      </c>
      <c r="EA327" s="451">
        <v>0</v>
      </c>
      <c r="EB327" s="451">
        <v>0</v>
      </c>
      <c r="EC327" s="451">
        <v>0</v>
      </c>
      <c r="ED327" s="451">
        <v>0</v>
      </c>
      <c r="EE327" s="451">
        <v>0</v>
      </c>
      <c r="EF327" s="451">
        <v>0</v>
      </c>
      <c r="EG327" s="451">
        <v>0</v>
      </c>
      <c r="EH327" s="451">
        <v>0</v>
      </c>
      <c r="EI327" s="451">
        <v>0</v>
      </c>
      <c r="EJ327" s="451">
        <v>0</v>
      </c>
      <c r="EK327" s="451">
        <v>0</v>
      </c>
      <c r="EL327" s="451">
        <v>0</v>
      </c>
      <c r="EM327" s="451">
        <v>0</v>
      </c>
    </row>
    <row r="328" spans="1:143" ht="12.75" x14ac:dyDescent="0.2">
      <c r="A328" s="446">
        <v>322</v>
      </c>
      <c r="B328" s="447" t="s">
        <v>527</v>
      </c>
      <c r="C328" s="448" t="s">
        <v>1093</v>
      </c>
      <c r="D328" s="449" t="s">
        <v>1103</v>
      </c>
      <c r="E328" s="450" t="s">
        <v>526</v>
      </c>
      <c r="F328" s="451">
        <v>93740</v>
      </c>
      <c r="G328" s="451">
        <v>0</v>
      </c>
      <c r="H328" s="451">
        <v>0</v>
      </c>
      <c r="I328" s="451">
        <v>93740</v>
      </c>
      <c r="J328" s="451">
        <v>-60598</v>
      </c>
      <c r="K328" s="451">
        <v>0</v>
      </c>
      <c r="L328" s="451">
        <v>0</v>
      </c>
      <c r="M328" s="451">
        <v>-60598</v>
      </c>
      <c r="N328" s="451">
        <v>31310</v>
      </c>
      <c r="O328" s="451">
        <v>0</v>
      </c>
      <c r="P328" s="451">
        <v>0</v>
      </c>
      <c r="Q328" s="451">
        <v>31310</v>
      </c>
      <c r="R328" s="451">
        <v>121788</v>
      </c>
      <c r="S328" s="451">
        <v>0</v>
      </c>
      <c r="T328" s="451">
        <v>0</v>
      </c>
      <c r="U328" s="451">
        <v>121788</v>
      </c>
      <c r="V328" s="451">
        <v>2852924</v>
      </c>
      <c r="W328" s="451">
        <v>0</v>
      </c>
      <c r="X328" s="451">
        <v>0</v>
      </c>
      <c r="Y328" s="451">
        <v>2852924</v>
      </c>
      <c r="Z328" s="451">
        <v>53212</v>
      </c>
      <c r="AA328" s="451">
        <v>0</v>
      </c>
      <c r="AB328" s="451">
        <v>0</v>
      </c>
      <c r="AC328" s="451">
        <v>53212</v>
      </c>
      <c r="AD328" s="451">
        <v>734148</v>
      </c>
      <c r="AE328" s="451">
        <v>0</v>
      </c>
      <c r="AF328" s="451">
        <v>0</v>
      </c>
      <c r="AG328" s="451">
        <v>734148</v>
      </c>
      <c r="AH328" s="451">
        <v>-7457</v>
      </c>
      <c r="AI328" s="451">
        <v>0</v>
      </c>
      <c r="AJ328" s="451">
        <v>0</v>
      </c>
      <c r="AK328" s="451">
        <v>-7457</v>
      </c>
      <c r="AL328" s="451">
        <v>1714537</v>
      </c>
      <c r="AM328" s="451">
        <v>0</v>
      </c>
      <c r="AN328" s="451">
        <v>0</v>
      </c>
      <c r="AO328" s="451">
        <v>1714537</v>
      </c>
      <c r="AP328" s="451">
        <v>22717</v>
      </c>
      <c r="AQ328" s="451">
        <v>0</v>
      </c>
      <c r="AR328" s="451">
        <v>0</v>
      </c>
      <c r="AS328" s="451">
        <v>22717</v>
      </c>
      <c r="AT328" s="451">
        <v>34331</v>
      </c>
      <c r="AU328" s="451">
        <v>0</v>
      </c>
      <c r="AV328" s="451">
        <v>0</v>
      </c>
      <c r="AW328" s="451">
        <v>34331</v>
      </c>
      <c r="AX328" s="451">
        <v>283</v>
      </c>
      <c r="AY328" s="451">
        <v>0</v>
      </c>
      <c r="AZ328" s="451">
        <v>0</v>
      </c>
      <c r="BA328" s="451">
        <v>283</v>
      </c>
      <c r="BB328" s="451">
        <v>65180</v>
      </c>
      <c r="BC328" s="451">
        <v>0</v>
      </c>
      <c r="BD328" s="451">
        <v>0</v>
      </c>
      <c r="BE328" s="451">
        <v>65180</v>
      </c>
      <c r="BF328" s="451">
        <v>13908</v>
      </c>
      <c r="BG328" s="451">
        <v>0</v>
      </c>
      <c r="BH328" s="451">
        <v>0</v>
      </c>
      <c r="BI328" s="451">
        <v>13908</v>
      </c>
      <c r="BJ328" s="451">
        <v>171128</v>
      </c>
      <c r="BK328" s="451">
        <v>0</v>
      </c>
      <c r="BL328" s="451">
        <v>0</v>
      </c>
      <c r="BM328" s="451">
        <v>171128</v>
      </c>
      <c r="BN328" s="451">
        <v>67666</v>
      </c>
      <c r="BO328" s="451">
        <v>0</v>
      </c>
      <c r="BP328" s="451">
        <v>0</v>
      </c>
      <c r="BQ328" s="451">
        <v>67666</v>
      </c>
      <c r="BR328" s="451">
        <v>1685356</v>
      </c>
      <c r="BS328" s="451">
        <v>0</v>
      </c>
      <c r="BT328" s="451">
        <v>0</v>
      </c>
      <c r="BU328" s="451">
        <v>1685356</v>
      </c>
      <c r="BV328" s="451">
        <v>87738</v>
      </c>
      <c r="BW328" s="451">
        <v>0</v>
      </c>
      <c r="BX328" s="451">
        <v>0</v>
      </c>
      <c r="BY328" s="451">
        <v>87738</v>
      </c>
      <c r="BZ328" s="451">
        <v>193198</v>
      </c>
      <c r="CA328" s="451">
        <v>0</v>
      </c>
      <c r="CB328" s="451">
        <v>0</v>
      </c>
      <c r="CC328" s="451">
        <v>193198</v>
      </c>
      <c r="CD328" s="451">
        <v>797</v>
      </c>
      <c r="CE328" s="451">
        <v>0</v>
      </c>
      <c r="CF328" s="451">
        <v>0</v>
      </c>
      <c r="CG328" s="451">
        <v>797</v>
      </c>
      <c r="CH328" s="451">
        <v>64003</v>
      </c>
      <c r="CI328" s="451">
        <v>0</v>
      </c>
      <c r="CJ328" s="451">
        <v>0</v>
      </c>
      <c r="CK328" s="451">
        <v>64003</v>
      </c>
      <c r="CL328" s="451">
        <v>-5484</v>
      </c>
      <c r="CM328" s="451">
        <v>0</v>
      </c>
      <c r="CN328" s="451">
        <v>0</v>
      </c>
      <c r="CO328" s="451">
        <v>-5484</v>
      </c>
      <c r="CP328" s="451">
        <v>8106</v>
      </c>
      <c r="CQ328" s="451">
        <v>0</v>
      </c>
      <c r="CR328" s="451">
        <v>0</v>
      </c>
      <c r="CS328" s="451">
        <v>8106</v>
      </c>
      <c r="CT328" s="451">
        <v>0</v>
      </c>
      <c r="CU328" s="451">
        <v>0</v>
      </c>
      <c r="CV328" s="451">
        <v>0</v>
      </c>
      <c r="CW328" s="451">
        <v>0</v>
      </c>
      <c r="CX328" s="451">
        <v>47237</v>
      </c>
      <c r="CY328" s="451">
        <v>0</v>
      </c>
      <c r="CZ328" s="451">
        <v>0</v>
      </c>
      <c r="DA328" s="451">
        <v>47237</v>
      </c>
      <c r="DB328" s="451">
        <v>9143</v>
      </c>
      <c r="DC328" s="451">
        <v>0</v>
      </c>
      <c r="DD328" s="451">
        <v>0</v>
      </c>
      <c r="DE328" s="451">
        <v>9143</v>
      </c>
      <c r="DF328" s="451">
        <v>25944</v>
      </c>
      <c r="DG328" s="451">
        <v>0</v>
      </c>
      <c r="DH328" s="451">
        <v>0</v>
      </c>
      <c r="DI328" s="451">
        <v>25944</v>
      </c>
      <c r="DJ328" s="451">
        <v>-222</v>
      </c>
      <c r="DK328" s="451">
        <v>0</v>
      </c>
      <c r="DL328" s="451">
        <v>0</v>
      </c>
      <c r="DM328" s="451">
        <v>-222</v>
      </c>
      <c r="DN328" s="451">
        <v>0</v>
      </c>
      <c r="DO328" s="451">
        <v>0</v>
      </c>
      <c r="DP328" s="451">
        <v>0</v>
      </c>
      <c r="DQ328" s="451">
        <v>0</v>
      </c>
      <c r="DR328" s="451">
        <v>0</v>
      </c>
      <c r="DS328" s="451">
        <v>0</v>
      </c>
      <c r="DT328" s="451">
        <v>0</v>
      </c>
      <c r="DU328" s="451">
        <v>0</v>
      </c>
      <c r="DV328" s="451">
        <v>0</v>
      </c>
      <c r="DW328" s="451">
        <v>0</v>
      </c>
      <c r="DX328" s="451">
        <v>0</v>
      </c>
      <c r="DY328" s="451">
        <v>0</v>
      </c>
      <c r="DZ328" s="451">
        <v>0</v>
      </c>
      <c r="EA328" s="451">
        <v>0</v>
      </c>
      <c r="EB328" s="451">
        <v>4908</v>
      </c>
      <c r="EC328" s="451">
        <v>0</v>
      </c>
      <c r="ED328" s="451">
        <v>0</v>
      </c>
      <c r="EE328" s="451">
        <v>4908</v>
      </c>
      <c r="EF328" s="451">
        <v>800</v>
      </c>
      <c r="EG328" s="451">
        <v>0</v>
      </c>
      <c r="EH328" s="451">
        <v>0</v>
      </c>
      <c r="EI328" s="451">
        <v>800</v>
      </c>
      <c r="EJ328" s="451">
        <v>4000</v>
      </c>
      <c r="EK328" s="451">
        <v>0</v>
      </c>
      <c r="EL328" s="451">
        <v>0</v>
      </c>
      <c r="EM328" s="451">
        <v>4000</v>
      </c>
    </row>
    <row r="329" spans="1:143" ht="12.75" x14ac:dyDescent="0.2">
      <c r="A329" s="446">
        <v>323</v>
      </c>
      <c r="B329" s="447" t="s">
        <v>529</v>
      </c>
      <c r="C329" s="448" t="s">
        <v>1093</v>
      </c>
      <c r="D329" s="449" t="s">
        <v>1094</v>
      </c>
      <c r="E329" s="450" t="s">
        <v>528</v>
      </c>
      <c r="F329" s="451">
        <v>97470.71</v>
      </c>
      <c r="G329" s="451">
        <v>0</v>
      </c>
      <c r="H329" s="451">
        <v>0</v>
      </c>
      <c r="I329" s="451">
        <v>97470.71</v>
      </c>
      <c r="J329" s="451">
        <v>-388413.65</v>
      </c>
      <c r="K329" s="451">
        <v>0</v>
      </c>
      <c r="L329" s="451">
        <v>0</v>
      </c>
      <c r="M329" s="451">
        <v>-388413.65</v>
      </c>
      <c r="N329" s="451">
        <v>161716.82999999999</v>
      </c>
      <c r="O329" s="451">
        <v>0</v>
      </c>
      <c r="P329" s="451">
        <v>0</v>
      </c>
      <c r="Q329" s="451">
        <v>161716.82999999999</v>
      </c>
      <c r="R329" s="451">
        <v>443078.11</v>
      </c>
      <c r="S329" s="451">
        <v>0</v>
      </c>
      <c r="T329" s="451">
        <v>0</v>
      </c>
      <c r="U329" s="451">
        <v>443078.11</v>
      </c>
      <c r="V329" s="451">
        <v>2115949.75</v>
      </c>
      <c r="W329" s="451">
        <v>0</v>
      </c>
      <c r="X329" s="451">
        <v>0</v>
      </c>
      <c r="Y329" s="451">
        <v>2115949.75</v>
      </c>
      <c r="Z329" s="451">
        <v>173094.71</v>
      </c>
      <c r="AA329" s="451">
        <v>0</v>
      </c>
      <c r="AB329" s="451">
        <v>0</v>
      </c>
      <c r="AC329" s="451">
        <v>173094.71</v>
      </c>
      <c r="AD329" s="451">
        <v>1383696.7</v>
      </c>
      <c r="AE329" s="451">
        <v>0</v>
      </c>
      <c r="AF329" s="451">
        <v>0</v>
      </c>
      <c r="AG329" s="451">
        <v>1383696.7</v>
      </c>
      <c r="AH329" s="451">
        <v>-12663.79</v>
      </c>
      <c r="AI329" s="451">
        <v>0</v>
      </c>
      <c r="AJ329" s="451">
        <v>0</v>
      </c>
      <c r="AK329" s="451">
        <v>-12663.79</v>
      </c>
      <c r="AL329" s="451">
        <v>3875774.7</v>
      </c>
      <c r="AM329" s="451">
        <v>0</v>
      </c>
      <c r="AN329" s="451">
        <v>0</v>
      </c>
      <c r="AO329" s="451">
        <v>3875774.7</v>
      </c>
      <c r="AP329" s="451">
        <v>13354.69</v>
      </c>
      <c r="AQ329" s="451">
        <v>0</v>
      </c>
      <c r="AR329" s="451">
        <v>0</v>
      </c>
      <c r="AS329" s="451">
        <v>13354.69</v>
      </c>
      <c r="AT329" s="451">
        <v>33533.39</v>
      </c>
      <c r="AU329" s="451">
        <v>0</v>
      </c>
      <c r="AV329" s="451">
        <v>0</v>
      </c>
      <c r="AW329" s="451">
        <v>33533.39</v>
      </c>
      <c r="AX329" s="451">
        <v>0</v>
      </c>
      <c r="AY329" s="451">
        <v>0</v>
      </c>
      <c r="AZ329" s="451">
        <v>0</v>
      </c>
      <c r="BA329" s="451">
        <v>0</v>
      </c>
      <c r="BB329" s="451">
        <v>17710.099999999999</v>
      </c>
      <c r="BC329" s="451">
        <v>0</v>
      </c>
      <c r="BD329" s="451">
        <v>0</v>
      </c>
      <c r="BE329" s="451">
        <v>17710.099999999999</v>
      </c>
      <c r="BF329" s="451">
        <v>0</v>
      </c>
      <c r="BG329" s="451">
        <v>0</v>
      </c>
      <c r="BH329" s="451">
        <v>0</v>
      </c>
      <c r="BI329" s="451">
        <v>0</v>
      </c>
      <c r="BJ329" s="451">
        <v>37189.78</v>
      </c>
      <c r="BK329" s="451">
        <v>0</v>
      </c>
      <c r="BL329" s="451">
        <v>0</v>
      </c>
      <c r="BM329" s="451">
        <v>37189.78</v>
      </c>
      <c r="BN329" s="451">
        <v>16238.14</v>
      </c>
      <c r="BO329" s="451">
        <v>0</v>
      </c>
      <c r="BP329" s="451">
        <v>0</v>
      </c>
      <c r="BQ329" s="451">
        <v>16238.14</v>
      </c>
      <c r="BR329" s="451">
        <v>3166913.93</v>
      </c>
      <c r="BS329" s="451">
        <v>0</v>
      </c>
      <c r="BT329" s="451">
        <v>0</v>
      </c>
      <c r="BU329" s="451">
        <v>3166913.93</v>
      </c>
      <c r="BV329" s="451">
        <v>93963.04</v>
      </c>
      <c r="BW329" s="451">
        <v>0</v>
      </c>
      <c r="BX329" s="451">
        <v>0</v>
      </c>
      <c r="BY329" s="451">
        <v>93963.04</v>
      </c>
      <c r="BZ329" s="451">
        <v>55312.76</v>
      </c>
      <c r="CA329" s="451">
        <v>0</v>
      </c>
      <c r="CB329" s="451">
        <v>0</v>
      </c>
      <c r="CC329" s="451">
        <v>55312.76</v>
      </c>
      <c r="CD329" s="451">
        <v>1905.94</v>
      </c>
      <c r="CE329" s="451">
        <v>0</v>
      </c>
      <c r="CF329" s="451">
        <v>0</v>
      </c>
      <c r="CG329" s="451">
        <v>1905.94</v>
      </c>
      <c r="CH329" s="451">
        <v>366657.18</v>
      </c>
      <c r="CI329" s="451">
        <v>0</v>
      </c>
      <c r="CJ329" s="451">
        <v>0</v>
      </c>
      <c r="CK329" s="451">
        <v>366657.18</v>
      </c>
      <c r="CL329" s="451">
        <v>664.54</v>
      </c>
      <c r="CM329" s="451">
        <v>0</v>
      </c>
      <c r="CN329" s="451">
        <v>0</v>
      </c>
      <c r="CO329" s="451">
        <v>664.54</v>
      </c>
      <c r="CP329" s="451">
        <v>3047.39</v>
      </c>
      <c r="CQ329" s="451">
        <v>0</v>
      </c>
      <c r="CR329" s="451">
        <v>0</v>
      </c>
      <c r="CS329" s="451">
        <v>3047.39</v>
      </c>
      <c r="CT329" s="451">
        <v>0</v>
      </c>
      <c r="CU329" s="451">
        <v>0</v>
      </c>
      <c r="CV329" s="451">
        <v>0</v>
      </c>
      <c r="CW329" s="451">
        <v>0</v>
      </c>
      <c r="CX329" s="451">
        <v>14471.46</v>
      </c>
      <c r="CY329" s="451">
        <v>0</v>
      </c>
      <c r="CZ329" s="451">
        <v>0</v>
      </c>
      <c r="DA329" s="451">
        <v>14471.46</v>
      </c>
      <c r="DB329" s="451">
        <v>0</v>
      </c>
      <c r="DC329" s="451">
        <v>0</v>
      </c>
      <c r="DD329" s="451">
        <v>0</v>
      </c>
      <c r="DE329" s="451">
        <v>0</v>
      </c>
      <c r="DF329" s="451">
        <v>23216.3</v>
      </c>
      <c r="DG329" s="451">
        <v>0</v>
      </c>
      <c r="DH329" s="451">
        <v>0</v>
      </c>
      <c r="DI329" s="451">
        <v>23216.3</v>
      </c>
      <c r="DJ329" s="451">
        <v>120.02</v>
      </c>
      <c r="DK329" s="451">
        <v>0</v>
      </c>
      <c r="DL329" s="451">
        <v>0</v>
      </c>
      <c r="DM329" s="451">
        <v>120.02</v>
      </c>
      <c r="DN329" s="451">
        <v>0</v>
      </c>
      <c r="DO329" s="451">
        <v>0</v>
      </c>
      <c r="DP329" s="451">
        <v>0</v>
      </c>
      <c r="DQ329" s="451">
        <v>0</v>
      </c>
      <c r="DR329" s="451">
        <v>0</v>
      </c>
      <c r="DS329" s="451">
        <v>0</v>
      </c>
      <c r="DT329" s="451">
        <v>0</v>
      </c>
      <c r="DU329" s="451">
        <v>0</v>
      </c>
      <c r="DV329" s="451">
        <v>0</v>
      </c>
      <c r="DW329" s="451">
        <v>0</v>
      </c>
      <c r="DX329" s="451">
        <v>0</v>
      </c>
      <c r="DY329" s="451">
        <v>0</v>
      </c>
      <c r="DZ329" s="451">
        <v>0</v>
      </c>
      <c r="EA329" s="451">
        <v>0</v>
      </c>
      <c r="EB329" s="451">
        <v>0</v>
      </c>
      <c r="EC329" s="451">
        <v>0</v>
      </c>
      <c r="ED329" s="451">
        <v>0</v>
      </c>
      <c r="EE329" s="451">
        <v>0</v>
      </c>
      <c r="EF329" s="451">
        <v>0</v>
      </c>
      <c r="EG329" s="451">
        <v>0</v>
      </c>
      <c r="EH329" s="451">
        <v>0</v>
      </c>
      <c r="EI329" s="451">
        <v>0</v>
      </c>
      <c r="EJ329" s="451">
        <v>0</v>
      </c>
      <c r="EK329" s="451">
        <v>0</v>
      </c>
      <c r="EL329" s="451">
        <v>0</v>
      </c>
      <c r="EM329" s="451">
        <v>0</v>
      </c>
    </row>
    <row r="330" spans="1:143" ht="12.75" x14ac:dyDescent="0.2">
      <c r="A330" s="446">
        <v>324</v>
      </c>
      <c r="B330" s="447" t="s">
        <v>531</v>
      </c>
      <c r="C330" s="448" t="s">
        <v>1093</v>
      </c>
      <c r="D330" s="449" t="s">
        <v>1095</v>
      </c>
      <c r="E330" s="450" t="s">
        <v>530</v>
      </c>
      <c r="F330" s="451">
        <v>241180.56</v>
      </c>
      <c r="G330" s="451">
        <v>0</v>
      </c>
      <c r="H330" s="451">
        <v>0</v>
      </c>
      <c r="I330" s="451">
        <v>241180.56</v>
      </c>
      <c r="J330" s="451">
        <v>-22956.99</v>
      </c>
      <c r="K330" s="451">
        <v>0</v>
      </c>
      <c r="L330" s="451">
        <v>0</v>
      </c>
      <c r="M330" s="451">
        <v>-22956.99</v>
      </c>
      <c r="N330" s="451">
        <v>10450.44</v>
      </c>
      <c r="O330" s="451">
        <v>0</v>
      </c>
      <c r="P330" s="451">
        <v>0</v>
      </c>
      <c r="Q330" s="451">
        <v>10450.44</v>
      </c>
      <c r="R330" s="451">
        <v>5364.32</v>
      </c>
      <c r="S330" s="451">
        <v>0</v>
      </c>
      <c r="T330" s="451">
        <v>0</v>
      </c>
      <c r="U330" s="451">
        <v>5364.32</v>
      </c>
      <c r="V330" s="451">
        <v>2687403.44</v>
      </c>
      <c r="W330" s="451">
        <v>0</v>
      </c>
      <c r="X330" s="451">
        <v>0</v>
      </c>
      <c r="Y330" s="451">
        <v>2687403.44</v>
      </c>
      <c r="Z330" s="451">
        <v>65042.23</v>
      </c>
      <c r="AA330" s="451">
        <v>0</v>
      </c>
      <c r="AB330" s="451">
        <v>0</v>
      </c>
      <c r="AC330" s="451">
        <v>65042.23</v>
      </c>
      <c r="AD330" s="451">
        <v>477079.16</v>
      </c>
      <c r="AE330" s="451">
        <v>0</v>
      </c>
      <c r="AF330" s="451">
        <v>0</v>
      </c>
      <c r="AG330" s="451">
        <v>477079.16</v>
      </c>
      <c r="AH330" s="451">
        <v>15716.35</v>
      </c>
      <c r="AI330" s="451">
        <v>0</v>
      </c>
      <c r="AJ330" s="451">
        <v>0</v>
      </c>
      <c r="AK330" s="451">
        <v>15716.35</v>
      </c>
      <c r="AL330" s="451">
        <v>1613567.85</v>
      </c>
      <c r="AM330" s="451">
        <v>0</v>
      </c>
      <c r="AN330" s="451">
        <v>0</v>
      </c>
      <c r="AO330" s="451">
        <v>1613567.85</v>
      </c>
      <c r="AP330" s="451">
        <v>19431</v>
      </c>
      <c r="AQ330" s="451">
        <v>0</v>
      </c>
      <c r="AR330" s="451">
        <v>0</v>
      </c>
      <c r="AS330" s="451">
        <v>19431</v>
      </c>
      <c r="AT330" s="451">
        <v>20375.599999999999</v>
      </c>
      <c r="AU330" s="451">
        <v>0</v>
      </c>
      <c r="AV330" s="451">
        <v>0</v>
      </c>
      <c r="AW330" s="451">
        <v>20375.599999999999</v>
      </c>
      <c r="AX330" s="451">
        <v>0</v>
      </c>
      <c r="AY330" s="451">
        <v>0</v>
      </c>
      <c r="AZ330" s="451">
        <v>0</v>
      </c>
      <c r="BA330" s="451">
        <v>0</v>
      </c>
      <c r="BB330" s="451">
        <v>4610.54</v>
      </c>
      <c r="BC330" s="451">
        <v>0</v>
      </c>
      <c r="BD330" s="451">
        <v>0</v>
      </c>
      <c r="BE330" s="451">
        <v>4610.54</v>
      </c>
      <c r="BF330" s="451">
        <v>0</v>
      </c>
      <c r="BG330" s="451">
        <v>0</v>
      </c>
      <c r="BH330" s="451">
        <v>0</v>
      </c>
      <c r="BI330" s="451">
        <v>0</v>
      </c>
      <c r="BJ330" s="451">
        <v>0</v>
      </c>
      <c r="BK330" s="451">
        <v>0</v>
      </c>
      <c r="BL330" s="451">
        <v>0</v>
      </c>
      <c r="BM330" s="451">
        <v>0</v>
      </c>
      <c r="BN330" s="451">
        <v>0</v>
      </c>
      <c r="BO330" s="451">
        <v>0</v>
      </c>
      <c r="BP330" s="451">
        <v>0</v>
      </c>
      <c r="BQ330" s="451">
        <v>0</v>
      </c>
      <c r="BR330" s="451">
        <v>830683.87</v>
      </c>
      <c r="BS330" s="451">
        <v>0</v>
      </c>
      <c r="BT330" s="451">
        <v>0</v>
      </c>
      <c r="BU330" s="451">
        <v>830683.87</v>
      </c>
      <c r="BV330" s="451">
        <v>24831.03</v>
      </c>
      <c r="BW330" s="451">
        <v>0</v>
      </c>
      <c r="BX330" s="451">
        <v>0</v>
      </c>
      <c r="BY330" s="451">
        <v>24831.03</v>
      </c>
      <c r="BZ330" s="451">
        <v>3014.4</v>
      </c>
      <c r="CA330" s="451">
        <v>0</v>
      </c>
      <c r="CB330" s="451">
        <v>0</v>
      </c>
      <c r="CC330" s="451">
        <v>3014.4</v>
      </c>
      <c r="CD330" s="451">
        <v>0</v>
      </c>
      <c r="CE330" s="451">
        <v>0</v>
      </c>
      <c r="CF330" s="451">
        <v>0</v>
      </c>
      <c r="CG330" s="451">
        <v>0</v>
      </c>
      <c r="CH330" s="451">
        <v>80705.899999999994</v>
      </c>
      <c r="CI330" s="451">
        <v>0</v>
      </c>
      <c r="CJ330" s="451">
        <v>0</v>
      </c>
      <c r="CK330" s="451">
        <v>80705.899999999994</v>
      </c>
      <c r="CL330" s="451">
        <v>270.58999999999997</v>
      </c>
      <c r="CM330" s="451">
        <v>0</v>
      </c>
      <c r="CN330" s="451">
        <v>0</v>
      </c>
      <c r="CO330" s="451">
        <v>270.58999999999997</v>
      </c>
      <c r="CP330" s="451">
        <v>0</v>
      </c>
      <c r="CQ330" s="451">
        <v>0</v>
      </c>
      <c r="CR330" s="451">
        <v>0</v>
      </c>
      <c r="CS330" s="451">
        <v>0</v>
      </c>
      <c r="CT330" s="451">
        <v>0</v>
      </c>
      <c r="CU330" s="451">
        <v>0</v>
      </c>
      <c r="CV330" s="451">
        <v>0</v>
      </c>
      <c r="CW330" s="451">
        <v>0</v>
      </c>
      <c r="CX330" s="451">
        <v>38.15</v>
      </c>
      <c r="CY330" s="451">
        <v>0</v>
      </c>
      <c r="CZ330" s="451">
        <v>0</v>
      </c>
      <c r="DA330" s="451">
        <v>38.15</v>
      </c>
      <c r="DB330" s="451">
        <v>0</v>
      </c>
      <c r="DC330" s="451">
        <v>0</v>
      </c>
      <c r="DD330" s="451">
        <v>0</v>
      </c>
      <c r="DE330" s="451">
        <v>0</v>
      </c>
      <c r="DF330" s="451">
        <v>0</v>
      </c>
      <c r="DG330" s="451">
        <v>0</v>
      </c>
      <c r="DH330" s="451">
        <v>0</v>
      </c>
      <c r="DI330" s="451">
        <v>0</v>
      </c>
      <c r="DJ330" s="451">
        <v>0</v>
      </c>
      <c r="DK330" s="451">
        <v>0</v>
      </c>
      <c r="DL330" s="451">
        <v>0</v>
      </c>
      <c r="DM330" s="451">
        <v>0</v>
      </c>
      <c r="DN330" s="451">
        <v>0</v>
      </c>
      <c r="DO330" s="451">
        <v>0</v>
      </c>
      <c r="DP330" s="451">
        <v>0</v>
      </c>
      <c r="DQ330" s="451">
        <v>0</v>
      </c>
      <c r="DR330" s="451">
        <v>0</v>
      </c>
      <c r="DS330" s="451">
        <v>0</v>
      </c>
      <c r="DT330" s="451">
        <v>0</v>
      </c>
      <c r="DU330" s="451">
        <v>0</v>
      </c>
      <c r="DV330" s="451">
        <v>0</v>
      </c>
      <c r="DW330" s="451">
        <v>0</v>
      </c>
      <c r="DX330" s="451">
        <v>0</v>
      </c>
      <c r="DY330" s="451">
        <v>0</v>
      </c>
      <c r="DZ330" s="451">
        <v>0</v>
      </c>
      <c r="EA330" s="451">
        <v>0</v>
      </c>
      <c r="EB330" s="451">
        <v>0</v>
      </c>
      <c r="EC330" s="451">
        <v>0</v>
      </c>
      <c r="ED330" s="451">
        <v>0</v>
      </c>
      <c r="EE330" s="451">
        <v>0</v>
      </c>
      <c r="EF330" s="451">
        <v>0</v>
      </c>
      <c r="EG330" s="451">
        <v>0</v>
      </c>
      <c r="EH330" s="451">
        <v>0</v>
      </c>
      <c r="EI330" s="451">
        <v>0</v>
      </c>
      <c r="EJ330" s="451">
        <v>0</v>
      </c>
      <c r="EK330" s="451">
        <v>0</v>
      </c>
      <c r="EL330" s="451">
        <v>0</v>
      </c>
      <c r="EM330" s="451">
        <v>0</v>
      </c>
    </row>
    <row r="331" spans="1:143" ht="12.75" x14ac:dyDescent="0.2">
      <c r="A331" s="446">
        <v>325</v>
      </c>
      <c r="B331" s="447" t="s">
        <v>533</v>
      </c>
      <c r="C331" s="448" t="s">
        <v>1093</v>
      </c>
      <c r="D331" s="449" t="s">
        <v>1103</v>
      </c>
      <c r="E331" s="450" t="s">
        <v>532</v>
      </c>
      <c r="F331" s="451">
        <v>66259.75</v>
      </c>
      <c r="G331" s="451">
        <v>0</v>
      </c>
      <c r="H331" s="451">
        <v>0</v>
      </c>
      <c r="I331" s="451">
        <v>66259.75</v>
      </c>
      <c r="J331" s="451">
        <v>-95385.67</v>
      </c>
      <c r="K331" s="451">
        <v>0</v>
      </c>
      <c r="L331" s="451">
        <v>0</v>
      </c>
      <c r="M331" s="451">
        <v>-95385.67</v>
      </c>
      <c r="N331" s="451">
        <v>37201.03</v>
      </c>
      <c r="O331" s="451">
        <v>0</v>
      </c>
      <c r="P331" s="451">
        <v>0</v>
      </c>
      <c r="Q331" s="451">
        <v>37201.03</v>
      </c>
      <c r="R331" s="451">
        <v>100501.13</v>
      </c>
      <c r="S331" s="451">
        <v>0</v>
      </c>
      <c r="T331" s="451">
        <v>0</v>
      </c>
      <c r="U331" s="451">
        <v>100501.13</v>
      </c>
      <c r="V331" s="451">
        <v>2001130.39</v>
      </c>
      <c r="W331" s="451">
        <v>0</v>
      </c>
      <c r="X331" s="451">
        <v>0</v>
      </c>
      <c r="Y331" s="451">
        <v>2001130.39</v>
      </c>
      <c r="Z331" s="451">
        <v>113366.06</v>
      </c>
      <c r="AA331" s="451">
        <v>0</v>
      </c>
      <c r="AB331" s="451">
        <v>0</v>
      </c>
      <c r="AC331" s="451">
        <v>113366.06</v>
      </c>
      <c r="AD331" s="451">
        <v>551528.12</v>
      </c>
      <c r="AE331" s="451">
        <v>0</v>
      </c>
      <c r="AF331" s="451">
        <v>0</v>
      </c>
      <c r="AG331" s="451">
        <v>551528.12</v>
      </c>
      <c r="AH331" s="451">
        <v>-12750.28</v>
      </c>
      <c r="AI331" s="451">
        <v>0</v>
      </c>
      <c r="AJ331" s="451">
        <v>0</v>
      </c>
      <c r="AK331" s="451">
        <v>-12750.28</v>
      </c>
      <c r="AL331" s="451">
        <v>1632452.23</v>
      </c>
      <c r="AM331" s="451">
        <v>0</v>
      </c>
      <c r="AN331" s="451">
        <v>0</v>
      </c>
      <c r="AO331" s="451">
        <v>1632452.23</v>
      </c>
      <c r="AP331" s="451">
        <v>-2599.87</v>
      </c>
      <c r="AQ331" s="451">
        <v>0</v>
      </c>
      <c r="AR331" s="451">
        <v>0</v>
      </c>
      <c r="AS331" s="451">
        <v>-2599.87</v>
      </c>
      <c r="AT331" s="451">
        <v>45242.97</v>
      </c>
      <c r="AU331" s="451">
        <v>0</v>
      </c>
      <c r="AV331" s="451">
        <v>0</v>
      </c>
      <c r="AW331" s="451">
        <v>45242.97</v>
      </c>
      <c r="AX331" s="451">
        <v>1261.06</v>
      </c>
      <c r="AY331" s="451">
        <v>0</v>
      </c>
      <c r="AZ331" s="451">
        <v>0</v>
      </c>
      <c r="BA331" s="451">
        <v>1261.06</v>
      </c>
      <c r="BB331" s="451">
        <v>9645.77</v>
      </c>
      <c r="BC331" s="451">
        <v>0</v>
      </c>
      <c r="BD331" s="451">
        <v>0</v>
      </c>
      <c r="BE331" s="451">
        <v>9645.77</v>
      </c>
      <c r="BF331" s="451">
        <v>0</v>
      </c>
      <c r="BG331" s="451">
        <v>0</v>
      </c>
      <c r="BH331" s="451">
        <v>0</v>
      </c>
      <c r="BI331" s="451">
        <v>0</v>
      </c>
      <c r="BJ331" s="451">
        <v>105868.04</v>
      </c>
      <c r="BK331" s="451">
        <v>0</v>
      </c>
      <c r="BL331" s="451">
        <v>0</v>
      </c>
      <c r="BM331" s="451">
        <v>105868.04</v>
      </c>
      <c r="BN331" s="451">
        <v>8607.0499999999993</v>
      </c>
      <c r="BO331" s="451">
        <v>0</v>
      </c>
      <c r="BP331" s="451">
        <v>0</v>
      </c>
      <c r="BQ331" s="451">
        <v>8607.0499999999993</v>
      </c>
      <c r="BR331" s="451">
        <v>1689643.04</v>
      </c>
      <c r="BS331" s="451">
        <v>0</v>
      </c>
      <c r="BT331" s="451">
        <v>0</v>
      </c>
      <c r="BU331" s="451">
        <v>1689643.04</v>
      </c>
      <c r="BV331" s="451">
        <v>57981.68</v>
      </c>
      <c r="BW331" s="451">
        <v>0</v>
      </c>
      <c r="BX331" s="451">
        <v>0</v>
      </c>
      <c r="BY331" s="451">
        <v>57981.68</v>
      </c>
      <c r="BZ331" s="451">
        <v>112809.57</v>
      </c>
      <c r="CA331" s="451">
        <v>0</v>
      </c>
      <c r="CB331" s="451">
        <v>0</v>
      </c>
      <c r="CC331" s="451">
        <v>112809.57</v>
      </c>
      <c r="CD331" s="451">
        <v>-2134.92</v>
      </c>
      <c r="CE331" s="451">
        <v>0</v>
      </c>
      <c r="CF331" s="451">
        <v>0</v>
      </c>
      <c r="CG331" s="451">
        <v>-2134.92</v>
      </c>
      <c r="CH331" s="451">
        <v>268071</v>
      </c>
      <c r="CI331" s="451">
        <v>0</v>
      </c>
      <c r="CJ331" s="451">
        <v>0</v>
      </c>
      <c r="CK331" s="451">
        <v>268071</v>
      </c>
      <c r="CL331" s="451">
        <v>-4748.54</v>
      </c>
      <c r="CM331" s="451">
        <v>0</v>
      </c>
      <c r="CN331" s="451">
        <v>0</v>
      </c>
      <c r="CO331" s="451">
        <v>-4748.54</v>
      </c>
      <c r="CP331" s="451">
        <v>0</v>
      </c>
      <c r="CQ331" s="451">
        <v>0</v>
      </c>
      <c r="CR331" s="451">
        <v>0</v>
      </c>
      <c r="CS331" s="451">
        <v>0</v>
      </c>
      <c r="CT331" s="451">
        <v>0</v>
      </c>
      <c r="CU331" s="451">
        <v>0</v>
      </c>
      <c r="CV331" s="451">
        <v>0</v>
      </c>
      <c r="CW331" s="451">
        <v>0</v>
      </c>
      <c r="CX331" s="451">
        <v>6193.43</v>
      </c>
      <c r="CY331" s="451">
        <v>0</v>
      </c>
      <c r="CZ331" s="451">
        <v>0</v>
      </c>
      <c r="DA331" s="451">
        <v>6193.43</v>
      </c>
      <c r="DB331" s="451">
        <v>0</v>
      </c>
      <c r="DC331" s="451">
        <v>0</v>
      </c>
      <c r="DD331" s="451">
        <v>0</v>
      </c>
      <c r="DE331" s="451">
        <v>0</v>
      </c>
      <c r="DF331" s="451">
        <v>0</v>
      </c>
      <c r="DG331" s="451">
        <v>0</v>
      </c>
      <c r="DH331" s="451">
        <v>0</v>
      </c>
      <c r="DI331" s="451">
        <v>0</v>
      </c>
      <c r="DJ331" s="451">
        <v>0</v>
      </c>
      <c r="DK331" s="451">
        <v>0</v>
      </c>
      <c r="DL331" s="451">
        <v>0</v>
      </c>
      <c r="DM331" s="451">
        <v>0</v>
      </c>
      <c r="DN331" s="451">
        <v>0</v>
      </c>
      <c r="DO331" s="451">
        <v>0</v>
      </c>
      <c r="DP331" s="451">
        <v>0</v>
      </c>
      <c r="DQ331" s="451">
        <v>0</v>
      </c>
      <c r="DR331" s="451">
        <v>0</v>
      </c>
      <c r="DS331" s="451">
        <v>0</v>
      </c>
      <c r="DT331" s="451">
        <v>0</v>
      </c>
      <c r="DU331" s="451">
        <v>0</v>
      </c>
      <c r="DV331" s="451">
        <v>0</v>
      </c>
      <c r="DW331" s="451">
        <v>0</v>
      </c>
      <c r="DX331" s="451">
        <v>0</v>
      </c>
      <c r="DY331" s="451">
        <v>0</v>
      </c>
      <c r="DZ331" s="451">
        <v>0</v>
      </c>
      <c r="EA331" s="451">
        <v>0</v>
      </c>
      <c r="EB331" s="451">
        <v>61056</v>
      </c>
      <c r="EC331" s="451">
        <v>0</v>
      </c>
      <c r="ED331" s="451">
        <v>0</v>
      </c>
      <c r="EE331" s="451">
        <v>61056</v>
      </c>
      <c r="EF331" s="451">
        <v>75360</v>
      </c>
      <c r="EG331" s="451">
        <v>0</v>
      </c>
      <c r="EH331" s="451">
        <v>0</v>
      </c>
      <c r="EI331" s="451">
        <v>75360</v>
      </c>
      <c r="EJ331" s="451">
        <v>0</v>
      </c>
      <c r="EK331" s="451">
        <v>0</v>
      </c>
      <c r="EL331" s="451">
        <v>0</v>
      </c>
      <c r="EM331" s="451">
        <v>0</v>
      </c>
    </row>
    <row r="332" spans="1:143" ht="13.5" thickBot="1" x14ac:dyDescent="0.25">
      <c r="A332" s="446">
        <v>326</v>
      </c>
      <c r="B332" s="447" t="s">
        <v>535</v>
      </c>
      <c r="C332" s="448" t="s">
        <v>794</v>
      </c>
      <c r="D332" s="449" t="s">
        <v>1101</v>
      </c>
      <c r="E332" s="450" t="s">
        <v>759</v>
      </c>
      <c r="F332" s="451">
        <v>212026.1</v>
      </c>
      <c r="G332" s="451">
        <v>0</v>
      </c>
      <c r="H332" s="451">
        <v>0</v>
      </c>
      <c r="I332" s="451">
        <v>212026.1</v>
      </c>
      <c r="J332" s="451">
        <v>-403817.25</v>
      </c>
      <c r="K332" s="451">
        <v>0</v>
      </c>
      <c r="L332" s="451">
        <v>0</v>
      </c>
      <c r="M332" s="451">
        <v>-403817.25</v>
      </c>
      <c r="N332" s="451">
        <v>72221.05</v>
      </c>
      <c r="O332" s="451">
        <v>0</v>
      </c>
      <c r="P332" s="451">
        <v>0</v>
      </c>
      <c r="Q332" s="451">
        <v>72221.05</v>
      </c>
      <c r="R332" s="451">
        <v>167605.82999999999</v>
      </c>
      <c r="S332" s="451">
        <v>0</v>
      </c>
      <c r="T332" s="451">
        <v>0</v>
      </c>
      <c r="U332" s="451">
        <v>167605.82999999999</v>
      </c>
      <c r="V332" s="451">
        <v>2989326.78</v>
      </c>
      <c r="W332" s="451">
        <v>0</v>
      </c>
      <c r="X332" s="451">
        <v>0</v>
      </c>
      <c r="Y332" s="451">
        <v>2989326.78</v>
      </c>
      <c r="Z332" s="451">
        <v>254294.45</v>
      </c>
      <c r="AA332" s="451">
        <v>0</v>
      </c>
      <c r="AB332" s="451">
        <v>0</v>
      </c>
      <c r="AC332" s="451">
        <v>254294.45</v>
      </c>
      <c r="AD332" s="451">
        <v>1956292.83</v>
      </c>
      <c r="AE332" s="451">
        <v>0</v>
      </c>
      <c r="AF332" s="451">
        <v>0</v>
      </c>
      <c r="AG332" s="451">
        <v>1956292.83</v>
      </c>
      <c r="AH332" s="451">
        <v>11798.84</v>
      </c>
      <c r="AI332" s="451">
        <v>0</v>
      </c>
      <c r="AJ332" s="451">
        <v>0</v>
      </c>
      <c r="AK332" s="451">
        <v>11798.84</v>
      </c>
      <c r="AL332" s="451">
        <v>8307529.2599999998</v>
      </c>
      <c r="AM332" s="451">
        <v>0</v>
      </c>
      <c r="AN332" s="451">
        <v>0</v>
      </c>
      <c r="AO332" s="451">
        <v>8307529.2599999998</v>
      </c>
      <c r="AP332" s="451">
        <v>-120343.47</v>
      </c>
      <c r="AQ332" s="451">
        <v>0</v>
      </c>
      <c r="AR332" s="451">
        <v>0</v>
      </c>
      <c r="AS332" s="451">
        <v>-120343.47</v>
      </c>
      <c r="AT332" s="451">
        <v>149728.48000000001</v>
      </c>
      <c r="AU332" s="451">
        <v>0</v>
      </c>
      <c r="AV332" s="451">
        <v>0</v>
      </c>
      <c r="AW332" s="451">
        <v>149728.48000000001</v>
      </c>
      <c r="AX332" s="451">
        <v>0</v>
      </c>
      <c r="AY332" s="451">
        <v>0</v>
      </c>
      <c r="AZ332" s="451">
        <v>0</v>
      </c>
      <c r="BA332" s="451">
        <v>0</v>
      </c>
      <c r="BB332" s="451">
        <v>10321.41</v>
      </c>
      <c r="BC332" s="451">
        <v>0</v>
      </c>
      <c r="BD332" s="451">
        <v>0</v>
      </c>
      <c r="BE332" s="451">
        <v>10321.41</v>
      </c>
      <c r="BF332" s="451">
        <v>-156.34</v>
      </c>
      <c r="BG332" s="451">
        <v>0</v>
      </c>
      <c r="BH332" s="451">
        <v>0</v>
      </c>
      <c r="BI332" s="451">
        <v>-156.34</v>
      </c>
      <c r="BJ332" s="451">
        <v>12834.8</v>
      </c>
      <c r="BK332" s="451">
        <v>0</v>
      </c>
      <c r="BL332" s="451">
        <v>0</v>
      </c>
      <c r="BM332" s="451">
        <v>12834.8</v>
      </c>
      <c r="BN332" s="451">
        <v>37333.78</v>
      </c>
      <c r="BO332" s="451">
        <v>0</v>
      </c>
      <c r="BP332" s="451">
        <v>0</v>
      </c>
      <c r="BQ332" s="451">
        <v>37333.78</v>
      </c>
      <c r="BR332" s="451">
        <v>3028624.44</v>
      </c>
      <c r="BS332" s="451">
        <v>0</v>
      </c>
      <c r="BT332" s="451">
        <v>0</v>
      </c>
      <c r="BU332" s="451">
        <v>3028624.44</v>
      </c>
      <c r="BV332" s="451">
        <v>77377.48</v>
      </c>
      <c r="BW332" s="451">
        <v>0</v>
      </c>
      <c r="BX332" s="451">
        <v>0</v>
      </c>
      <c r="BY332" s="451">
        <v>77377.48</v>
      </c>
      <c r="BZ332" s="451">
        <v>120479.3</v>
      </c>
      <c r="CA332" s="451">
        <v>0</v>
      </c>
      <c r="CB332" s="451">
        <v>0</v>
      </c>
      <c r="CC332" s="451">
        <v>120479.3</v>
      </c>
      <c r="CD332" s="451">
        <v>-3627.9</v>
      </c>
      <c r="CE332" s="451">
        <v>0</v>
      </c>
      <c r="CF332" s="451">
        <v>0</v>
      </c>
      <c r="CG332" s="451">
        <v>-3627.9</v>
      </c>
      <c r="CH332" s="451">
        <v>9086.6299999999992</v>
      </c>
      <c r="CI332" s="451">
        <v>0</v>
      </c>
      <c r="CJ332" s="451">
        <v>0</v>
      </c>
      <c r="CK332" s="451">
        <v>9086.6299999999992</v>
      </c>
      <c r="CL332" s="451">
        <v>2764.98</v>
      </c>
      <c r="CM332" s="451">
        <v>0</v>
      </c>
      <c r="CN332" s="451">
        <v>0</v>
      </c>
      <c r="CO332" s="451">
        <v>2764.98</v>
      </c>
      <c r="CP332" s="451">
        <v>21482.99</v>
      </c>
      <c r="CQ332" s="451">
        <v>0</v>
      </c>
      <c r="CR332" s="451">
        <v>0</v>
      </c>
      <c r="CS332" s="451">
        <v>21482.99</v>
      </c>
      <c r="CT332" s="451">
        <v>0</v>
      </c>
      <c r="CU332" s="451">
        <v>0</v>
      </c>
      <c r="CV332" s="451">
        <v>0</v>
      </c>
      <c r="CW332" s="451">
        <v>0</v>
      </c>
      <c r="CX332" s="451">
        <v>5317.01</v>
      </c>
      <c r="CY332" s="451">
        <v>0</v>
      </c>
      <c r="CZ332" s="451">
        <v>0</v>
      </c>
      <c r="DA332" s="451">
        <v>5317.01</v>
      </c>
      <c r="DB332" s="451">
        <v>-156.35</v>
      </c>
      <c r="DC332" s="451">
        <v>0</v>
      </c>
      <c r="DD332" s="451">
        <v>0</v>
      </c>
      <c r="DE332" s="451">
        <v>-156.35</v>
      </c>
      <c r="DF332" s="451">
        <v>37990.11</v>
      </c>
      <c r="DG332" s="451">
        <v>0</v>
      </c>
      <c r="DH332" s="451">
        <v>0</v>
      </c>
      <c r="DI332" s="451">
        <v>37990.11</v>
      </c>
      <c r="DJ332" s="451">
        <v>0</v>
      </c>
      <c r="DK332" s="451">
        <v>0</v>
      </c>
      <c r="DL332" s="451">
        <v>0</v>
      </c>
      <c r="DM332" s="451">
        <v>0</v>
      </c>
      <c r="DN332" s="451">
        <v>0</v>
      </c>
      <c r="DO332" s="451">
        <v>0</v>
      </c>
      <c r="DP332" s="451">
        <v>0</v>
      </c>
      <c r="DQ332" s="451">
        <v>0</v>
      </c>
      <c r="DR332" s="451">
        <v>0</v>
      </c>
      <c r="DS332" s="451">
        <v>0</v>
      </c>
      <c r="DT332" s="451">
        <v>0</v>
      </c>
      <c r="DU332" s="451">
        <v>0</v>
      </c>
      <c r="DV332" s="451">
        <v>0</v>
      </c>
      <c r="DW332" s="451">
        <v>0</v>
      </c>
      <c r="DX332" s="451">
        <v>0</v>
      </c>
      <c r="DY332" s="451">
        <v>0</v>
      </c>
      <c r="DZ332" s="451">
        <v>0</v>
      </c>
      <c r="EA332" s="451">
        <v>0</v>
      </c>
      <c r="EB332" s="451">
        <v>0</v>
      </c>
      <c r="EC332" s="451">
        <v>0</v>
      </c>
      <c r="ED332" s="451">
        <v>0</v>
      </c>
      <c r="EE332" s="451">
        <v>0</v>
      </c>
      <c r="EF332" s="451">
        <v>0</v>
      </c>
      <c r="EG332" s="451">
        <v>0</v>
      </c>
      <c r="EH332" s="451">
        <v>0</v>
      </c>
      <c r="EI332" s="451">
        <v>0</v>
      </c>
      <c r="EJ332" s="451">
        <v>-247.32</v>
      </c>
      <c r="EK332" s="451">
        <v>0</v>
      </c>
      <c r="EL332" s="451">
        <v>0</v>
      </c>
      <c r="EM332" s="451">
        <v>-247.32</v>
      </c>
    </row>
    <row r="333" spans="1:143" ht="15.75" thickBot="1" x14ac:dyDescent="0.25">
      <c r="A333">
        <v>327</v>
      </c>
      <c r="B333" s="98"/>
      <c r="D333" s="126" t="s">
        <v>1097</v>
      </c>
      <c r="E333" s="126" t="s">
        <v>706</v>
      </c>
      <c r="F333" s="147">
        <f>SUM(F7:F332)</f>
        <v>158334445.09999999</v>
      </c>
      <c r="G333" s="147">
        <f t="shared" ref="G333:BR333" si="0">SUM(G7:G332)</f>
        <v>9665</v>
      </c>
      <c r="H333" s="147">
        <f t="shared" si="0"/>
        <v>218215.64</v>
      </c>
      <c r="I333" s="147">
        <f t="shared" si="0"/>
        <v>158562325.73999998</v>
      </c>
      <c r="J333" s="147">
        <f t="shared" si="0"/>
        <v>-95894251.399999976</v>
      </c>
      <c r="K333" s="147">
        <f t="shared" si="0"/>
        <v>0</v>
      </c>
      <c r="L333" s="147">
        <f t="shared" si="0"/>
        <v>-74331.87</v>
      </c>
      <c r="M333" s="147">
        <f t="shared" si="0"/>
        <v>-95968583.269999966</v>
      </c>
      <c r="N333" s="147">
        <f t="shared" si="0"/>
        <v>30059233.230000004</v>
      </c>
      <c r="O333" s="147">
        <f t="shared" si="0"/>
        <v>59665</v>
      </c>
      <c r="P333" s="147">
        <f t="shared" si="0"/>
        <v>10741.380000000001</v>
      </c>
      <c r="Q333" s="147">
        <f t="shared" si="0"/>
        <v>30129639.610000003</v>
      </c>
      <c r="R333" s="147">
        <f t="shared" si="0"/>
        <v>68024504.169999957</v>
      </c>
      <c r="S333" s="147">
        <f t="shared" si="0"/>
        <v>17062</v>
      </c>
      <c r="T333" s="147">
        <f t="shared" si="0"/>
        <v>113289.74</v>
      </c>
      <c r="U333" s="147">
        <f t="shared" si="0"/>
        <v>68154855.909999967</v>
      </c>
      <c r="V333" s="147">
        <f t="shared" si="0"/>
        <v>984683765.9400003</v>
      </c>
      <c r="W333" s="147">
        <f t="shared" si="0"/>
        <v>276137</v>
      </c>
      <c r="X333" s="147">
        <f t="shared" si="0"/>
        <v>904536.86</v>
      </c>
      <c r="Y333" s="147">
        <f t="shared" si="0"/>
        <v>985864439.80000019</v>
      </c>
      <c r="Z333" s="147">
        <f t="shared" si="0"/>
        <v>48087897.360000022</v>
      </c>
      <c r="AA333" s="147">
        <f t="shared" si="0"/>
        <v>3882</v>
      </c>
      <c r="AB333" s="147">
        <f t="shared" si="0"/>
        <v>54677.440000000002</v>
      </c>
      <c r="AC333" s="147">
        <f t="shared" si="0"/>
        <v>48146456.800000027</v>
      </c>
      <c r="AD333" s="147">
        <f t="shared" si="0"/>
        <v>445797640.33000016</v>
      </c>
      <c r="AE333" s="147">
        <f t="shared" si="0"/>
        <v>289379</v>
      </c>
      <c r="AF333" s="147">
        <f t="shared" si="0"/>
        <v>763066.03</v>
      </c>
      <c r="AG333" s="147">
        <f t="shared" si="0"/>
        <v>446850085.36000013</v>
      </c>
      <c r="AH333" s="147">
        <f t="shared" si="0"/>
        <v>-3487457.8600000003</v>
      </c>
      <c r="AI333" s="147">
        <f t="shared" si="0"/>
        <v>1124</v>
      </c>
      <c r="AJ333" s="147">
        <f t="shared" si="0"/>
        <v>-26663.84</v>
      </c>
      <c r="AK333" s="147">
        <f t="shared" si="0"/>
        <v>-3512997.7</v>
      </c>
      <c r="AL333" s="147">
        <f t="shared" si="0"/>
        <v>1387682147.0299997</v>
      </c>
      <c r="AM333" s="147">
        <f t="shared" si="0"/>
        <v>1606243</v>
      </c>
      <c r="AN333" s="147">
        <f t="shared" si="0"/>
        <v>1480685.33</v>
      </c>
      <c r="AO333" s="147">
        <f t="shared" si="0"/>
        <v>1390769075.3599997</v>
      </c>
      <c r="AP333" s="147">
        <f t="shared" si="0"/>
        <v>4840060.3499999996</v>
      </c>
      <c r="AQ333" s="147">
        <f t="shared" si="0"/>
        <v>7541</v>
      </c>
      <c r="AR333" s="147">
        <f t="shared" si="0"/>
        <v>567541.14</v>
      </c>
      <c r="AS333" s="147">
        <f t="shared" si="0"/>
        <v>5415142.4900000002</v>
      </c>
      <c r="AT333" s="147">
        <f t="shared" si="0"/>
        <v>18215146.389999997</v>
      </c>
      <c r="AU333" s="147">
        <f t="shared" si="0"/>
        <v>0</v>
      </c>
      <c r="AV333" s="147">
        <f t="shared" si="0"/>
        <v>0</v>
      </c>
      <c r="AW333" s="147">
        <f t="shared" si="0"/>
        <v>18215146.389999997</v>
      </c>
      <c r="AX333" s="147">
        <f t="shared" si="0"/>
        <v>94658.55</v>
      </c>
      <c r="AY333" s="147">
        <f t="shared" si="0"/>
        <v>0</v>
      </c>
      <c r="AZ333" s="147">
        <f t="shared" si="0"/>
        <v>0</v>
      </c>
      <c r="BA333" s="147">
        <f t="shared" si="0"/>
        <v>94658.55</v>
      </c>
      <c r="BB333" s="147">
        <f t="shared" si="0"/>
        <v>5999764.5700000012</v>
      </c>
      <c r="BC333" s="147">
        <f t="shared" si="0"/>
        <v>0</v>
      </c>
      <c r="BD333" s="147">
        <f t="shared" si="0"/>
        <v>661</v>
      </c>
      <c r="BE333" s="147">
        <f t="shared" si="0"/>
        <v>6000425.5700000012</v>
      </c>
      <c r="BF333" s="147">
        <f t="shared" si="0"/>
        <v>190725.09</v>
      </c>
      <c r="BG333" s="147">
        <f t="shared" si="0"/>
        <v>0</v>
      </c>
      <c r="BH333" s="147">
        <f t="shared" si="0"/>
        <v>0</v>
      </c>
      <c r="BI333" s="147">
        <f t="shared" si="0"/>
        <v>190725.09</v>
      </c>
      <c r="BJ333" s="147">
        <f t="shared" si="0"/>
        <v>33846544.079999991</v>
      </c>
      <c r="BK333" s="147">
        <f t="shared" si="0"/>
        <v>103956</v>
      </c>
      <c r="BL333" s="147">
        <f t="shared" si="0"/>
        <v>239914.88</v>
      </c>
      <c r="BM333" s="147">
        <f t="shared" si="0"/>
        <v>34190414.959999986</v>
      </c>
      <c r="BN333" s="147">
        <f t="shared" si="0"/>
        <v>13956912.349999996</v>
      </c>
      <c r="BO333" s="147">
        <f t="shared" si="0"/>
        <v>0</v>
      </c>
      <c r="BP333" s="147">
        <f t="shared" si="0"/>
        <v>-7382.47</v>
      </c>
      <c r="BQ333" s="147">
        <f t="shared" si="0"/>
        <v>13949529.879999995</v>
      </c>
      <c r="BR333" s="147">
        <f t="shared" si="0"/>
        <v>974332570.65999985</v>
      </c>
      <c r="BS333" s="147">
        <f t="shared" ref="BS333:ED333" si="1">SUM(BS7:BS332)</f>
        <v>2026774</v>
      </c>
      <c r="BT333" s="147">
        <f t="shared" si="1"/>
        <v>12082742.710000001</v>
      </c>
      <c r="BU333" s="147">
        <f t="shared" si="1"/>
        <v>988442087.36999989</v>
      </c>
      <c r="BV333" s="147">
        <f t="shared" si="1"/>
        <v>-5639589.0800000029</v>
      </c>
      <c r="BW333" s="147">
        <f t="shared" si="1"/>
        <v>48872</v>
      </c>
      <c r="BX333" s="147">
        <f t="shared" si="1"/>
        <v>20981.160000000003</v>
      </c>
      <c r="BY333" s="147">
        <f t="shared" si="1"/>
        <v>-5569735.9200000027</v>
      </c>
      <c r="BZ333" s="147">
        <f t="shared" si="1"/>
        <v>43297862.019999973</v>
      </c>
      <c r="CA333" s="147">
        <f t="shared" si="1"/>
        <v>2299</v>
      </c>
      <c r="CB333" s="147">
        <f t="shared" si="1"/>
        <v>16987.800000000003</v>
      </c>
      <c r="CC333" s="147">
        <f t="shared" si="1"/>
        <v>43317148.81999997</v>
      </c>
      <c r="CD333" s="147">
        <f>SUM(CD7:CD332)</f>
        <v>-55680.249999999913</v>
      </c>
      <c r="CE333" s="147">
        <f t="shared" si="1"/>
        <v>0</v>
      </c>
      <c r="CF333" s="147">
        <f t="shared" si="1"/>
        <v>-165.23</v>
      </c>
      <c r="CG333" s="147">
        <f t="shared" si="1"/>
        <v>-55845.479999999894</v>
      </c>
      <c r="CH333" s="147">
        <f t="shared" si="1"/>
        <v>34849166.589999996</v>
      </c>
      <c r="CI333" s="147">
        <f t="shared" si="1"/>
        <v>263194</v>
      </c>
      <c r="CJ333" s="147">
        <f t="shared" si="1"/>
        <v>61920.5</v>
      </c>
      <c r="CK333" s="147">
        <f t="shared" si="1"/>
        <v>35174281.089999996</v>
      </c>
      <c r="CL333" s="147">
        <f t="shared" si="1"/>
        <v>236790.28999999992</v>
      </c>
      <c r="CM333" s="147">
        <f t="shared" si="1"/>
        <v>-6686</v>
      </c>
      <c r="CN333" s="147">
        <f t="shared" si="1"/>
        <v>454</v>
      </c>
      <c r="CO333" s="147">
        <f t="shared" si="1"/>
        <v>230558.28999999992</v>
      </c>
      <c r="CP333" s="147">
        <f t="shared" si="1"/>
        <v>1128483.5599999998</v>
      </c>
      <c r="CQ333" s="147">
        <f t="shared" si="1"/>
        <v>0</v>
      </c>
      <c r="CR333" s="147">
        <f t="shared" si="1"/>
        <v>0</v>
      </c>
      <c r="CS333" s="147">
        <f t="shared" si="1"/>
        <v>1128483.5599999998</v>
      </c>
      <c r="CT333" s="147">
        <f t="shared" si="1"/>
        <v>30487.61</v>
      </c>
      <c r="CU333" s="147">
        <f t="shared" si="1"/>
        <v>0</v>
      </c>
      <c r="CV333" s="147">
        <f t="shared" si="1"/>
        <v>0</v>
      </c>
      <c r="CW333" s="147">
        <f t="shared" si="1"/>
        <v>30487.61</v>
      </c>
      <c r="CX333" s="147">
        <f t="shared" si="1"/>
        <v>3023983.48</v>
      </c>
      <c r="CY333" s="147">
        <f t="shared" si="1"/>
        <v>0</v>
      </c>
      <c r="CZ333" s="147">
        <f t="shared" si="1"/>
        <v>661</v>
      </c>
      <c r="DA333" s="147">
        <f t="shared" si="1"/>
        <v>3024644.48</v>
      </c>
      <c r="DB333" s="147">
        <f t="shared" si="1"/>
        <v>55451.299999999996</v>
      </c>
      <c r="DC333" s="147">
        <f t="shared" si="1"/>
        <v>0</v>
      </c>
      <c r="DD333" s="147">
        <f t="shared" si="1"/>
        <v>0</v>
      </c>
      <c r="DE333" s="147">
        <f t="shared" si="1"/>
        <v>55451.299999999996</v>
      </c>
      <c r="DF333" s="147">
        <f t="shared" si="1"/>
        <v>1702346.6</v>
      </c>
      <c r="DG333" s="147">
        <f t="shared" si="1"/>
        <v>0</v>
      </c>
      <c r="DH333" s="147">
        <f t="shared" si="1"/>
        <v>0</v>
      </c>
      <c r="DI333" s="147">
        <f t="shared" si="1"/>
        <v>1702346.6</v>
      </c>
      <c r="DJ333" s="147">
        <f t="shared" si="1"/>
        <v>164611.41</v>
      </c>
      <c r="DK333" s="147">
        <f t="shared" si="1"/>
        <v>0</v>
      </c>
      <c r="DL333" s="147">
        <f t="shared" si="1"/>
        <v>0</v>
      </c>
      <c r="DM333" s="147">
        <f t="shared" si="1"/>
        <v>164611.41</v>
      </c>
      <c r="DN333" s="147">
        <f t="shared" si="1"/>
        <v>2191971.44</v>
      </c>
      <c r="DO333" s="147">
        <f t="shared" si="1"/>
        <v>0</v>
      </c>
      <c r="DP333" s="147">
        <f t="shared" si="1"/>
        <v>5340280.67</v>
      </c>
      <c r="DQ333" s="147">
        <f t="shared" si="1"/>
        <v>7532252.1100000003</v>
      </c>
      <c r="DR333" s="147">
        <f t="shared" si="1"/>
        <v>408038.82000000007</v>
      </c>
      <c r="DS333" s="147">
        <f t="shared" si="1"/>
        <v>0</v>
      </c>
      <c r="DT333" s="147">
        <f t="shared" si="1"/>
        <v>473698.35</v>
      </c>
      <c r="DU333" s="147">
        <f t="shared" si="1"/>
        <v>881737.17</v>
      </c>
      <c r="DV333" s="147">
        <f t="shared" si="1"/>
        <v>5841456.6799999997</v>
      </c>
      <c r="DW333" s="147">
        <f t="shared" si="1"/>
        <v>1992261.88</v>
      </c>
      <c r="DX333" s="147">
        <f t="shared" si="1"/>
        <v>562047.03999999992</v>
      </c>
      <c r="DY333" s="147">
        <f t="shared" si="1"/>
        <v>0</v>
      </c>
      <c r="DZ333" s="147">
        <f t="shared" si="1"/>
        <v>0</v>
      </c>
      <c r="EA333" s="147">
        <f t="shared" si="1"/>
        <v>562047.03999999992</v>
      </c>
      <c r="EB333" s="147">
        <f t="shared" si="1"/>
        <v>3199358.74</v>
      </c>
      <c r="EC333" s="147">
        <f t="shared" si="1"/>
        <v>0</v>
      </c>
      <c r="ED333" s="147">
        <f t="shared" si="1"/>
        <v>0</v>
      </c>
      <c r="EE333" s="147">
        <f t="shared" ref="EE333:EM333" si="2">SUM(EE7:EE332)</f>
        <v>3199358.74</v>
      </c>
      <c r="EF333" s="147">
        <f t="shared" si="2"/>
        <v>2999199.7700000005</v>
      </c>
      <c r="EG333" s="147">
        <f t="shared" si="2"/>
        <v>0</v>
      </c>
      <c r="EH333" s="147">
        <f t="shared" si="2"/>
        <v>0</v>
      </c>
      <c r="EI333" s="147">
        <f t="shared" si="2"/>
        <v>2999199.7700000005</v>
      </c>
      <c r="EJ333" s="147">
        <f t="shared" si="2"/>
        <v>359277.30999999994</v>
      </c>
      <c r="EK333" s="147">
        <f t="shared" si="2"/>
        <v>0</v>
      </c>
      <c r="EL333" s="147">
        <f t="shared" si="2"/>
        <v>0</v>
      </c>
      <c r="EM333" s="147">
        <f t="shared" si="2"/>
        <v>359277.30999999994</v>
      </c>
    </row>
    <row r="334" spans="1:143" x14ac:dyDescent="0.2">
      <c r="A334">
        <v>328</v>
      </c>
      <c r="D334" s="326" t="s">
        <v>1104</v>
      </c>
      <c r="E334" s="327" t="s">
        <v>1106</v>
      </c>
      <c r="F334" s="328">
        <f>SUMIF($C$7:$C$332,$D334,F$7:F$333)</f>
        <v>24161749.810000002</v>
      </c>
      <c r="G334" s="328">
        <f t="shared" ref="G334:BR335" si="3">SUMIF($C$7:$C$332,$D334,G$7:G$333)</f>
        <v>0</v>
      </c>
      <c r="H334" s="328">
        <f t="shared" si="3"/>
        <v>0</v>
      </c>
      <c r="I334" s="328">
        <f t="shared" si="3"/>
        <v>24161749.810000002</v>
      </c>
      <c r="J334" s="328">
        <f t="shared" si="3"/>
        <v>-45689176.560000002</v>
      </c>
      <c r="K334" s="328">
        <f t="shared" si="3"/>
        <v>0</v>
      </c>
      <c r="L334" s="328">
        <f t="shared" si="3"/>
        <v>0</v>
      </c>
      <c r="M334" s="328">
        <f t="shared" si="3"/>
        <v>-45689176.560000002</v>
      </c>
      <c r="N334" s="328">
        <f t="shared" si="3"/>
        <v>1586835.54</v>
      </c>
      <c r="O334" s="328">
        <f t="shared" si="3"/>
        <v>0</v>
      </c>
      <c r="P334" s="328">
        <f t="shared" si="3"/>
        <v>0</v>
      </c>
      <c r="Q334" s="328">
        <f t="shared" si="3"/>
        <v>1586835.54</v>
      </c>
      <c r="R334" s="328">
        <f t="shared" si="3"/>
        <v>3970030.08</v>
      </c>
      <c r="S334" s="328">
        <f t="shared" si="3"/>
        <v>0</v>
      </c>
      <c r="T334" s="328">
        <f t="shared" si="3"/>
        <v>0</v>
      </c>
      <c r="U334" s="328">
        <f t="shared" si="3"/>
        <v>3970030.08</v>
      </c>
      <c r="V334" s="328">
        <f t="shared" si="3"/>
        <v>43252177.240000002</v>
      </c>
      <c r="W334" s="328">
        <f t="shared" si="3"/>
        <v>0</v>
      </c>
      <c r="X334" s="328">
        <f t="shared" si="3"/>
        <v>0</v>
      </c>
      <c r="Y334" s="328">
        <f t="shared" si="3"/>
        <v>43252177.240000002</v>
      </c>
      <c r="Z334" s="328">
        <f t="shared" si="3"/>
        <v>2521917.39</v>
      </c>
      <c r="AA334" s="328">
        <f t="shared" si="3"/>
        <v>0</v>
      </c>
      <c r="AB334" s="328">
        <f t="shared" si="3"/>
        <v>0</v>
      </c>
      <c r="AC334" s="328">
        <f t="shared" si="3"/>
        <v>2521917.39</v>
      </c>
      <c r="AD334" s="328">
        <f t="shared" si="3"/>
        <v>94410326.550000012</v>
      </c>
      <c r="AE334" s="328">
        <f t="shared" si="3"/>
        <v>0</v>
      </c>
      <c r="AF334" s="328">
        <f t="shared" si="3"/>
        <v>0</v>
      </c>
      <c r="AG334" s="328">
        <f t="shared" si="3"/>
        <v>94410326.550000012</v>
      </c>
      <c r="AH334" s="328">
        <f t="shared" si="3"/>
        <v>-1100339.46</v>
      </c>
      <c r="AI334" s="328">
        <f t="shared" si="3"/>
        <v>0</v>
      </c>
      <c r="AJ334" s="328">
        <f t="shared" si="3"/>
        <v>0</v>
      </c>
      <c r="AK334" s="328">
        <f t="shared" si="3"/>
        <v>-1100339.46</v>
      </c>
      <c r="AL334" s="328">
        <f t="shared" si="3"/>
        <v>254039333.28</v>
      </c>
      <c r="AM334" s="328">
        <f t="shared" si="3"/>
        <v>0</v>
      </c>
      <c r="AN334" s="328">
        <f t="shared" si="3"/>
        <v>0</v>
      </c>
      <c r="AO334" s="328">
        <f t="shared" si="3"/>
        <v>254039333.28</v>
      </c>
      <c r="AP334" s="328">
        <f t="shared" si="3"/>
        <v>337373.42</v>
      </c>
      <c r="AQ334" s="328">
        <f t="shared" si="3"/>
        <v>0</v>
      </c>
      <c r="AR334" s="328">
        <f t="shared" si="3"/>
        <v>0</v>
      </c>
      <c r="AS334" s="328">
        <f t="shared" si="3"/>
        <v>337373.42</v>
      </c>
      <c r="AT334" s="328">
        <f t="shared" si="3"/>
        <v>251792.66</v>
      </c>
      <c r="AU334" s="328">
        <f t="shared" si="3"/>
        <v>0</v>
      </c>
      <c r="AV334" s="328">
        <f t="shared" si="3"/>
        <v>0</v>
      </c>
      <c r="AW334" s="328">
        <f t="shared" si="3"/>
        <v>251792.66</v>
      </c>
      <c r="AX334" s="328">
        <f t="shared" si="3"/>
        <v>0</v>
      </c>
      <c r="AY334" s="328">
        <f t="shared" si="3"/>
        <v>0</v>
      </c>
      <c r="AZ334" s="328">
        <f t="shared" si="3"/>
        <v>0</v>
      </c>
      <c r="BA334" s="328">
        <f t="shared" si="3"/>
        <v>0</v>
      </c>
      <c r="BB334" s="328">
        <f t="shared" si="3"/>
        <v>0</v>
      </c>
      <c r="BC334" s="328">
        <f t="shared" si="3"/>
        <v>0</v>
      </c>
      <c r="BD334" s="328">
        <f t="shared" si="3"/>
        <v>0</v>
      </c>
      <c r="BE334" s="328">
        <f t="shared" si="3"/>
        <v>0</v>
      </c>
      <c r="BF334" s="328">
        <f t="shared" si="3"/>
        <v>0</v>
      </c>
      <c r="BG334" s="328">
        <f t="shared" si="3"/>
        <v>0</v>
      </c>
      <c r="BH334" s="328">
        <f t="shared" si="3"/>
        <v>0</v>
      </c>
      <c r="BI334" s="328">
        <f t="shared" si="3"/>
        <v>0</v>
      </c>
      <c r="BJ334" s="328">
        <f t="shared" si="3"/>
        <v>8137693.2200000007</v>
      </c>
      <c r="BK334" s="328">
        <f t="shared" si="3"/>
        <v>0</v>
      </c>
      <c r="BL334" s="328">
        <f t="shared" si="3"/>
        <v>0</v>
      </c>
      <c r="BM334" s="328">
        <f t="shared" si="3"/>
        <v>8137693.2200000007</v>
      </c>
      <c r="BN334" s="328">
        <f t="shared" si="3"/>
        <v>6831030.3199999994</v>
      </c>
      <c r="BO334" s="328">
        <f t="shared" si="3"/>
        <v>0</v>
      </c>
      <c r="BP334" s="328">
        <f t="shared" si="3"/>
        <v>0</v>
      </c>
      <c r="BQ334" s="328">
        <f t="shared" si="3"/>
        <v>6831030.3199999994</v>
      </c>
      <c r="BR334" s="328">
        <f t="shared" si="3"/>
        <v>209254673.66999999</v>
      </c>
      <c r="BS334" s="328">
        <f t="shared" ref="BS334:ED337" si="4">SUMIF($C$7:$C$332,$D334,BS$7:BS$333)</f>
        <v>0</v>
      </c>
      <c r="BT334" s="328">
        <f t="shared" si="4"/>
        <v>0</v>
      </c>
      <c r="BU334" s="328">
        <f t="shared" si="4"/>
        <v>209254673.66999999</v>
      </c>
      <c r="BV334" s="328">
        <f t="shared" si="4"/>
        <v>-4573414.8899999997</v>
      </c>
      <c r="BW334" s="328">
        <f t="shared" si="4"/>
        <v>0</v>
      </c>
      <c r="BX334" s="328">
        <f t="shared" si="4"/>
        <v>0</v>
      </c>
      <c r="BY334" s="328">
        <f t="shared" si="4"/>
        <v>-4573414.8899999997</v>
      </c>
      <c r="BZ334" s="328">
        <f t="shared" si="4"/>
        <v>3769396.86</v>
      </c>
      <c r="CA334" s="328">
        <f t="shared" si="4"/>
        <v>0</v>
      </c>
      <c r="CB334" s="328">
        <f t="shared" si="4"/>
        <v>0</v>
      </c>
      <c r="CC334" s="328">
        <f t="shared" si="4"/>
        <v>3769396.86</v>
      </c>
      <c r="CD334" s="328">
        <f t="shared" si="4"/>
        <v>101317.47</v>
      </c>
      <c r="CE334" s="328">
        <f t="shared" si="4"/>
        <v>0</v>
      </c>
      <c r="CF334" s="328">
        <f t="shared" si="4"/>
        <v>0</v>
      </c>
      <c r="CG334" s="328">
        <f t="shared" si="4"/>
        <v>101317.47</v>
      </c>
      <c r="CH334" s="328">
        <f t="shared" si="4"/>
        <v>2336705.63</v>
      </c>
      <c r="CI334" s="328">
        <f t="shared" si="4"/>
        <v>0</v>
      </c>
      <c r="CJ334" s="328">
        <f t="shared" si="4"/>
        <v>0</v>
      </c>
      <c r="CK334" s="328">
        <f t="shared" si="4"/>
        <v>2336705.63</v>
      </c>
      <c r="CL334" s="328">
        <f t="shared" si="4"/>
        <v>137818.68</v>
      </c>
      <c r="CM334" s="328">
        <f t="shared" si="4"/>
        <v>0</v>
      </c>
      <c r="CN334" s="328">
        <f t="shared" si="4"/>
        <v>0</v>
      </c>
      <c r="CO334" s="328">
        <f t="shared" si="4"/>
        <v>137818.68</v>
      </c>
      <c r="CP334" s="328">
        <f t="shared" si="4"/>
        <v>6879.32</v>
      </c>
      <c r="CQ334" s="328">
        <f t="shared" si="4"/>
        <v>0</v>
      </c>
      <c r="CR334" s="328">
        <f t="shared" si="4"/>
        <v>0</v>
      </c>
      <c r="CS334" s="328">
        <f t="shared" si="4"/>
        <v>6879.32</v>
      </c>
      <c r="CT334" s="328">
        <f t="shared" si="4"/>
        <v>0</v>
      </c>
      <c r="CU334" s="328">
        <f t="shared" si="4"/>
        <v>0</v>
      </c>
      <c r="CV334" s="328">
        <f t="shared" si="4"/>
        <v>0</v>
      </c>
      <c r="CW334" s="328">
        <f t="shared" si="4"/>
        <v>0</v>
      </c>
      <c r="CX334" s="328">
        <f t="shared" si="4"/>
        <v>0</v>
      </c>
      <c r="CY334" s="328">
        <f t="shared" si="4"/>
        <v>0</v>
      </c>
      <c r="CZ334" s="328">
        <f t="shared" si="4"/>
        <v>0</v>
      </c>
      <c r="DA334" s="328">
        <f t="shared" si="4"/>
        <v>0</v>
      </c>
      <c r="DB334" s="328">
        <f t="shared" si="4"/>
        <v>0</v>
      </c>
      <c r="DC334" s="328">
        <f t="shared" si="4"/>
        <v>0</v>
      </c>
      <c r="DD334" s="328">
        <f t="shared" si="4"/>
        <v>0</v>
      </c>
      <c r="DE334" s="328">
        <f t="shared" si="4"/>
        <v>0</v>
      </c>
      <c r="DF334" s="328">
        <f t="shared" si="4"/>
        <v>0</v>
      </c>
      <c r="DG334" s="328">
        <f t="shared" si="4"/>
        <v>0</v>
      </c>
      <c r="DH334" s="328">
        <f t="shared" si="4"/>
        <v>0</v>
      </c>
      <c r="DI334" s="328">
        <f t="shared" si="4"/>
        <v>0</v>
      </c>
      <c r="DJ334" s="328">
        <f t="shared" si="4"/>
        <v>0</v>
      </c>
      <c r="DK334" s="328">
        <f t="shared" si="4"/>
        <v>0</v>
      </c>
      <c r="DL334" s="328">
        <f t="shared" si="4"/>
        <v>0</v>
      </c>
      <c r="DM334" s="328">
        <f t="shared" si="4"/>
        <v>0</v>
      </c>
      <c r="DN334" s="328">
        <f t="shared" si="4"/>
        <v>0</v>
      </c>
      <c r="DO334" s="328">
        <f t="shared" si="4"/>
        <v>0</v>
      </c>
      <c r="DP334" s="328">
        <f t="shared" si="4"/>
        <v>0</v>
      </c>
      <c r="DQ334" s="328">
        <f t="shared" si="4"/>
        <v>0</v>
      </c>
      <c r="DR334" s="328">
        <f t="shared" si="4"/>
        <v>0</v>
      </c>
      <c r="DS334" s="328">
        <f t="shared" si="4"/>
        <v>0</v>
      </c>
      <c r="DT334" s="328">
        <f t="shared" si="4"/>
        <v>0</v>
      </c>
      <c r="DU334" s="328">
        <f t="shared" si="4"/>
        <v>0</v>
      </c>
      <c r="DV334" s="328">
        <f t="shared" si="4"/>
        <v>0</v>
      </c>
      <c r="DW334" s="328">
        <f t="shared" si="4"/>
        <v>0</v>
      </c>
      <c r="DX334" s="328">
        <f t="shared" si="4"/>
        <v>0</v>
      </c>
      <c r="DY334" s="328">
        <f t="shared" si="4"/>
        <v>0</v>
      </c>
      <c r="DZ334" s="328">
        <f t="shared" si="4"/>
        <v>0</v>
      </c>
      <c r="EA334" s="328">
        <f t="shared" si="4"/>
        <v>0</v>
      </c>
      <c r="EB334" s="328">
        <f t="shared" si="4"/>
        <v>0</v>
      </c>
      <c r="EC334" s="328">
        <f t="shared" si="4"/>
        <v>0</v>
      </c>
      <c r="ED334" s="328">
        <f t="shared" si="4"/>
        <v>0</v>
      </c>
      <c r="EE334" s="328">
        <f t="shared" ref="EE334:EM336" si="5">SUMIF($C$7:$C$332,$D334,EE$7:EE$333)</f>
        <v>0</v>
      </c>
      <c r="EF334" s="328">
        <f t="shared" si="5"/>
        <v>83785</v>
      </c>
      <c r="EG334" s="328">
        <f t="shared" si="5"/>
        <v>0</v>
      </c>
      <c r="EH334" s="328">
        <f t="shared" si="5"/>
        <v>0</v>
      </c>
      <c r="EI334" s="328">
        <f t="shared" si="5"/>
        <v>83785</v>
      </c>
      <c r="EJ334" s="328">
        <f t="shared" si="5"/>
        <v>76968.63</v>
      </c>
      <c r="EK334" s="328">
        <f t="shared" si="5"/>
        <v>0</v>
      </c>
      <c r="EL334" s="328">
        <f t="shared" si="5"/>
        <v>0</v>
      </c>
      <c r="EM334" s="328">
        <f t="shared" si="5"/>
        <v>76968.63</v>
      </c>
    </row>
    <row r="335" spans="1:143" x14ac:dyDescent="0.2">
      <c r="A335">
        <v>329</v>
      </c>
      <c r="D335" s="326" t="s">
        <v>1098</v>
      </c>
      <c r="E335" s="327" t="s">
        <v>1107</v>
      </c>
      <c r="F335" s="328">
        <f t="shared" ref="F335:U338" si="6">SUMIF($C$7:$C$332,$D335,F$7:F$333)</f>
        <v>8568609.6500000004</v>
      </c>
      <c r="G335" s="328">
        <f t="shared" si="6"/>
        <v>0</v>
      </c>
      <c r="H335" s="328">
        <f t="shared" si="6"/>
        <v>394</v>
      </c>
      <c r="I335" s="328">
        <f t="shared" si="6"/>
        <v>8569003.6500000004</v>
      </c>
      <c r="J335" s="328">
        <f t="shared" si="6"/>
        <v>-3957633.46</v>
      </c>
      <c r="K335" s="328">
        <f t="shared" si="6"/>
        <v>0</v>
      </c>
      <c r="L335" s="328">
        <f t="shared" si="6"/>
        <v>0</v>
      </c>
      <c r="M335" s="328">
        <f t="shared" si="6"/>
        <v>-3957633.46</v>
      </c>
      <c r="N335" s="328">
        <f t="shared" si="6"/>
        <v>2213978.0900000003</v>
      </c>
      <c r="O335" s="328">
        <f t="shared" si="6"/>
        <v>0</v>
      </c>
      <c r="P335" s="328">
        <f t="shared" si="6"/>
        <v>0</v>
      </c>
      <c r="Q335" s="328">
        <f t="shared" si="6"/>
        <v>2213978.0900000003</v>
      </c>
      <c r="R335" s="328">
        <f t="shared" si="6"/>
        <v>5368874.7699999996</v>
      </c>
      <c r="S335" s="328">
        <f t="shared" si="6"/>
        <v>0</v>
      </c>
      <c r="T335" s="328">
        <f t="shared" si="6"/>
        <v>0</v>
      </c>
      <c r="U335" s="328">
        <f t="shared" si="6"/>
        <v>5368874.7699999996</v>
      </c>
      <c r="V335" s="328">
        <f t="shared" si="3"/>
        <v>68473875.689999998</v>
      </c>
      <c r="W335" s="328">
        <f t="shared" si="3"/>
        <v>0</v>
      </c>
      <c r="X335" s="328">
        <f t="shared" si="3"/>
        <v>4512</v>
      </c>
      <c r="Y335" s="328">
        <f t="shared" si="3"/>
        <v>68478387.689999998</v>
      </c>
      <c r="Z335" s="328">
        <f t="shared" si="3"/>
        <v>3624211.63</v>
      </c>
      <c r="AA335" s="328">
        <f t="shared" si="3"/>
        <v>0</v>
      </c>
      <c r="AB335" s="328">
        <f t="shared" si="3"/>
        <v>0</v>
      </c>
      <c r="AC335" s="328">
        <f t="shared" si="3"/>
        <v>3624211.63</v>
      </c>
      <c r="AD335" s="328">
        <f t="shared" si="3"/>
        <v>35286889.640000001</v>
      </c>
      <c r="AE335" s="328">
        <f t="shared" si="3"/>
        <v>0</v>
      </c>
      <c r="AF335" s="328">
        <f t="shared" si="3"/>
        <v>10847</v>
      </c>
      <c r="AG335" s="328">
        <f t="shared" si="3"/>
        <v>35297736.640000001</v>
      </c>
      <c r="AH335" s="328">
        <f t="shared" si="3"/>
        <v>-320678.75999999995</v>
      </c>
      <c r="AI335" s="328">
        <f t="shared" si="3"/>
        <v>0</v>
      </c>
      <c r="AJ335" s="328">
        <f t="shared" si="3"/>
        <v>0</v>
      </c>
      <c r="AK335" s="328">
        <f t="shared" si="3"/>
        <v>-320678.75999999995</v>
      </c>
      <c r="AL335" s="328">
        <f t="shared" si="3"/>
        <v>114759655.05000001</v>
      </c>
      <c r="AM335" s="328">
        <f t="shared" si="3"/>
        <v>0</v>
      </c>
      <c r="AN335" s="328">
        <f t="shared" si="3"/>
        <v>78751</v>
      </c>
      <c r="AO335" s="328">
        <f t="shared" si="3"/>
        <v>114838406.05000001</v>
      </c>
      <c r="AP335" s="328">
        <f t="shared" si="3"/>
        <v>82737.499999999927</v>
      </c>
      <c r="AQ335" s="328">
        <f t="shared" si="3"/>
        <v>0</v>
      </c>
      <c r="AR335" s="328">
        <f t="shared" si="3"/>
        <v>0</v>
      </c>
      <c r="AS335" s="328">
        <f t="shared" si="3"/>
        <v>82737.499999999927</v>
      </c>
      <c r="AT335" s="328">
        <f t="shared" si="3"/>
        <v>1773683.1300000004</v>
      </c>
      <c r="AU335" s="328">
        <f t="shared" si="3"/>
        <v>0</v>
      </c>
      <c r="AV335" s="328">
        <f t="shared" si="3"/>
        <v>0</v>
      </c>
      <c r="AW335" s="328">
        <f t="shared" si="3"/>
        <v>1773683.1300000004</v>
      </c>
      <c r="AX335" s="328">
        <f t="shared" si="3"/>
        <v>-591.55999999999767</v>
      </c>
      <c r="AY335" s="328">
        <f t="shared" si="3"/>
        <v>0</v>
      </c>
      <c r="AZ335" s="328">
        <f t="shared" si="3"/>
        <v>0</v>
      </c>
      <c r="BA335" s="328">
        <f t="shared" si="3"/>
        <v>-591.55999999999767</v>
      </c>
      <c r="BB335" s="328">
        <f t="shared" si="3"/>
        <v>0</v>
      </c>
      <c r="BC335" s="328">
        <f t="shared" si="3"/>
        <v>0</v>
      </c>
      <c r="BD335" s="328">
        <f t="shared" si="3"/>
        <v>0</v>
      </c>
      <c r="BE335" s="328">
        <f t="shared" si="3"/>
        <v>0</v>
      </c>
      <c r="BF335" s="328">
        <f t="shared" si="3"/>
        <v>0</v>
      </c>
      <c r="BG335" s="328">
        <f t="shared" si="3"/>
        <v>0</v>
      </c>
      <c r="BH335" s="328">
        <f t="shared" si="3"/>
        <v>0</v>
      </c>
      <c r="BI335" s="328">
        <f t="shared" si="3"/>
        <v>0</v>
      </c>
      <c r="BJ335" s="328">
        <f t="shared" si="3"/>
        <v>1589005.3099999998</v>
      </c>
      <c r="BK335" s="328">
        <f t="shared" si="3"/>
        <v>0</v>
      </c>
      <c r="BL335" s="328">
        <f t="shared" si="3"/>
        <v>0</v>
      </c>
      <c r="BM335" s="328">
        <f t="shared" si="3"/>
        <v>1589005.3099999998</v>
      </c>
      <c r="BN335" s="328">
        <f t="shared" si="3"/>
        <v>1156617.8899999999</v>
      </c>
      <c r="BO335" s="328">
        <f t="shared" si="3"/>
        <v>0</v>
      </c>
      <c r="BP335" s="328">
        <f t="shared" si="3"/>
        <v>0</v>
      </c>
      <c r="BQ335" s="328">
        <f t="shared" si="3"/>
        <v>1156617.8899999999</v>
      </c>
      <c r="BR335" s="328">
        <f t="shared" si="3"/>
        <v>77850827.349999994</v>
      </c>
      <c r="BS335" s="328">
        <f t="shared" si="4"/>
        <v>0</v>
      </c>
      <c r="BT335" s="328">
        <f t="shared" si="4"/>
        <v>748</v>
      </c>
      <c r="BU335" s="328">
        <f t="shared" si="4"/>
        <v>77851575.349999994</v>
      </c>
      <c r="BV335" s="328">
        <f t="shared" si="4"/>
        <v>-847133.82999999961</v>
      </c>
      <c r="BW335" s="328">
        <f t="shared" si="4"/>
        <v>0</v>
      </c>
      <c r="BX335" s="328">
        <f t="shared" si="4"/>
        <v>0</v>
      </c>
      <c r="BY335" s="328">
        <f t="shared" si="4"/>
        <v>-847133.82999999961</v>
      </c>
      <c r="BZ335" s="328">
        <f t="shared" si="4"/>
        <v>4052786.6100000003</v>
      </c>
      <c r="CA335" s="328">
        <f t="shared" si="4"/>
        <v>0</v>
      </c>
      <c r="CB335" s="328">
        <f t="shared" si="4"/>
        <v>0</v>
      </c>
      <c r="CC335" s="328">
        <f t="shared" si="4"/>
        <v>4052786.6100000003</v>
      </c>
      <c r="CD335" s="328">
        <f t="shared" si="4"/>
        <v>5295.6800000000039</v>
      </c>
      <c r="CE335" s="328">
        <f t="shared" si="4"/>
        <v>0</v>
      </c>
      <c r="CF335" s="328">
        <f t="shared" si="4"/>
        <v>0</v>
      </c>
      <c r="CG335" s="328">
        <f t="shared" si="4"/>
        <v>5295.6800000000039</v>
      </c>
      <c r="CH335" s="328">
        <f t="shared" si="4"/>
        <v>2337500.89</v>
      </c>
      <c r="CI335" s="328">
        <f t="shared" si="4"/>
        <v>0</v>
      </c>
      <c r="CJ335" s="328">
        <f t="shared" si="4"/>
        <v>0</v>
      </c>
      <c r="CK335" s="328">
        <f t="shared" si="4"/>
        <v>2337500.89</v>
      </c>
      <c r="CL335" s="328">
        <f t="shared" si="4"/>
        <v>-40049.67</v>
      </c>
      <c r="CM335" s="328">
        <f t="shared" si="4"/>
        <v>0</v>
      </c>
      <c r="CN335" s="328">
        <f t="shared" si="4"/>
        <v>0</v>
      </c>
      <c r="CO335" s="328">
        <f t="shared" si="4"/>
        <v>-40049.67</v>
      </c>
      <c r="CP335" s="328">
        <f t="shared" si="4"/>
        <v>129420.61</v>
      </c>
      <c r="CQ335" s="328">
        <f t="shared" si="4"/>
        <v>0</v>
      </c>
      <c r="CR335" s="328">
        <f t="shared" si="4"/>
        <v>0</v>
      </c>
      <c r="CS335" s="328">
        <f t="shared" si="4"/>
        <v>129420.61</v>
      </c>
      <c r="CT335" s="328">
        <f t="shared" si="4"/>
        <v>1397.7000000000003</v>
      </c>
      <c r="CU335" s="328">
        <f t="shared" si="4"/>
        <v>0</v>
      </c>
      <c r="CV335" s="328">
        <f t="shared" si="4"/>
        <v>0</v>
      </c>
      <c r="CW335" s="328">
        <f t="shared" si="4"/>
        <v>1397.7000000000003</v>
      </c>
      <c r="CX335" s="328">
        <f t="shared" si="4"/>
        <v>0</v>
      </c>
      <c r="CY335" s="328">
        <f t="shared" si="4"/>
        <v>0</v>
      </c>
      <c r="CZ335" s="328">
        <f t="shared" si="4"/>
        <v>0</v>
      </c>
      <c r="DA335" s="328">
        <f t="shared" si="4"/>
        <v>0</v>
      </c>
      <c r="DB335" s="328">
        <f t="shared" si="4"/>
        <v>0</v>
      </c>
      <c r="DC335" s="328">
        <f t="shared" si="4"/>
        <v>0</v>
      </c>
      <c r="DD335" s="328">
        <f t="shared" si="4"/>
        <v>0</v>
      </c>
      <c r="DE335" s="328">
        <f t="shared" si="4"/>
        <v>0</v>
      </c>
      <c r="DF335" s="328">
        <f t="shared" si="4"/>
        <v>0</v>
      </c>
      <c r="DG335" s="328">
        <f t="shared" si="4"/>
        <v>0</v>
      </c>
      <c r="DH335" s="328">
        <f t="shared" si="4"/>
        <v>0</v>
      </c>
      <c r="DI335" s="328">
        <f t="shared" si="4"/>
        <v>0</v>
      </c>
      <c r="DJ335" s="328">
        <f t="shared" si="4"/>
        <v>0</v>
      </c>
      <c r="DK335" s="328">
        <f t="shared" si="4"/>
        <v>0</v>
      </c>
      <c r="DL335" s="328">
        <f t="shared" si="4"/>
        <v>0</v>
      </c>
      <c r="DM335" s="328">
        <f t="shared" si="4"/>
        <v>0</v>
      </c>
      <c r="DN335" s="328">
        <f t="shared" si="4"/>
        <v>135870</v>
      </c>
      <c r="DO335" s="328">
        <f t="shared" si="4"/>
        <v>0</v>
      </c>
      <c r="DP335" s="328">
        <f t="shared" si="4"/>
        <v>101389</v>
      </c>
      <c r="DQ335" s="328">
        <f t="shared" si="4"/>
        <v>237259</v>
      </c>
      <c r="DR335" s="328">
        <f t="shared" si="4"/>
        <v>0</v>
      </c>
      <c r="DS335" s="328">
        <f t="shared" si="4"/>
        <v>0</v>
      </c>
      <c r="DT335" s="328">
        <f t="shared" si="4"/>
        <v>0</v>
      </c>
      <c r="DU335" s="328">
        <f t="shared" si="4"/>
        <v>0</v>
      </c>
      <c r="DV335" s="328">
        <f t="shared" si="4"/>
        <v>101389</v>
      </c>
      <c r="DW335" s="328">
        <f t="shared" si="4"/>
        <v>0</v>
      </c>
      <c r="DX335" s="328">
        <f t="shared" si="4"/>
        <v>71049.929999999993</v>
      </c>
      <c r="DY335" s="328">
        <f t="shared" si="4"/>
        <v>0</v>
      </c>
      <c r="DZ335" s="328">
        <f t="shared" si="4"/>
        <v>0</v>
      </c>
      <c r="EA335" s="328">
        <f t="shared" si="4"/>
        <v>71049.929999999993</v>
      </c>
      <c r="EB335" s="328">
        <f t="shared" si="4"/>
        <v>0</v>
      </c>
      <c r="EC335" s="328">
        <f t="shared" si="4"/>
        <v>0</v>
      </c>
      <c r="ED335" s="328">
        <f t="shared" si="4"/>
        <v>0</v>
      </c>
      <c r="EE335" s="328">
        <f t="shared" si="5"/>
        <v>0</v>
      </c>
      <c r="EF335" s="328">
        <f t="shared" si="5"/>
        <v>22803.51</v>
      </c>
      <c r="EG335" s="328">
        <f t="shared" si="5"/>
        <v>0</v>
      </c>
      <c r="EH335" s="328">
        <f t="shared" si="5"/>
        <v>0</v>
      </c>
      <c r="EI335" s="328">
        <f t="shared" si="5"/>
        <v>22803.51</v>
      </c>
      <c r="EJ335" s="328">
        <f t="shared" si="5"/>
        <v>105888.03</v>
      </c>
      <c r="EK335" s="328">
        <f t="shared" si="5"/>
        <v>0</v>
      </c>
      <c r="EL335" s="328">
        <f t="shared" si="5"/>
        <v>0</v>
      </c>
      <c r="EM335" s="328">
        <f t="shared" si="5"/>
        <v>105888.03</v>
      </c>
    </row>
    <row r="336" spans="1:143" x14ac:dyDescent="0.2">
      <c r="A336">
        <v>330</v>
      </c>
      <c r="D336" s="326" t="s">
        <v>1100</v>
      </c>
      <c r="E336" s="327" t="s">
        <v>1108</v>
      </c>
      <c r="F336" s="328">
        <f t="shared" si="6"/>
        <v>10787342.969999999</v>
      </c>
      <c r="G336" s="328">
        <f t="shared" ref="G336:BR338" si="7">SUMIF($C$7:$C$332,$D336,G$7:G$333)</f>
        <v>5370</v>
      </c>
      <c r="H336" s="328">
        <f t="shared" si="7"/>
        <v>105797</v>
      </c>
      <c r="I336" s="328">
        <f t="shared" si="7"/>
        <v>10898509.969999999</v>
      </c>
      <c r="J336" s="328">
        <f t="shared" si="7"/>
        <v>-12576949.77</v>
      </c>
      <c r="K336" s="328">
        <f t="shared" si="7"/>
        <v>0</v>
      </c>
      <c r="L336" s="328">
        <f t="shared" si="7"/>
        <v>-67825</v>
      </c>
      <c r="M336" s="328">
        <f t="shared" si="7"/>
        <v>-12644774.77</v>
      </c>
      <c r="N336" s="328">
        <f t="shared" si="7"/>
        <v>5266121.3999999994</v>
      </c>
      <c r="O336" s="328">
        <f t="shared" si="7"/>
        <v>20742</v>
      </c>
      <c r="P336" s="328">
        <f t="shared" si="7"/>
        <v>43211</v>
      </c>
      <c r="Q336" s="328">
        <f t="shared" si="7"/>
        <v>5330074.3999999994</v>
      </c>
      <c r="R336" s="328">
        <f t="shared" si="7"/>
        <v>12959857.389999999</v>
      </c>
      <c r="S336" s="328">
        <f t="shared" si="7"/>
        <v>17062</v>
      </c>
      <c r="T336" s="328">
        <f t="shared" si="7"/>
        <v>45192</v>
      </c>
      <c r="U336" s="328">
        <f t="shared" si="7"/>
        <v>13022111.389999999</v>
      </c>
      <c r="V336" s="328">
        <f t="shared" si="7"/>
        <v>225173019.35999998</v>
      </c>
      <c r="W336" s="328">
        <f t="shared" si="7"/>
        <v>78932</v>
      </c>
      <c r="X336" s="328">
        <f t="shared" si="7"/>
        <v>632811.9</v>
      </c>
      <c r="Y336" s="328">
        <f t="shared" si="7"/>
        <v>225884763.26000002</v>
      </c>
      <c r="Z336" s="328">
        <f t="shared" si="7"/>
        <v>9840997.6800000016</v>
      </c>
      <c r="AA336" s="328">
        <f t="shared" si="7"/>
        <v>3882</v>
      </c>
      <c r="AB336" s="328">
        <f t="shared" si="7"/>
        <v>57276</v>
      </c>
      <c r="AC336" s="328">
        <f t="shared" si="7"/>
        <v>9902155.6800000016</v>
      </c>
      <c r="AD336" s="328">
        <f t="shared" si="7"/>
        <v>81891468.229999989</v>
      </c>
      <c r="AE336" s="328">
        <f t="shared" si="7"/>
        <v>186592</v>
      </c>
      <c r="AF336" s="328">
        <f t="shared" si="7"/>
        <v>193513</v>
      </c>
      <c r="AG336" s="328">
        <f t="shared" si="7"/>
        <v>82271573.229999989</v>
      </c>
      <c r="AH336" s="328">
        <f t="shared" si="7"/>
        <v>-164626.29999999999</v>
      </c>
      <c r="AI336" s="328">
        <f t="shared" si="7"/>
        <v>1124</v>
      </c>
      <c r="AJ336" s="328">
        <f t="shared" si="7"/>
        <v>-13437</v>
      </c>
      <c r="AK336" s="328">
        <f t="shared" si="7"/>
        <v>-176939.3</v>
      </c>
      <c r="AL336" s="328">
        <f t="shared" si="7"/>
        <v>250624088.12</v>
      </c>
      <c r="AM336" s="328">
        <f t="shared" si="7"/>
        <v>1084540</v>
      </c>
      <c r="AN336" s="328">
        <f t="shared" si="7"/>
        <v>1130064</v>
      </c>
      <c r="AO336" s="328">
        <f t="shared" si="7"/>
        <v>252838692.12</v>
      </c>
      <c r="AP336" s="328">
        <f t="shared" si="7"/>
        <v>-604618.68000000005</v>
      </c>
      <c r="AQ336" s="328">
        <f t="shared" si="7"/>
        <v>7541</v>
      </c>
      <c r="AR336" s="328">
        <f t="shared" si="7"/>
        <v>545552</v>
      </c>
      <c r="AS336" s="328">
        <f t="shared" si="7"/>
        <v>-51525.679999999993</v>
      </c>
      <c r="AT336" s="328">
        <f t="shared" si="7"/>
        <v>2990530.5100000002</v>
      </c>
      <c r="AU336" s="328">
        <f t="shared" si="7"/>
        <v>0</v>
      </c>
      <c r="AV336" s="328">
        <f t="shared" si="7"/>
        <v>0</v>
      </c>
      <c r="AW336" s="328">
        <f t="shared" si="7"/>
        <v>2990530.5100000002</v>
      </c>
      <c r="AX336" s="328">
        <f t="shared" si="7"/>
        <v>15336.980000000001</v>
      </c>
      <c r="AY336" s="328">
        <f t="shared" si="7"/>
        <v>0</v>
      </c>
      <c r="AZ336" s="328">
        <f t="shared" si="7"/>
        <v>0</v>
      </c>
      <c r="BA336" s="328">
        <f t="shared" si="7"/>
        <v>15336.980000000001</v>
      </c>
      <c r="BB336" s="328">
        <f t="shared" si="7"/>
        <v>106781.25</v>
      </c>
      <c r="BC336" s="328">
        <f t="shared" si="7"/>
        <v>0</v>
      </c>
      <c r="BD336" s="328">
        <f t="shared" si="7"/>
        <v>0</v>
      </c>
      <c r="BE336" s="328">
        <f t="shared" si="7"/>
        <v>106781.25</v>
      </c>
      <c r="BF336" s="328">
        <f t="shared" si="7"/>
        <v>-276.72000000000003</v>
      </c>
      <c r="BG336" s="328">
        <f t="shared" si="7"/>
        <v>0</v>
      </c>
      <c r="BH336" s="328">
        <f t="shared" si="7"/>
        <v>0</v>
      </c>
      <c r="BI336" s="328">
        <f t="shared" si="7"/>
        <v>-276.72000000000003</v>
      </c>
      <c r="BJ336" s="328">
        <f t="shared" si="7"/>
        <v>4208542.5199999996</v>
      </c>
      <c r="BK336" s="328">
        <f t="shared" si="7"/>
        <v>96034</v>
      </c>
      <c r="BL336" s="328">
        <f t="shared" si="7"/>
        <v>5670</v>
      </c>
      <c r="BM336" s="328">
        <f t="shared" si="7"/>
        <v>4310246.5199999996</v>
      </c>
      <c r="BN336" s="328">
        <f t="shared" si="7"/>
        <v>938591.40999999992</v>
      </c>
      <c r="BO336" s="328">
        <f t="shared" si="7"/>
        <v>0</v>
      </c>
      <c r="BP336" s="328">
        <f t="shared" si="7"/>
        <v>-13752</v>
      </c>
      <c r="BQ336" s="328">
        <f t="shared" si="7"/>
        <v>924839.40999999992</v>
      </c>
      <c r="BR336" s="328">
        <f t="shared" si="7"/>
        <v>233586506.00000003</v>
      </c>
      <c r="BS336" s="328">
        <f t="shared" si="4"/>
        <v>1459443</v>
      </c>
      <c r="BT336" s="328">
        <f t="shared" si="4"/>
        <v>10080551</v>
      </c>
      <c r="BU336" s="328">
        <f t="shared" si="4"/>
        <v>245126500.00000003</v>
      </c>
      <c r="BV336" s="328">
        <f t="shared" si="4"/>
        <v>-139588.07999999996</v>
      </c>
      <c r="BW336" s="328">
        <f t="shared" si="4"/>
        <v>48872</v>
      </c>
      <c r="BX336" s="328">
        <f t="shared" si="4"/>
        <v>50435</v>
      </c>
      <c r="BY336" s="328">
        <f t="shared" si="4"/>
        <v>-40281.079999999958</v>
      </c>
      <c r="BZ336" s="328">
        <f t="shared" si="4"/>
        <v>9541225.9900000002</v>
      </c>
      <c r="CA336" s="328">
        <f t="shared" si="4"/>
        <v>622</v>
      </c>
      <c r="CB336" s="328">
        <f t="shared" si="4"/>
        <v>0</v>
      </c>
      <c r="CC336" s="328">
        <f t="shared" si="4"/>
        <v>9541847.9900000002</v>
      </c>
      <c r="CD336" s="328">
        <f t="shared" si="4"/>
        <v>-177747.25999999995</v>
      </c>
      <c r="CE336" s="328">
        <f t="shared" si="4"/>
        <v>0</v>
      </c>
      <c r="CF336" s="328">
        <f t="shared" si="4"/>
        <v>0</v>
      </c>
      <c r="CG336" s="328">
        <f t="shared" si="4"/>
        <v>-177747.25999999995</v>
      </c>
      <c r="CH336" s="328">
        <f t="shared" si="4"/>
        <v>8043692.1999999993</v>
      </c>
      <c r="CI336" s="328">
        <f t="shared" si="4"/>
        <v>0</v>
      </c>
      <c r="CJ336" s="328">
        <f t="shared" si="4"/>
        <v>9655.5</v>
      </c>
      <c r="CK336" s="328">
        <f t="shared" si="4"/>
        <v>8053347.6999999993</v>
      </c>
      <c r="CL336" s="328">
        <f t="shared" si="4"/>
        <v>-138419.44</v>
      </c>
      <c r="CM336" s="328">
        <f t="shared" si="4"/>
        <v>-6686</v>
      </c>
      <c r="CN336" s="328">
        <f t="shared" si="4"/>
        <v>454</v>
      </c>
      <c r="CO336" s="328">
        <f t="shared" si="4"/>
        <v>-144651.44</v>
      </c>
      <c r="CP336" s="328">
        <f t="shared" si="4"/>
        <v>212229.04</v>
      </c>
      <c r="CQ336" s="328">
        <f t="shared" si="4"/>
        <v>0</v>
      </c>
      <c r="CR336" s="328">
        <f t="shared" si="4"/>
        <v>0</v>
      </c>
      <c r="CS336" s="328">
        <f t="shared" si="4"/>
        <v>212229.04</v>
      </c>
      <c r="CT336" s="328">
        <f t="shared" si="4"/>
        <v>17807.46</v>
      </c>
      <c r="CU336" s="328">
        <f t="shared" si="4"/>
        <v>0</v>
      </c>
      <c r="CV336" s="328">
        <f t="shared" si="4"/>
        <v>0</v>
      </c>
      <c r="CW336" s="328">
        <f t="shared" si="4"/>
        <v>17807.46</v>
      </c>
      <c r="CX336" s="328">
        <f t="shared" si="4"/>
        <v>24014.959999999999</v>
      </c>
      <c r="CY336" s="328">
        <f t="shared" si="4"/>
        <v>0</v>
      </c>
      <c r="CZ336" s="328">
        <f t="shared" si="4"/>
        <v>0</v>
      </c>
      <c r="DA336" s="328">
        <f t="shared" si="4"/>
        <v>24014.959999999999</v>
      </c>
      <c r="DB336" s="328">
        <f t="shared" si="4"/>
        <v>0</v>
      </c>
      <c r="DC336" s="328">
        <f t="shared" si="4"/>
        <v>0</v>
      </c>
      <c r="DD336" s="328">
        <f t="shared" si="4"/>
        <v>0</v>
      </c>
      <c r="DE336" s="328">
        <f t="shared" si="4"/>
        <v>0</v>
      </c>
      <c r="DF336" s="328">
        <f t="shared" si="4"/>
        <v>127200.21</v>
      </c>
      <c r="DG336" s="328">
        <f t="shared" si="4"/>
        <v>0</v>
      </c>
      <c r="DH336" s="328">
        <f t="shared" si="4"/>
        <v>0</v>
      </c>
      <c r="DI336" s="328">
        <f t="shared" si="4"/>
        <v>127200.21</v>
      </c>
      <c r="DJ336" s="328">
        <f t="shared" si="4"/>
        <v>-10</v>
      </c>
      <c r="DK336" s="328">
        <f t="shared" si="4"/>
        <v>0</v>
      </c>
      <c r="DL336" s="328">
        <f t="shared" si="4"/>
        <v>0</v>
      </c>
      <c r="DM336" s="328">
        <f t="shared" si="4"/>
        <v>-10</v>
      </c>
      <c r="DN336" s="328">
        <f t="shared" si="4"/>
        <v>0</v>
      </c>
      <c r="DO336" s="328">
        <f t="shared" si="4"/>
        <v>0</v>
      </c>
      <c r="DP336" s="328">
        <f t="shared" si="4"/>
        <v>1163548</v>
      </c>
      <c r="DQ336" s="328">
        <f t="shared" si="4"/>
        <v>1163548</v>
      </c>
      <c r="DR336" s="328">
        <f t="shared" si="4"/>
        <v>31509</v>
      </c>
      <c r="DS336" s="328">
        <f t="shared" si="4"/>
        <v>0</v>
      </c>
      <c r="DT336" s="328">
        <f t="shared" si="4"/>
        <v>121382</v>
      </c>
      <c r="DU336" s="328">
        <f t="shared" si="4"/>
        <v>152891</v>
      </c>
      <c r="DV336" s="328">
        <f t="shared" si="4"/>
        <v>1394930</v>
      </c>
      <c r="DW336" s="328">
        <f t="shared" si="4"/>
        <v>0</v>
      </c>
      <c r="DX336" s="328">
        <f t="shared" si="4"/>
        <v>6142.36</v>
      </c>
      <c r="DY336" s="328">
        <f t="shared" si="4"/>
        <v>0</v>
      </c>
      <c r="DZ336" s="328">
        <f t="shared" si="4"/>
        <v>0</v>
      </c>
      <c r="EA336" s="328">
        <f t="shared" si="4"/>
        <v>6142.36</v>
      </c>
      <c r="EB336" s="328">
        <f t="shared" si="4"/>
        <v>323623</v>
      </c>
      <c r="EC336" s="328">
        <f t="shared" si="4"/>
        <v>0</v>
      </c>
      <c r="ED336" s="328">
        <f t="shared" si="4"/>
        <v>0</v>
      </c>
      <c r="EE336" s="328">
        <f t="shared" si="5"/>
        <v>323623</v>
      </c>
      <c r="EF336" s="328">
        <f t="shared" si="5"/>
        <v>442985.15</v>
      </c>
      <c r="EG336" s="328">
        <f t="shared" si="5"/>
        <v>0</v>
      </c>
      <c r="EH336" s="328">
        <f t="shared" si="5"/>
        <v>0</v>
      </c>
      <c r="EI336" s="328">
        <f t="shared" si="5"/>
        <v>442985.15</v>
      </c>
      <c r="EJ336" s="328">
        <f t="shared" si="5"/>
        <v>56626.010000000009</v>
      </c>
      <c r="EK336" s="328">
        <f t="shared" si="5"/>
        <v>0</v>
      </c>
      <c r="EL336" s="328">
        <f t="shared" si="5"/>
        <v>0</v>
      </c>
      <c r="EM336" s="328">
        <f t="shared" si="5"/>
        <v>56626.010000000009</v>
      </c>
    </row>
    <row r="337" spans="1:143" x14ac:dyDescent="0.2">
      <c r="A337">
        <v>331</v>
      </c>
      <c r="D337" s="326" t="s">
        <v>794</v>
      </c>
      <c r="E337" s="327" t="s">
        <v>1109</v>
      </c>
      <c r="F337" s="328">
        <f t="shared" si="6"/>
        <v>37559025</v>
      </c>
      <c r="G337" s="328">
        <f t="shared" si="7"/>
        <v>4295</v>
      </c>
      <c r="H337" s="328">
        <f t="shared" si="7"/>
        <v>83504</v>
      </c>
      <c r="I337" s="328">
        <f t="shared" si="7"/>
        <v>37646824</v>
      </c>
      <c r="J337" s="328">
        <f t="shared" si="7"/>
        <v>-11566062.730000002</v>
      </c>
      <c r="K337" s="328">
        <f t="shared" si="7"/>
        <v>0</v>
      </c>
      <c r="L337" s="328">
        <f t="shared" si="7"/>
        <v>-7418.16</v>
      </c>
      <c r="M337" s="328">
        <f t="shared" si="7"/>
        <v>-11573480.890000002</v>
      </c>
      <c r="N337" s="328">
        <f t="shared" si="7"/>
        <v>9463621.0099999998</v>
      </c>
      <c r="O337" s="328">
        <f t="shared" si="7"/>
        <v>38923</v>
      </c>
      <c r="P337" s="328">
        <f t="shared" si="7"/>
        <v>10851.94</v>
      </c>
      <c r="Q337" s="328">
        <f t="shared" si="7"/>
        <v>9513395.9500000011</v>
      </c>
      <c r="R337" s="328">
        <f t="shared" si="7"/>
        <v>22437246.799999997</v>
      </c>
      <c r="S337" s="328">
        <f t="shared" si="7"/>
        <v>0</v>
      </c>
      <c r="T337" s="328">
        <f t="shared" si="7"/>
        <v>409</v>
      </c>
      <c r="U337" s="328">
        <f t="shared" si="7"/>
        <v>22437655.799999997</v>
      </c>
      <c r="V337" s="328">
        <f t="shared" si="7"/>
        <v>230419538.10999992</v>
      </c>
      <c r="W337" s="328">
        <f t="shared" si="7"/>
        <v>197205</v>
      </c>
      <c r="X337" s="328">
        <f t="shared" si="7"/>
        <v>106190.41</v>
      </c>
      <c r="Y337" s="328">
        <f t="shared" si="7"/>
        <v>230722933.51999995</v>
      </c>
      <c r="Z337" s="328">
        <f t="shared" si="7"/>
        <v>12022724.830000002</v>
      </c>
      <c r="AA337" s="328">
        <f t="shared" si="7"/>
        <v>0</v>
      </c>
      <c r="AB337" s="328">
        <f t="shared" si="7"/>
        <v>-2910.06</v>
      </c>
      <c r="AC337" s="328">
        <f t="shared" si="7"/>
        <v>12019814.77</v>
      </c>
      <c r="AD337" s="328">
        <f t="shared" si="7"/>
        <v>90701137.74000001</v>
      </c>
      <c r="AE337" s="328">
        <f t="shared" si="7"/>
        <v>102787</v>
      </c>
      <c r="AF337" s="328">
        <f t="shared" si="7"/>
        <v>295969.65000000002</v>
      </c>
      <c r="AG337" s="328">
        <f t="shared" si="7"/>
        <v>91099894.390000015</v>
      </c>
      <c r="AH337" s="328">
        <f t="shared" si="7"/>
        <v>-538109.70000000007</v>
      </c>
      <c r="AI337" s="328">
        <f t="shared" si="7"/>
        <v>0</v>
      </c>
      <c r="AJ337" s="328">
        <f t="shared" si="7"/>
        <v>-8146.89</v>
      </c>
      <c r="AK337" s="328">
        <f t="shared" si="7"/>
        <v>-546256.58999999985</v>
      </c>
      <c r="AL337" s="328">
        <f t="shared" si="7"/>
        <v>287029358.74999994</v>
      </c>
      <c r="AM337" s="328">
        <f t="shared" si="7"/>
        <v>521703</v>
      </c>
      <c r="AN337" s="328">
        <f t="shared" si="7"/>
        <v>119091.43000000001</v>
      </c>
      <c r="AO337" s="328">
        <f t="shared" si="7"/>
        <v>287670153.17999995</v>
      </c>
      <c r="AP337" s="328">
        <f t="shared" si="7"/>
        <v>-1133262.5900000001</v>
      </c>
      <c r="AQ337" s="328">
        <f t="shared" si="7"/>
        <v>0</v>
      </c>
      <c r="AR337" s="328">
        <f t="shared" si="7"/>
        <v>21911.14</v>
      </c>
      <c r="AS337" s="328">
        <f t="shared" si="7"/>
        <v>-1111351.4500000004</v>
      </c>
      <c r="AT337" s="328">
        <f t="shared" si="7"/>
        <v>3862974.1199999996</v>
      </c>
      <c r="AU337" s="328">
        <f t="shared" si="7"/>
        <v>0</v>
      </c>
      <c r="AV337" s="328">
        <f t="shared" si="7"/>
        <v>0</v>
      </c>
      <c r="AW337" s="328">
        <f t="shared" si="7"/>
        <v>3862974.1199999996</v>
      </c>
      <c r="AX337" s="328">
        <f t="shared" si="7"/>
        <v>6845.16</v>
      </c>
      <c r="AY337" s="328">
        <f t="shared" si="7"/>
        <v>0</v>
      </c>
      <c r="AZ337" s="328">
        <f t="shared" si="7"/>
        <v>0</v>
      </c>
      <c r="BA337" s="328">
        <f t="shared" si="7"/>
        <v>6845.16</v>
      </c>
      <c r="BB337" s="328">
        <f t="shared" si="7"/>
        <v>1403732.87</v>
      </c>
      <c r="BC337" s="328">
        <f t="shared" si="7"/>
        <v>0</v>
      </c>
      <c r="BD337" s="328">
        <f t="shared" si="7"/>
        <v>0</v>
      </c>
      <c r="BE337" s="328">
        <f t="shared" si="7"/>
        <v>1403732.87</v>
      </c>
      <c r="BF337" s="328">
        <f t="shared" si="7"/>
        <v>51000.680000000008</v>
      </c>
      <c r="BG337" s="328">
        <f t="shared" si="7"/>
        <v>0</v>
      </c>
      <c r="BH337" s="328">
        <f t="shared" si="7"/>
        <v>0</v>
      </c>
      <c r="BI337" s="328">
        <f t="shared" si="7"/>
        <v>51000.680000000008</v>
      </c>
      <c r="BJ337" s="328">
        <f t="shared" si="7"/>
        <v>7030934.79</v>
      </c>
      <c r="BK337" s="328">
        <f t="shared" si="7"/>
        <v>7922</v>
      </c>
      <c r="BL337" s="328">
        <f t="shared" si="7"/>
        <v>96634</v>
      </c>
      <c r="BM337" s="328">
        <f t="shared" si="7"/>
        <v>7135490.7899999991</v>
      </c>
      <c r="BN337" s="328">
        <f t="shared" si="7"/>
        <v>2852630.78</v>
      </c>
      <c r="BO337" s="328">
        <f t="shared" si="7"/>
        <v>0</v>
      </c>
      <c r="BP337" s="328">
        <f t="shared" si="7"/>
        <v>0</v>
      </c>
      <c r="BQ337" s="328">
        <f t="shared" si="7"/>
        <v>2852630.78</v>
      </c>
      <c r="BR337" s="328">
        <f t="shared" si="7"/>
        <v>189699283.59000006</v>
      </c>
      <c r="BS337" s="328">
        <f t="shared" si="4"/>
        <v>567331</v>
      </c>
      <c r="BT337" s="328">
        <f t="shared" si="4"/>
        <v>299969.37</v>
      </c>
      <c r="BU337" s="328">
        <f t="shared" si="4"/>
        <v>190566583.96000007</v>
      </c>
      <c r="BV337" s="328">
        <f t="shared" si="4"/>
        <v>-3310418.6</v>
      </c>
      <c r="BW337" s="328">
        <f t="shared" si="4"/>
        <v>0</v>
      </c>
      <c r="BX337" s="328">
        <f t="shared" si="4"/>
        <v>-1100.18</v>
      </c>
      <c r="BY337" s="328">
        <f t="shared" si="4"/>
        <v>-3311518.78</v>
      </c>
      <c r="BZ337" s="328">
        <f t="shared" si="4"/>
        <v>10018582.1</v>
      </c>
      <c r="CA337" s="328">
        <f t="shared" si="4"/>
        <v>1677</v>
      </c>
      <c r="CB337" s="328">
        <f t="shared" si="4"/>
        <v>0</v>
      </c>
      <c r="CC337" s="328">
        <f t="shared" si="4"/>
        <v>10020259.1</v>
      </c>
      <c r="CD337" s="328">
        <f t="shared" si="4"/>
        <v>-113524.40000000001</v>
      </c>
      <c r="CE337" s="328">
        <f t="shared" si="4"/>
        <v>0</v>
      </c>
      <c r="CF337" s="328">
        <f t="shared" si="4"/>
        <v>-185.23</v>
      </c>
      <c r="CG337" s="328">
        <f t="shared" si="4"/>
        <v>-113709.63000000002</v>
      </c>
      <c r="CH337" s="328">
        <f t="shared" si="4"/>
        <v>9309977.6100000013</v>
      </c>
      <c r="CI337" s="328">
        <f t="shared" si="4"/>
        <v>263194</v>
      </c>
      <c r="CJ337" s="328">
        <f t="shared" si="4"/>
        <v>15186</v>
      </c>
      <c r="CK337" s="328">
        <f t="shared" si="4"/>
        <v>9588357.6100000013</v>
      </c>
      <c r="CL337" s="328">
        <f t="shared" si="4"/>
        <v>359050.38999999996</v>
      </c>
      <c r="CM337" s="328">
        <f t="shared" si="4"/>
        <v>0</v>
      </c>
      <c r="CN337" s="328">
        <f t="shared" si="4"/>
        <v>0</v>
      </c>
      <c r="CO337" s="328">
        <f t="shared" si="4"/>
        <v>359050.38999999996</v>
      </c>
      <c r="CP337" s="328">
        <f t="shared" si="4"/>
        <v>284766.76</v>
      </c>
      <c r="CQ337" s="328">
        <f t="shared" si="4"/>
        <v>0</v>
      </c>
      <c r="CR337" s="328">
        <f t="shared" si="4"/>
        <v>0</v>
      </c>
      <c r="CS337" s="328">
        <f t="shared" si="4"/>
        <v>284766.76</v>
      </c>
      <c r="CT337" s="328">
        <f t="shared" si="4"/>
        <v>5826.1299999999992</v>
      </c>
      <c r="CU337" s="328">
        <f t="shared" si="4"/>
        <v>0</v>
      </c>
      <c r="CV337" s="328">
        <f t="shared" si="4"/>
        <v>0</v>
      </c>
      <c r="CW337" s="328">
        <f t="shared" si="4"/>
        <v>5826.1299999999992</v>
      </c>
      <c r="CX337" s="328">
        <f t="shared" si="4"/>
        <v>816830.84</v>
      </c>
      <c r="CY337" s="328">
        <f t="shared" si="4"/>
        <v>0</v>
      </c>
      <c r="CZ337" s="328">
        <f t="shared" si="4"/>
        <v>0</v>
      </c>
      <c r="DA337" s="328">
        <f t="shared" si="4"/>
        <v>816830.84</v>
      </c>
      <c r="DB337" s="328">
        <f t="shared" si="4"/>
        <v>34925.450000000004</v>
      </c>
      <c r="DC337" s="328">
        <f t="shared" si="4"/>
        <v>0</v>
      </c>
      <c r="DD337" s="328">
        <f t="shared" si="4"/>
        <v>0</v>
      </c>
      <c r="DE337" s="328">
        <f t="shared" si="4"/>
        <v>34925.450000000004</v>
      </c>
      <c r="DF337" s="328">
        <f t="shared" si="4"/>
        <v>435919.77999999997</v>
      </c>
      <c r="DG337" s="328">
        <f t="shared" si="4"/>
        <v>0</v>
      </c>
      <c r="DH337" s="328">
        <f t="shared" si="4"/>
        <v>0</v>
      </c>
      <c r="DI337" s="328">
        <f t="shared" si="4"/>
        <v>435919.77999999997</v>
      </c>
      <c r="DJ337" s="328">
        <f t="shared" si="4"/>
        <v>-4663.7000000000007</v>
      </c>
      <c r="DK337" s="328">
        <f t="shared" si="4"/>
        <v>0</v>
      </c>
      <c r="DL337" s="328">
        <f t="shared" si="4"/>
        <v>0</v>
      </c>
      <c r="DM337" s="328">
        <f t="shared" si="4"/>
        <v>-4663.7000000000007</v>
      </c>
      <c r="DN337" s="328">
        <f t="shared" si="4"/>
        <v>369685.38</v>
      </c>
      <c r="DO337" s="328">
        <f t="shared" si="4"/>
        <v>0</v>
      </c>
      <c r="DP337" s="328">
        <f t="shared" si="4"/>
        <v>920155.51</v>
      </c>
      <c r="DQ337" s="328">
        <f t="shared" si="4"/>
        <v>1289840.8899999999</v>
      </c>
      <c r="DR337" s="328">
        <f t="shared" si="4"/>
        <v>56071.5</v>
      </c>
      <c r="DS337" s="328">
        <f t="shared" si="4"/>
        <v>0</v>
      </c>
      <c r="DT337" s="328">
        <f t="shared" si="4"/>
        <v>8292.35</v>
      </c>
      <c r="DU337" s="328">
        <f t="shared" si="4"/>
        <v>64363.85</v>
      </c>
      <c r="DV337" s="328">
        <f t="shared" si="4"/>
        <v>858525.34</v>
      </c>
      <c r="DW337" s="328">
        <f t="shared" si="4"/>
        <v>250782</v>
      </c>
      <c r="DX337" s="328">
        <f t="shared" si="4"/>
        <v>78979</v>
      </c>
      <c r="DY337" s="328">
        <f t="shared" si="4"/>
        <v>0</v>
      </c>
      <c r="DZ337" s="328">
        <f t="shared" si="4"/>
        <v>0</v>
      </c>
      <c r="EA337" s="328">
        <f t="shared" si="4"/>
        <v>78979</v>
      </c>
      <c r="EB337" s="328">
        <f t="shared" si="4"/>
        <v>1682546.5799999998</v>
      </c>
      <c r="EC337" s="328">
        <f t="shared" si="4"/>
        <v>0</v>
      </c>
      <c r="ED337" s="328">
        <f t="shared" ref="ED337:EM338" si="8">SUMIF($C$7:$C$332,$D337,ED$7:ED$333)</f>
        <v>0</v>
      </c>
      <c r="EE337" s="328">
        <f t="shared" si="8"/>
        <v>1682546.5799999998</v>
      </c>
      <c r="EF337" s="328">
        <f t="shared" si="8"/>
        <v>1364223.5199999998</v>
      </c>
      <c r="EG337" s="328">
        <f t="shared" si="8"/>
        <v>0</v>
      </c>
      <c r="EH337" s="328">
        <f t="shared" si="8"/>
        <v>0</v>
      </c>
      <c r="EI337" s="328">
        <f t="shared" si="8"/>
        <v>1364223.5199999998</v>
      </c>
      <c r="EJ337" s="328">
        <f t="shared" si="8"/>
        <v>58837.280000000006</v>
      </c>
      <c r="EK337" s="328">
        <f t="shared" si="8"/>
        <v>0</v>
      </c>
      <c r="EL337" s="328">
        <f t="shared" si="8"/>
        <v>0</v>
      </c>
      <c r="EM337" s="328">
        <f t="shared" si="8"/>
        <v>58837.280000000006</v>
      </c>
    </row>
    <row r="338" spans="1:143" x14ac:dyDescent="0.2">
      <c r="A338">
        <v>332</v>
      </c>
      <c r="D338" s="326" t="s">
        <v>1093</v>
      </c>
      <c r="E338" s="327" t="s">
        <v>1110</v>
      </c>
      <c r="F338" s="328">
        <f t="shared" si="6"/>
        <v>77257717.669999987</v>
      </c>
      <c r="G338" s="328">
        <f t="shared" si="7"/>
        <v>0</v>
      </c>
      <c r="H338" s="328">
        <f t="shared" si="7"/>
        <v>28520.639999999999</v>
      </c>
      <c r="I338" s="328">
        <f t="shared" si="7"/>
        <v>77286238.309999987</v>
      </c>
      <c r="J338" s="328">
        <f t="shared" si="7"/>
        <v>-22104428.879999992</v>
      </c>
      <c r="K338" s="328">
        <f t="shared" si="7"/>
        <v>0</v>
      </c>
      <c r="L338" s="328">
        <f t="shared" si="7"/>
        <v>911.29</v>
      </c>
      <c r="M338" s="328">
        <f t="shared" si="7"/>
        <v>-22103517.589999992</v>
      </c>
      <c r="N338" s="328">
        <f t="shared" si="7"/>
        <v>11528677.190000001</v>
      </c>
      <c r="O338" s="328">
        <f t="shared" si="7"/>
        <v>0</v>
      </c>
      <c r="P338" s="328">
        <f t="shared" si="7"/>
        <v>-43321.56</v>
      </c>
      <c r="Q338" s="328">
        <f t="shared" si="7"/>
        <v>11485355.630000003</v>
      </c>
      <c r="R338" s="328">
        <f t="shared" si="7"/>
        <v>23288495.129999999</v>
      </c>
      <c r="S338" s="328">
        <f t="shared" si="7"/>
        <v>0</v>
      </c>
      <c r="T338" s="328">
        <f t="shared" si="7"/>
        <v>67688.740000000005</v>
      </c>
      <c r="U338" s="328">
        <f t="shared" si="7"/>
        <v>23356183.869999997</v>
      </c>
      <c r="V338" s="328">
        <f t="shared" si="7"/>
        <v>417365155.54000002</v>
      </c>
      <c r="W338" s="328">
        <f t="shared" si="7"/>
        <v>0</v>
      </c>
      <c r="X338" s="328">
        <f t="shared" si="7"/>
        <v>161022.54999999999</v>
      </c>
      <c r="Y338" s="328">
        <f t="shared" si="7"/>
        <v>417526178.08999997</v>
      </c>
      <c r="Z338" s="328">
        <f t="shared" si="7"/>
        <v>20078045.829999998</v>
      </c>
      <c r="AA338" s="328">
        <f t="shared" si="7"/>
        <v>0</v>
      </c>
      <c r="AB338" s="328">
        <f t="shared" si="7"/>
        <v>311.5</v>
      </c>
      <c r="AC338" s="328">
        <f t="shared" si="7"/>
        <v>20078357.329999998</v>
      </c>
      <c r="AD338" s="328">
        <f t="shared" si="7"/>
        <v>143507818.16999999</v>
      </c>
      <c r="AE338" s="328">
        <f t="shared" si="7"/>
        <v>0</v>
      </c>
      <c r="AF338" s="328">
        <f t="shared" si="7"/>
        <v>262736.38</v>
      </c>
      <c r="AG338" s="328">
        <f t="shared" si="7"/>
        <v>143770554.54999998</v>
      </c>
      <c r="AH338" s="328">
        <f t="shared" si="7"/>
        <v>-1363703.6399999997</v>
      </c>
      <c r="AI338" s="328">
        <f t="shared" si="7"/>
        <v>0</v>
      </c>
      <c r="AJ338" s="328">
        <f t="shared" si="7"/>
        <v>-5079.95</v>
      </c>
      <c r="AK338" s="328">
        <f t="shared" si="7"/>
        <v>-1368783.5899999996</v>
      </c>
      <c r="AL338" s="328">
        <f t="shared" si="7"/>
        <v>481229711.82999998</v>
      </c>
      <c r="AM338" s="328">
        <f t="shared" si="7"/>
        <v>0</v>
      </c>
      <c r="AN338" s="328">
        <f t="shared" si="7"/>
        <v>152778.9</v>
      </c>
      <c r="AO338" s="328">
        <f t="shared" si="7"/>
        <v>481382490.73000002</v>
      </c>
      <c r="AP338" s="328">
        <f t="shared" si="7"/>
        <v>6157830.7000000011</v>
      </c>
      <c r="AQ338" s="328">
        <f t="shared" si="7"/>
        <v>0</v>
      </c>
      <c r="AR338" s="328">
        <f t="shared" si="7"/>
        <v>78</v>
      </c>
      <c r="AS338" s="328">
        <f t="shared" si="7"/>
        <v>6157908.7000000011</v>
      </c>
      <c r="AT338" s="328">
        <f t="shared" si="7"/>
        <v>9336165.9699999988</v>
      </c>
      <c r="AU338" s="328">
        <f t="shared" si="7"/>
        <v>0</v>
      </c>
      <c r="AV338" s="328">
        <f t="shared" si="7"/>
        <v>0</v>
      </c>
      <c r="AW338" s="328">
        <f t="shared" si="7"/>
        <v>9336165.9699999988</v>
      </c>
      <c r="AX338" s="328">
        <f t="shared" si="7"/>
        <v>73067.969999999987</v>
      </c>
      <c r="AY338" s="328">
        <f t="shared" si="7"/>
        <v>0</v>
      </c>
      <c r="AZ338" s="328">
        <f t="shared" si="7"/>
        <v>0</v>
      </c>
      <c r="BA338" s="328">
        <f t="shared" si="7"/>
        <v>73067.969999999987</v>
      </c>
      <c r="BB338" s="328">
        <f t="shared" si="7"/>
        <v>4489250.45</v>
      </c>
      <c r="BC338" s="328">
        <f t="shared" si="7"/>
        <v>0</v>
      </c>
      <c r="BD338" s="328">
        <f t="shared" si="7"/>
        <v>661</v>
      </c>
      <c r="BE338" s="328">
        <f t="shared" si="7"/>
        <v>4489911.45</v>
      </c>
      <c r="BF338" s="328">
        <f t="shared" si="7"/>
        <v>140001.13</v>
      </c>
      <c r="BG338" s="328">
        <f t="shared" si="7"/>
        <v>0</v>
      </c>
      <c r="BH338" s="328">
        <f t="shared" si="7"/>
        <v>0</v>
      </c>
      <c r="BI338" s="328">
        <f t="shared" si="7"/>
        <v>140001.13</v>
      </c>
      <c r="BJ338" s="328">
        <f t="shared" si="7"/>
        <v>12880368.240000002</v>
      </c>
      <c r="BK338" s="328">
        <f t="shared" si="7"/>
        <v>0</v>
      </c>
      <c r="BL338" s="328">
        <f t="shared" si="7"/>
        <v>137610.88</v>
      </c>
      <c r="BM338" s="328">
        <f t="shared" si="7"/>
        <v>13017979.120000001</v>
      </c>
      <c r="BN338" s="328">
        <f t="shared" si="7"/>
        <v>2178041.9499999997</v>
      </c>
      <c r="BO338" s="328">
        <f t="shared" si="7"/>
        <v>0</v>
      </c>
      <c r="BP338" s="328">
        <f t="shared" si="7"/>
        <v>6369.53</v>
      </c>
      <c r="BQ338" s="328">
        <f t="shared" si="7"/>
        <v>2184411.48</v>
      </c>
      <c r="BR338" s="328">
        <f t="shared" si="7"/>
        <v>263941280.05000001</v>
      </c>
      <c r="BS338" s="328">
        <f t="shared" ref="BS338:ED338" si="9">SUMIF($C$7:$C$332,$D338,BS$7:BS$333)</f>
        <v>0</v>
      </c>
      <c r="BT338" s="328">
        <f t="shared" si="9"/>
        <v>1701474.3399999999</v>
      </c>
      <c r="BU338" s="328">
        <f t="shared" si="9"/>
        <v>265642754.38999996</v>
      </c>
      <c r="BV338" s="328">
        <f t="shared" si="9"/>
        <v>3230966.3199999975</v>
      </c>
      <c r="BW338" s="328">
        <f t="shared" si="9"/>
        <v>0</v>
      </c>
      <c r="BX338" s="328">
        <f t="shared" si="9"/>
        <v>-28353.660000000003</v>
      </c>
      <c r="BY338" s="328">
        <f t="shared" si="9"/>
        <v>3202612.6599999992</v>
      </c>
      <c r="BZ338" s="328">
        <f t="shared" si="9"/>
        <v>15915870.459999997</v>
      </c>
      <c r="CA338" s="328">
        <f t="shared" si="9"/>
        <v>0</v>
      </c>
      <c r="CB338" s="328">
        <f t="shared" si="9"/>
        <v>16987.800000000003</v>
      </c>
      <c r="CC338" s="328">
        <f t="shared" si="9"/>
        <v>15932858.259999996</v>
      </c>
      <c r="CD338" s="328">
        <f t="shared" si="9"/>
        <v>128978.25999999997</v>
      </c>
      <c r="CE338" s="328">
        <f t="shared" si="9"/>
        <v>0</v>
      </c>
      <c r="CF338" s="328">
        <f t="shared" si="9"/>
        <v>20</v>
      </c>
      <c r="CG338" s="328">
        <f t="shared" si="9"/>
        <v>128998.25999999997</v>
      </c>
      <c r="CH338" s="328">
        <f t="shared" si="9"/>
        <v>12821290.259999998</v>
      </c>
      <c r="CI338" s="328">
        <f t="shared" si="9"/>
        <v>0</v>
      </c>
      <c r="CJ338" s="328">
        <f t="shared" si="9"/>
        <v>37079</v>
      </c>
      <c r="CK338" s="328">
        <f t="shared" si="9"/>
        <v>12858369.259999998</v>
      </c>
      <c r="CL338" s="328">
        <f t="shared" si="9"/>
        <v>-81609.670000000013</v>
      </c>
      <c r="CM338" s="328">
        <f t="shared" si="9"/>
        <v>0</v>
      </c>
      <c r="CN338" s="328">
        <f t="shared" si="9"/>
        <v>0</v>
      </c>
      <c r="CO338" s="328">
        <f t="shared" si="9"/>
        <v>-81609.670000000013</v>
      </c>
      <c r="CP338" s="328">
        <f t="shared" si="9"/>
        <v>495187.82999999996</v>
      </c>
      <c r="CQ338" s="328">
        <f t="shared" si="9"/>
        <v>0</v>
      </c>
      <c r="CR338" s="328">
        <f t="shared" si="9"/>
        <v>0</v>
      </c>
      <c r="CS338" s="328">
        <f t="shared" si="9"/>
        <v>495187.82999999996</v>
      </c>
      <c r="CT338" s="328">
        <f t="shared" si="9"/>
        <v>5456.32</v>
      </c>
      <c r="CU338" s="328">
        <f t="shared" si="9"/>
        <v>0</v>
      </c>
      <c r="CV338" s="328">
        <f t="shared" si="9"/>
        <v>0</v>
      </c>
      <c r="CW338" s="328">
        <f t="shared" si="9"/>
        <v>5456.32</v>
      </c>
      <c r="CX338" s="328">
        <f t="shared" si="9"/>
        <v>2183137.6799999997</v>
      </c>
      <c r="CY338" s="328">
        <f t="shared" si="9"/>
        <v>0</v>
      </c>
      <c r="CZ338" s="328">
        <f t="shared" si="9"/>
        <v>661</v>
      </c>
      <c r="DA338" s="328">
        <f t="shared" si="9"/>
        <v>2183798.6799999997</v>
      </c>
      <c r="DB338" s="328">
        <f t="shared" si="9"/>
        <v>20525.849999999995</v>
      </c>
      <c r="DC338" s="328">
        <f t="shared" si="9"/>
        <v>0</v>
      </c>
      <c r="DD338" s="328">
        <f t="shared" si="9"/>
        <v>0</v>
      </c>
      <c r="DE338" s="328">
        <f t="shared" si="9"/>
        <v>20525.849999999995</v>
      </c>
      <c r="DF338" s="328">
        <f t="shared" si="9"/>
        <v>1139226.6100000001</v>
      </c>
      <c r="DG338" s="328">
        <f t="shared" si="9"/>
        <v>0</v>
      </c>
      <c r="DH338" s="328">
        <f t="shared" si="9"/>
        <v>0</v>
      </c>
      <c r="DI338" s="328">
        <f t="shared" si="9"/>
        <v>1139226.6100000001</v>
      </c>
      <c r="DJ338" s="328">
        <f t="shared" si="9"/>
        <v>169285.11</v>
      </c>
      <c r="DK338" s="328">
        <f t="shared" si="9"/>
        <v>0</v>
      </c>
      <c r="DL338" s="328">
        <f t="shared" si="9"/>
        <v>0</v>
      </c>
      <c r="DM338" s="328">
        <f t="shared" si="9"/>
        <v>169285.11</v>
      </c>
      <c r="DN338" s="328">
        <f t="shared" si="9"/>
        <v>1686416.06</v>
      </c>
      <c r="DO338" s="328">
        <f t="shared" si="9"/>
        <v>0</v>
      </c>
      <c r="DP338" s="328">
        <f t="shared" si="9"/>
        <v>3155188.16</v>
      </c>
      <c r="DQ338" s="328">
        <f t="shared" si="9"/>
        <v>4841604.2200000007</v>
      </c>
      <c r="DR338" s="328">
        <f t="shared" si="9"/>
        <v>320458.32</v>
      </c>
      <c r="DS338" s="328">
        <f t="shared" si="9"/>
        <v>0</v>
      </c>
      <c r="DT338" s="328">
        <f t="shared" si="9"/>
        <v>344024</v>
      </c>
      <c r="DU338" s="328">
        <f t="shared" si="9"/>
        <v>664482.32000000007</v>
      </c>
      <c r="DV338" s="328">
        <f t="shared" si="9"/>
        <v>3486612.34</v>
      </c>
      <c r="DW338" s="328">
        <f t="shared" si="9"/>
        <v>1741479.88</v>
      </c>
      <c r="DX338" s="328">
        <f t="shared" si="9"/>
        <v>405875.75</v>
      </c>
      <c r="DY338" s="328">
        <f t="shared" si="9"/>
        <v>0</v>
      </c>
      <c r="DZ338" s="328">
        <f t="shared" si="9"/>
        <v>0</v>
      </c>
      <c r="EA338" s="328">
        <f t="shared" si="9"/>
        <v>405875.75</v>
      </c>
      <c r="EB338" s="328">
        <f t="shared" si="9"/>
        <v>1193189.1600000001</v>
      </c>
      <c r="EC338" s="328">
        <f t="shared" si="9"/>
        <v>0</v>
      </c>
      <c r="ED338" s="328">
        <f t="shared" si="9"/>
        <v>0</v>
      </c>
      <c r="EE338" s="328">
        <f t="shared" si="8"/>
        <v>1193189.1600000001</v>
      </c>
      <c r="EF338" s="328">
        <f t="shared" si="8"/>
        <v>1085402.5900000001</v>
      </c>
      <c r="EG338" s="328">
        <f t="shared" si="8"/>
        <v>0</v>
      </c>
      <c r="EH338" s="328">
        <f t="shared" si="8"/>
        <v>0</v>
      </c>
      <c r="EI338" s="328">
        <f t="shared" si="8"/>
        <v>1085402.5900000001</v>
      </c>
      <c r="EJ338" s="328">
        <f t="shared" si="8"/>
        <v>60957.36</v>
      </c>
      <c r="EK338" s="328">
        <f t="shared" si="8"/>
        <v>0</v>
      </c>
      <c r="EL338" s="328">
        <f t="shared" si="8"/>
        <v>0</v>
      </c>
      <c r="EM338" s="328">
        <f t="shared" si="8"/>
        <v>60957.36</v>
      </c>
    </row>
    <row r="339" spans="1:143" x14ac:dyDescent="0.2">
      <c r="F339" s="328"/>
      <c r="G339" s="328"/>
      <c r="H339" s="328"/>
      <c r="I339" s="328"/>
      <c r="J339" s="328"/>
      <c r="K339" s="328"/>
      <c r="L339" s="328"/>
      <c r="M339" s="328"/>
      <c r="N339" s="328"/>
      <c r="O339" s="328"/>
      <c r="P339" s="328"/>
      <c r="Q339" s="328"/>
      <c r="R339" s="328"/>
      <c r="S339" s="328"/>
      <c r="T339" s="328"/>
      <c r="U339" s="328"/>
      <c r="V339" s="328"/>
      <c r="W339" s="328"/>
      <c r="X339" s="328"/>
      <c r="Y339" s="328"/>
      <c r="Z339" s="328"/>
      <c r="AA339" s="328"/>
      <c r="AB339" s="328"/>
      <c r="AC339" s="328"/>
      <c r="AD339" s="328"/>
      <c r="AE339" s="328"/>
      <c r="AF339" s="328"/>
      <c r="AG339" s="328"/>
      <c r="AH339" s="328"/>
      <c r="AI339" s="328"/>
      <c r="AJ339" s="328"/>
      <c r="AK339" s="328"/>
      <c r="AL339" s="328"/>
      <c r="AM339" s="328"/>
      <c r="AN339" s="328"/>
      <c r="AO339" s="328"/>
      <c r="AP339" s="328"/>
      <c r="AQ339" s="328"/>
      <c r="AR339" s="328"/>
      <c r="AS339" s="328"/>
      <c r="AT339" s="328"/>
      <c r="AU339" s="328"/>
      <c r="AV339" s="328"/>
      <c r="AW339" s="328"/>
      <c r="AX339" s="328"/>
      <c r="AY339" s="328"/>
      <c r="AZ339" s="328"/>
      <c r="BA339" s="328"/>
      <c r="BB339" s="328"/>
      <c r="BC339" s="328"/>
      <c r="BD339" s="328"/>
      <c r="BE339" s="328"/>
      <c r="BF339" s="328"/>
      <c r="BG339" s="328"/>
      <c r="BH339" s="328"/>
      <c r="BI339" s="328"/>
      <c r="BJ339" s="328"/>
      <c r="BK339" s="328"/>
      <c r="BL339" s="328"/>
      <c r="BM339" s="328"/>
      <c r="BN339" s="328"/>
      <c r="BO339" s="328"/>
      <c r="BP339" s="328"/>
      <c r="BQ339" s="328"/>
      <c r="BR339" s="328"/>
      <c r="BS339" s="328"/>
      <c r="BT339" s="328"/>
      <c r="BU339" s="328"/>
      <c r="BV339" s="328"/>
      <c r="BW339" s="328"/>
      <c r="BX339" s="328"/>
      <c r="BY339" s="328"/>
      <c r="BZ339" s="328"/>
      <c r="CA339" s="328"/>
      <c r="CB339" s="328"/>
      <c r="CC339" s="328"/>
      <c r="CD339" s="328"/>
      <c r="CE339" s="328"/>
      <c r="CF339" s="328"/>
      <c r="CG339" s="328"/>
      <c r="CH339" s="328"/>
      <c r="CI339" s="328"/>
      <c r="CJ339" s="328"/>
      <c r="CK339" s="328"/>
      <c r="CL339" s="328"/>
      <c r="CM339" s="328"/>
      <c r="CN339" s="328"/>
      <c r="CO339" s="328"/>
      <c r="CP339" s="328"/>
      <c r="CQ339" s="328"/>
      <c r="CR339" s="328"/>
      <c r="CS339" s="328"/>
      <c r="CT339" s="328"/>
      <c r="CU339" s="328"/>
      <c r="CV339" s="328"/>
      <c r="CW339" s="328"/>
      <c r="CX339" s="328"/>
      <c r="CY339" s="328"/>
      <c r="CZ339" s="328"/>
      <c r="DA339" s="328"/>
      <c r="DB339" s="328"/>
      <c r="DC339" s="328"/>
      <c r="DD339" s="328"/>
      <c r="DE339" s="328"/>
      <c r="DF339" s="328"/>
      <c r="DG339" s="328"/>
      <c r="DH339" s="328"/>
      <c r="DI339" s="328"/>
      <c r="DJ339" s="328"/>
      <c r="DK339" s="328"/>
      <c r="DL339" s="328"/>
      <c r="DM339" s="328"/>
      <c r="DN339" s="328"/>
      <c r="DO339" s="328"/>
      <c r="DP339" s="328"/>
      <c r="DQ339" s="328"/>
      <c r="DR339" s="328"/>
      <c r="DS339" s="328"/>
      <c r="DT339" s="328"/>
      <c r="DU339" s="328"/>
      <c r="DV339" s="328"/>
      <c r="DW339" s="328"/>
      <c r="DX339" s="328"/>
      <c r="DY339" s="328"/>
      <c r="DZ339" s="328"/>
      <c r="EA339" s="328"/>
      <c r="EB339" s="328"/>
      <c r="EC339" s="328"/>
      <c r="ED339" s="328"/>
      <c r="EE339" s="328"/>
      <c r="EF339" s="328"/>
      <c r="EG339" s="328"/>
      <c r="EH339" s="328"/>
      <c r="EI339" s="328"/>
      <c r="EJ339" s="328"/>
      <c r="EK339" s="328"/>
      <c r="EL339" s="328"/>
      <c r="EM339" s="328"/>
    </row>
    <row r="340" spans="1:143" x14ac:dyDescent="0.2">
      <c r="F340" s="344"/>
      <c r="G340" s="344"/>
      <c r="H340" s="344"/>
      <c r="I340" s="344"/>
      <c r="J340" s="344"/>
      <c r="K340" s="344"/>
      <c r="L340" s="344"/>
      <c r="M340" s="344"/>
      <c r="N340" s="344"/>
      <c r="O340" s="344"/>
      <c r="P340" s="344"/>
      <c r="Q340" s="344"/>
      <c r="R340" s="344"/>
      <c r="S340" s="344"/>
      <c r="T340" s="344"/>
      <c r="U340" s="344"/>
      <c r="V340" s="344"/>
      <c r="W340" s="344"/>
      <c r="X340" s="344"/>
      <c r="Y340" s="344"/>
      <c r="Z340" s="344"/>
      <c r="AA340" s="344"/>
      <c r="AB340" s="344"/>
      <c r="AC340" s="344"/>
      <c r="AD340" s="344"/>
      <c r="AE340" s="344"/>
      <c r="AF340" s="344"/>
      <c r="AG340" s="344"/>
      <c r="AH340" s="344"/>
      <c r="AI340" s="344"/>
      <c r="AJ340" s="344"/>
      <c r="AK340" s="344"/>
      <c r="AL340" s="344"/>
      <c r="AM340" s="344"/>
      <c r="AN340" s="344"/>
      <c r="AO340" s="344"/>
      <c r="AP340" s="344"/>
      <c r="AQ340" s="344"/>
      <c r="AR340" s="344"/>
      <c r="AS340" s="344"/>
      <c r="AT340" s="344"/>
      <c r="AU340" s="344"/>
      <c r="AV340" s="344"/>
      <c r="AW340" s="344"/>
      <c r="AX340" s="344"/>
      <c r="AY340" s="344"/>
      <c r="AZ340" s="344"/>
      <c r="BA340" s="344"/>
      <c r="BB340" s="344"/>
      <c r="BC340" s="344"/>
      <c r="BD340" s="344"/>
      <c r="BE340" s="344"/>
      <c r="BF340" s="344"/>
      <c r="BG340" s="344"/>
      <c r="BH340" s="344"/>
      <c r="BI340" s="344"/>
      <c r="BJ340" s="344"/>
      <c r="BK340" s="344"/>
      <c r="BL340" s="344"/>
      <c r="BM340" s="344"/>
      <c r="BN340" s="344"/>
      <c r="BO340" s="344"/>
      <c r="BP340" s="344"/>
      <c r="BQ340" s="344"/>
      <c r="BR340" s="344"/>
      <c r="BS340" s="344"/>
      <c r="BT340" s="344"/>
      <c r="BU340" s="344"/>
      <c r="BV340" s="344"/>
      <c r="BW340" s="344"/>
      <c r="BX340" s="344"/>
      <c r="BY340" s="344"/>
      <c r="BZ340" s="344"/>
      <c r="CA340" s="344"/>
      <c r="CB340" s="344"/>
      <c r="CC340" s="344"/>
      <c r="CD340" s="344"/>
      <c r="CE340" s="344"/>
      <c r="CF340" s="344"/>
      <c r="CG340" s="344"/>
      <c r="CH340" s="344"/>
      <c r="CI340" s="344"/>
      <c r="CJ340" s="344"/>
      <c r="CK340" s="344"/>
      <c r="CL340" s="344"/>
      <c r="CM340" s="344"/>
      <c r="CN340" s="344"/>
      <c r="CO340" s="344"/>
      <c r="CP340" s="344"/>
      <c r="CQ340" s="344"/>
      <c r="CR340" s="344"/>
      <c r="CS340" s="344"/>
      <c r="CT340" s="344"/>
      <c r="CU340" s="344"/>
      <c r="CV340" s="344"/>
      <c r="CW340" s="344"/>
      <c r="CX340" s="344"/>
      <c r="CY340" s="344"/>
      <c r="CZ340" s="344"/>
      <c r="DA340" s="344"/>
      <c r="DB340" s="344"/>
      <c r="DC340" s="344"/>
      <c r="DD340" s="344"/>
      <c r="DE340" s="344"/>
      <c r="DF340" s="344"/>
      <c r="DG340" s="344"/>
      <c r="DH340" s="344"/>
      <c r="DI340" s="344"/>
      <c r="DJ340" s="344"/>
      <c r="DK340" s="344"/>
      <c r="DL340" s="344"/>
      <c r="DM340" s="344"/>
      <c r="DN340" s="344"/>
      <c r="DO340" s="344"/>
      <c r="DP340" s="344"/>
      <c r="DQ340" s="344"/>
      <c r="DR340" s="344"/>
      <c r="DS340" s="344"/>
      <c r="DT340" s="344"/>
      <c r="DU340" s="344"/>
      <c r="DV340" s="344"/>
      <c r="DW340" s="344"/>
      <c r="DX340" s="344"/>
      <c r="DY340" s="344"/>
      <c r="DZ340" s="344"/>
      <c r="EA340" s="344"/>
      <c r="EB340" s="344"/>
      <c r="EC340" s="344"/>
      <c r="ED340" s="344"/>
      <c r="EE340" s="344"/>
      <c r="EF340" s="344"/>
      <c r="EG340" s="344"/>
      <c r="EH340" s="344"/>
      <c r="EI340" s="344"/>
      <c r="EJ340" s="344"/>
      <c r="EK340" s="344"/>
      <c r="EL340" s="344"/>
      <c r="EM340" s="344"/>
    </row>
    <row r="353" customFormat="1" ht="12.75" x14ac:dyDescent="0.2"/>
    <row r="354" customFormat="1" ht="12.75" x14ac:dyDescent="0.2"/>
    <row r="355" customFormat="1" ht="12.75" x14ac:dyDescent="0.2"/>
    <row r="356" customFormat="1" ht="12.75" x14ac:dyDescent="0.2"/>
    <row r="357" customFormat="1" ht="12.75" x14ac:dyDescent="0.2"/>
  </sheetData>
  <autoFilter ref="A6:EM338"/>
  <mergeCells count="35">
    <mergeCell ref="DV1:DW1"/>
    <mergeCell ref="DX1:EA1"/>
    <mergeCell ref="EB1:EE1"/>
    <mergeCell ref="EF1:EI1"/>
    <mergeCell ref="EJ1:EM1"/>
    <mergeCell ref="DB1:DE1"/>
    <mergeCell ref="DF1:DI1"/>
    <mergeCell ref="DJ1:DM1"/>
    <mergeCell ref="DN1:DQ1"/>
    <mergeCell ref="DR1:DU1"/>
    <mergeCell ref="CH1:CK1"/>
    <mergeCell ref="CL1:CO1"/>
    <mergeCell ref="CP1:CS1"/>
    <mergeCell ref="CT1:CW1"/>
    <mergeCell ref="CX1:DA1"/>
    <mergeCell ref="BN1:BQ1"/>
    <mergeCell ref="BR1:BU1"/>
    <mergeCell ref="BV1:BY1"/>
    <mergeCell ref="BZ1:CC1"/>
    <mergeCell ref="CD1:CG1"/>
    <mergeCell ref="AT1:AW1"/>
    <mergeCell ref="AX1:BA1"/>
    <mergeCell ref="BB1:BE1"/>
    <mergeCell ref="BF1:BI1"/>
    <mergeCell ref="BJ1:BM1"/>
    <mergeCell ref="Z1:AC1"/>
    <mergeCell ref="AD1:AG1"/>
    <mergeCell ref="AH1:AK1"/>
    <mergeCell ref="AL1:AO1"/>
    <mergeCell ref="AP1:AS1"/>
    <mergeCell ref="F1:I1"/>
    <mergeCell ref="J1:M1"/>
    <mergeCell ref="N1:Q1"/>
    <mergeCell ref="R1:U1"/>
    <mergeCell ref="V1:Y1"/>
  </mergeCells>
  <phoneticPr fontId="4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9F308FBB-B566-4902-B664-F5911DC68DC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Part 1</vt:lpstr>
      <vt:lpstr>Part 2</vt:lpstr>
      <vt:lpstr>Part 3</vt:lpstr>
      <vt:lpstr>Part 4</vt:lpstr>
      <vt:lpstr>Part 5</vt:lpstr>
      <vt:lpstr>Data</vt:lpstr>
      <vt:lpstr>Datasheet1</vt:lpstr>
      <vt:lpstr>Datasheet2</vt:lpstr>
      <vt:lpstr>Datasheet3</vt:lpstr>
      <vt:lpstr>Datasheet4</vt:lpstr>
      <vt:lpstr>Datasheet5</vt:lpstr>
      <vt:lpstr>Sheet1</vt:lpstr>
      <vt:lpstr>datar</vt:lpstr>
      <vt:lpstr>Part1</vt:lpstr>
      <vt:lpstr>Part2</vt:lpstr>
      <vt:lpstr>Part3</vt:lpstr>
      <vt:lpstr>Part4</vt:lpstr>
      <vt:lpstr>Part5</vt:lpstr>
      <vt:lpstr>'Part 2'!Print_Area</vt:lpstr>
      <vt:lpstr>'Part 3'!Print_Area</vt:lpstr>
      <vt:lpstr>'Part 4'!Print_Area</vt:lpstr>
      <vt:lpstr>'Part 5'!Print_Area</vt:lpstr>
      <vt:lpstr>Data!Print_Titles</vt:lpstr>
      <vt:lpstr>'Part 1'!Print_Titles</vt:lpstr>
      <vt:lpstr>'Part 2'!Print_Titles</vt:lpstr>
      <vt:lpstr>'Part 3'!Print_Titles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Nigel Harrison</cp:lastModifiedBy>
  <cp:lastPrinted>2014-12-02T11:21:59Z</cp:lastPrinted>
  <dcterms:created xsi:type="dcterms:W3CDTF">2013-07-12T16:47:25Z</dcterms:created>
  <dcterms:modified xsi:type="dcterms:W3CDTF">2017-03-28T16:28:25Z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ca51a95f-3c56-4fd6-a4ee-8b01fe352c24</vt:lpwstr>
  </property>
  <property fmtid="{D5CDD505-2E9C-101B-9397-08002B2CF9AE}" pid="3" name="bjSaver">
    <vt:lpwstr>XePHT1A/4MVOnNF8mnysHX9hPqgb2QQL</vt:lpwstr>
  </property>
  <property fmtid="{D5CDD505-2E9C-101B-9397-08002B2CF9AE}" pid="4" name="bjDocumentSecurityLabel">
    <vt:lpwstr>No Marking</vt:lpwstr>
  </property>
</Properties>
</file>