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ds.ntnl\Shared\Brite\Data and Intelligence\Data\$ Waste Data 2016\Tables\Regions\"/>
    </mc:Choice>
  </mc:AlternateContent>
  <bookViews>
    <workbookView xWindow="-15" yWindow="-15" windowWidth="12015" windowHeight="973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Capacity'!$B$2:$I$21</definedName>
    <definedName name="_xlnm.Print_Area" localSheetId="1">'Landfill Inputs'!$B$2:$J$21</definedName>
  </definedNames>
  <calcPr calcId="152511"/>
</workbook>
</file>

<file path=xl/calcChain.xml><?xml version="1.0" encoding="utf-8"?>
<calcChain xmlns="http://schemas.openxmlformats.org/spreadsheetml/2006/main">
  <c r="K86" i="19" l="1"/>
  <c r="T63" i="19"/>
  <c r="T36" i="19"/>
  <c r="H5" i="18"/>
  <c r="H6" i="18"/>
  <c r="H7" i="18"/>
  <c r="I211" i="16" l="1"/>
  <c r="H211" i="16"/>
  <c r="G211" i="16"/>
  <c r="F211" i="16"/>
  <c r="E211" i="16"/>
  <c r="J210" i="16"/>
  <c r="J209" i="16"/>
  <c r="J211" i="16" s="1"/>
  <c r="I208" i="16"/>
  <c r="H208" i="16"/>
  <c r="G208" i="16"/>
  <c r="F208" i="16"/>
  <c r="E208" i="16"/>
  <c r="J207" i="16"/>
  <c r="J206" i="16"/>
  <c r="J205" i="16"/>
  <c r="J204" i="16"/>
  <c r="J203" i="16"/>
  <c r="J202" i="16"/>
  <c r="I201" i="16"/>
  <c r="H201" i="16"/>
  <c r="G201" i="16"/>
  <c r="F201" i="16"/>
  <c r="E201" i="16"/>
  <c r="J200" i="16"/>
  <c r="J199" i="16"/>
  <c r="H66" i="15"/>
  <c r="G66" i="15"/>
  <c r="F66" i="15"/>
  <c r="E66" i="15"/>
  <c r="D66" i="15"/>
  <c r="I65" i="15"/>
  <c r="I64" i="15"/>
  <c r="I63" i="15"/>
  <c r="G212" i="16" l="1"/>
  <c r="H212" i="16"/>
  <c r="J208" i="16"/>
  <c r="J201" i="16"/>
  <c r="E212" i="16"/>
  <c r="I212" i="16"/>
  <c r="F212" i="16"/>
  <c r="J212" i="16"/>
  <c r="I66" i="15"/>
  <c r="I260" i="14" l="1"/>
  <c r="H260" i="14"/>
  <c r="G260" i="14"/>
  <c r="F260" i="14"/>
  <c r="E260" i="14"/>
  <c r="J259" i="14"/>
  <c r="J258" i="14"/>
  <c r="J257" i="14"/>
  <c r="J260" i="14" s="1"/>
  <c r="I256" i="14"/>
  <c r="H256" i="14"/>
  <c r="G256" i="14"/>
  <c r="F256" i="14"/>
  <c r="E256" i="14"/>
  <c r="J255" i="14"/>
  <c r="J254" i="14"/>
  <c r="J253" i="14"/>
  <c r="J256" i="14" s="1"/>
  <c r="I252" i="14"/>
  <c r="H252" i="14"/>
  <c r="G252" i="14"/>
  <c r="G261" i="14" s="1"/>
  <c r="F252" i="14"/>
  <c r="E252" i="14"/>
  <c r="J251" i="14"/>
  <c r="J250" i="14"/>
  <c r="J249" i="14"/>
  <c r="I248" i="14"/>
  <c r="H248" i="14"/>
  <c r="G248" i="14"/>
  <c r="F248" i="14"/>
  <c r="E248" i="14"/>
  <c r="J247" i="14"/>
  <c r="J246" i="14"/>
  <c r="J245" i="14"/>
  <c r="J248" i="14" s="1"/>
  <c r="J252" i="14" l="1"/>
  <c r="F261" i="14"/>
  <c r="E261" i="14"/>
  <c r="I261" i="14"/>
  <c r="H261" i="14"/>
  <c r="J261" i="14"/>
  <c r="D56" i="17" l="1"/>
  <c r="H21" i="2" l="1"/>
  <c r="H20" i="2"/>
  <c r="H22" i="2" s="1"/>
  <c r="G19" i="2"/>
  <c r="G13" i="4" l="1"/>
  <c r="F13" i="4"/>
  <c r="E13" i="4"/>
  <c r="D13" i="4"/>
  <c r="C13" i="4"/>
  <c r="D13" i="10"/>
  <c r="E13" i="10"/>
  <c r="F13" i="10"/>
  <c r="G13" i="10"/>
  <c r="C13" i="10"/>
  <c r="K85" i="19" l="1"/>
  <c r="S63" i="19"/>
  <c r="S36" i="19"/>
  <c r="H12" i="10" l="1"/>
  <c r="J197" i="16" l="1"/>
  <c r="I197" i="16"/>
  <c r="H197" i="16"/>
  <c r="G197" i="16"/>
  <c r="F197" i="16"/>
  <c r="E197" i="16"/>
  <c r="J196" i="16"/>
  <c r="J195" i="16"/>
  <c r="I194" i="16"/>
  <c r="H194" i="16"/>
  <c r="F194" i="16"/>
  <c r="E194" i="16"/>
  <c r="J193" i="16"/>
  <c r="J192" i="16"/>
  <c r="J190" i="16"/>
  <c r="J189" i="16"/>
  <c r="J188" i="16"/>
  <c r="I187" i="16"/>
  <c r="H187" i="16"/>
  <c r="H198" i="16" s="1"/>
  <c r="G187" i="16"/>
  <c r="F187" i="16"/>
  <c r="E187" i="16"/>
  <c r="J186" i="16"/>
  <c r="J185" i="16"/>
  <c r="J187" i="16" s="1"/>
  <c r="H62" i="15"/>
  <c r="G62" i="15"/>
  <c r="F62" i="15"/>
  <c r="E62" i="15"/>
  <c r="D62" i="15"/>
  <c r="I61" i="15"/>
  <c r="I60" i="15"/>
  <c r="I59" i="15"/>
  <c r="I243" i="14"/>
  <c r="H243" i="14"/>
  <c r="G243" i="14"/>
  <c r="E243" i="14"/>
  <c r="J242" i="14"/>
  <c r="J241" i="14"/>
  <c r="J240" i="14"/>
  <c r="I239" i="14"/>
  <c r="H239" i="14"/>
  <c r="G239" i="14"/>
  <c r="F239" i="14"/>
  <c r="E239" i="14"/>
  <c r="J238" i="14"/>
  <c r="J237" i="14"/>
  <c r="J236" i="14"/>
  <c r="I235" i="14"/>
  <c r="H235" i="14"/>
  <c r="G235" i="14"/>
  <c r="F235" i="14"/>
  <c r="E235" i="14"/>
  <c r="J234" i="14"/>
  <c r="J233" i="14"/>
  <c r="J232" i="14"/>
  <c r="I231" i="14"/>
  <c r="H231" i="14"/>
  <c r="G231" i="14"/>
  <c r="F231" i="14"/>
  <c r="E231" i="14"/>
  <c r="J230" i="14"/>
  <c r="J229" i="14"/>
  <c r="J228" i="14"/>
  <c r="R63" i="19"/>
  <c r="Q63" i="19"/>
  <c r="Q36" i="19"/>
  <c r="K84" i="19"/>
  <c r="K83" i="19"/>
  <c r="K82" i="19"/>
  <c r="K81" i="19"/>
  <c r="K80" i="19"/>
  <c r="K79" i="19"/>
  <c r="K78" i="19"/>
  <c r="K77" i="19"/>
  <c r="K76" i="19"/>
  <c r="I183" i="16"/>
  <c r="H183" i="16"/>
  <c r="G183" i="16"/>
  <c r="F183" i="16"/>
  <c r="E183" i="16"/>
  <c r="J182" i="16"/>
  <c r="J181" i="16"/>
  <c r="I180" i="16"/>
  <c r="H180" i="16"/>
  <c r="G180" i="16"/>
  <c r="F180" i="16"/>
  <c r="E180" i="16"/>
  <c r="J179" i="16"/>
  <c r="J178" i="16"/>
  <c r="J177" i="16"/>
  <c r="J176" i="16"/>
  <c r="J175" i="16"/>
  <c r="J174" i="16"/>
  <c r="I173" i="16"/>
  <c r="H173" i="16"/>
  <c r="G173" i="16"/>
  <c r="F173" i="16"/>
  <c r="E173" i="16"/>
  <c r="J172" i="16"/>
  <c r="J171" i="16"/>
  <c r="H58" i="15"/>
  <c r="G58" i="15"/>
  <c r="F58" i="15"/>
  <c r="E58" i="15"/>
  <c r="D58" i="15"/>
  <c r="I57" i="15"/>
  <c r="I56" i="15"/>
  <c r="I55" i="15"/>
  <c r="J231" i="14" l="1"/>
  <c r="E198" i="16"/>
  <c r="I198" i="16"/>
  <c r="F198" i="16"/>
  <c r="I62" i="15"/>
  <c r="H244" i="14"/>
  <c r="G244" i="14"/>
  <c r="J243" i="14"/>
  <c r="J239" i="14"/>
  <c r="E244" i="14"/>
  <c r="I244" i="14"/>
  <c r="J235" i="14"/>
  <c r="F244" i="14"/>
  <c r="J173" i="16"/>
  <c r="H184" i="16"/>
  <c r="G184" i="16"/>
  <c r="F184" i="16"/>
  <c r="J183" i="16"/>
  <c r="E184" i="16"/>
  <c r="I184" i="16"/>
  <c r="J180" i="16"/>
  <c r="I58" i="15"/>
  <c r="J244" i="14" l="1"/>
  <c r="J184" i="16"/>
  <c r="I226" i="14" l="1"/>
  <c r="H226" i="14"/>
  <c r="F226" i="14"/>
  <c r="J225" i="14"/>
  <c r="J224" i="14"/>
  <c r="J223" i="14"/>
  <c r="I222" i="14"/>
  <c r="H222" i="14"/>
  <c r="G222" i="14"/>
  <c r="F222" i="14"/>
  <c r="E222" i="14"/>
  <c r="J221" i="14"/>
  <c r="J220" i="14"/>
  <c r="J219" i="14"/>
  <c r="I218" i="14"/>
  <c r="H218" i="14"/>
  <c r="G218" i="14"/>
  <c r="F218" i="14"/>
  <c r="E218" i="14"/>
  <c r="J217" i="14"/>
  <c r="J216" i="14"/>
  <c r="J215" i="14"/>
  <c r="I214" i="14"/>
  <c r="H214" i="14"/>
  <c r="G214" i="14"/>
  <c r="F214" i="14"/>
  <c r="E214" i="14"/>
  <c r="J213" i="14"/>
  <c r="J212" i="14"/>
  <c r="J211" i="14"/>
  <c r="J214" i="14" l="1"/>
  <c r="J226" i="14"/>
  <c r="J222" i="14"/>
  <c r="E227" i="14"/>
  <c r="H227" i="14"/>
  <c r="G227" i="14"/>
  <c r="I227" i="14"/>
  <c r="J218" i="14"/>
  <c r="F227" i="14"/>
  <c r="J227" i="14" l="1"/>
  <c r="I209" i="14" l="1"/>
  <c r="H209" i="14"/>
  <c r="G209" i="14"/>
  <c r="F209" i="14"/>
  <c r="E209" i="14"/>
  <c r="J208" i="14"/>
  <c r="J207" i="14"/>
  <c r="J206" i="14"/>
  <c r="I205" i="14"/>
  <c r="H205" i="14"/>
  <c r="G205" i="14"/>
  <c r="F205" i="14"/>
  <c r="E205" i="14"/>
  <c r="J204" i="14"/>
  <c r="J203" i="14"/>
  <c r="J202" i="14"/>
  <c r="I201" i="14"/>
  <c r="H201" i="14"/>
  <c r="G201" i="14"/>
  <c r="F201" i="14"/>
  <c r="E201" i="14"/>
  <c r="J200" i="14"/>
  <c r="J199" i="14"/>
  <c r="J198" i="14"/>
  <c r="I197" i="14"/>
  <c r="H197" i="14"/>
  <c r="H210" i="14" s="1"/>
  <c r="G197" i="14"/>
  <c r="G210" i="14" s="1"/>
  <c r="F197" i="14"/>
  <c r="E197" i="14"/>
  <c r="J196" i="14"/>
  <c r="J195" i="14"/>
  <c r="J194" i="14"/>
  <c r="I192" i="14"/>
  <c r="H192" i="14"/>
  <c r="G192" i="14"/>
  <c r="F192" i="14"/>
  <c r="E192" i="14"/>
  <c r="J191" i="14"/>
  <c r="J190" i="14"/>
  <c r="J189" i="14"/>
  <c r="I188" i="14"/>
  <c r="H188" i="14"/>
  <c r="G188" i="14"/>
  <c r="F188" i="14"/>
  <c r="E188" i="14"/>
  <c r="J187" i="14"/>
  <c r="J186" i="14"/>
  <c r="J185" i="14"/>
  <c r="I184" i="14"/>
  <c r="H184" i="14"/>
  <c r="G184" i="14"/>
  <c r="F184" i="14"/>
  <c r="E184" i="14"/>
  <c r="J183" i="14"/>
  <c r="J182" i="14"/>
  <c r="J181" i="14"/>
  <c r="I180" i="14"/>
  <c r="H180" i="14"/>
  <c r="G180" i="14"/>
  <c r="F180" i="14"/>
  <c r="E180" i="14"/>
  <c r="J179" i="14"/>
  <c r="J178" i="14"/>
  <c r="J177" i="14"/>
  <c r="I175" i="14"/>
  <c r="H175" i="14"/>
  <c r="G175" i="14"/>
  <c r="F175" i="14"/>
  <c r="E175" i="14"/>
  <c r="J174" i="14"/>
  <c r="J173" i="14"/>
  <c r="J172" i="14"/>
  <c r="I171" i="14"/>
  <c r="H171" i="14"/>
  <c r="G171" i="14"/>
  <c r="F171" i="14"/>
  <c r="E171" i="14"/>
  <c r="J170" i="14"/>
  <c r="J169" i="14"/>
  <c r="J168" i="14"/>
  <c r="I167" i="14"/>
  <c r="H167" i="14"/>
  <c r="G167" i="14"/>
  <c r="F167" i="14"/>
  <c r="E167" i="14"/>
  <c r="J166" i="14"/>
  <c r="J165" i="14"/>
  <c r="J164" i="14"/>
  <c r="I163" i="14"/>
  <c r="H163" i="14"/>
  <c r="G163" i="14"/>
  <c r="F163" i="14"/>
  <c r="E163" i="14"/>
  <c r="J162" i="14"/>
  <c r="J161" i="14"/>
  <c r="J160" i="14"/>
  <c r="I158" i="14"/>
  <c r="H158" i="14"/>
  <c r="G158" i="14"/>
  <c r="F158" i="14"/>
  <c r="E158" i="14"/>
  <c r="J157" i="14"/>
  <c r="J156" i="14"/>
  <c r="J155" i="14"/>
  <c r="I154" i="14"/>
  <c r="H154" i="14"/>
  <c r="G154" i="14"/>
  <c r="F154" i="14"/>
  <c r="E154" i="14"/>
  <c r="J153" i="14"/>
  <c r="J152" i="14"/>
  <c r="J151" i="14"/>
  <c r="I150" i="14"/>
  <c r="H150" i="14"/>
  <c r="G150" i="14"/>
  <c r="F150" i="14"/>
  <c r="E150" i="14"/>
  <c r="J149" i="14"/>
  <c r="J148" i="14"/>
  <c r="J147" i="14"/>
  <c r="I146" i="14"/>
  <c r="H146" i="14"/>
  <c r="G146" i="14"/>
  <c r="F146" i="14"/>
  <c r="E146" i="14"/>
  <c r="J145" i="14"/>
  <c r="J144" i="14"/>
  <c r="J143" i="14"/>
  <c r="I141" i="14"/>
  <c r="H141" i="14"/>
  <c r="G141" i="14"/>
  <c r="F141" i="14"/>
  <c r="E141" i="14"/>
  <c r="J140" i="14"/>
  <c r="J139" i="14"/>
  <c r="J138" i="14"/>
  <c r="I137" i="14"/>
  <c r="H137" i="14"/>
  <c r="G137" i="14"/>
  <c r="F137" i="14"/>
  <c r="E137" i="14"/>
  <c r="J136" i="14"/>
  <c r="J135" i="14"/>
  <c r="J134" i="14"/>
  <c r="I133" i="14"/>
  <c r="H133" i="14"/>
  <c r="G133" i="14"/>
  <c r="F133" i="14"/>
  <c r="E133" i="14"/>
  <c r="J132" i="14"/>
  <c r="J131" i="14"/>
  <c r="J130" i="14"/>
  <c r="I129" i="14"/>
  <c r="H129" i="14"/>
  <c r="G129" i="14"/>
  <c r="F129" i="14"/>
  <c r="E129" i="14"/>
  <c r="J128" i="14"/>
  <c r="J127" i="14"/>
  <c r="J126" i="14"/>
  <c r="I124" i="14"/>
  <c r="H124" i="14"/>
  <c r="G124" i="14"/>
  <c r="F124" i="14"/>
  <c r="E124" i="14"/>
  <c r="J123" i="14"/>
  <c r="J122" i="14"/>
  <c r="J121" i="14"/>
  <c r="I120" i="14"/>
  <c r="H120" i="14"/>
  <c r="G120" i="14"/>
  <c r="F120" i="14"/>
  <c r="E120" i="14"/>
  <c r="J119" i="14"/>
  <c r="J118" i="14"/>
  <c r="J117" i="14"/>
  <c r="I116" i="14"/>
  <c r="H116" i="14"/>
  <c r="G116" i="14"/>
  <c r="F116" i="14"/>
  <c r="E116" i="14"/>
  <c r="J115" i="14"/>
  <c r="J114" i="14"/>
  <c r="J113" i="14"/>
  <c r="I112" i="14"/>
  <c r="H112" i="14"/>
  <c r="G112" i="14"/>
  <c r="F112" i="14"/>
  <c r="E112" i="14"/>
  <c r="J111" i="14"/>
  <c r="J110" i="14"/>
  <c r="J109" i="14"/>
  <c r="I107" i="14"/>
  <c r="H107" i="14"/>
  <c r="G107" i="14"/>
  <c r="F107" i="14"/>
  <c r="E107" i="14"/>
  <c r="J106" i="14"/>
  <c r="J105" i="14"/>
  <c r="J104" i="14"/>
  <c r="I103" i="14"/>
  <c r="H103" i="14"/>
  <c r="G103" i="14"/>
  <c r="F103" i="14"/>
  <c r="E103" i="14"/>
  <c r="J102" i="14"/>
  <c r="J101" i="14"/>
  <c r="J100" i="14"/>
  <c r="I99" i="14"/>
  <c r="H99" i="14"/>
  <c r="G99" i="14"/>
  <c r="F99" i="14"/>
  <c r="E99" i="14"/>
  <c r="J98" i="14"/>
  <c r="J97" i="14"/>
  <c r="J96" i="14"/>
  <c r="I95" i="14"/>
  <c r="H95" i="14"/>
  <c r="G95" i="14"/>
  <c r="F95" i="14"/>
  <c r="E95" i="14"/>
  <c r="J94" i="14"/>
  <c r="J93" i="14"/>
  <c r="J92" i="14"/>
  <c r="I90" i="14"/>
  <c r="H90" i="14"/>
  <c r="G90" i="14"/>
  <c r="F90" i="14"/>
  <c r="E90" i="14"/>
  <c r="J89" i="14"/>
  <c r="J88" i="14"/>
  <c r="J87" i="14"/>
  <c r="I86" i="14"/>
  <c r="H86" i="14"/>
  <c r="G86" i="14"/>
  <c r="F86" i="14"/>
  <c r="E86" i="14"/>
  <c r="J85" i="14"/>
  <c r="J84" i="14"/>
  <c r="J83" i="14"/>
  <c r="I82" i="14"/>
  <c r="H82" i="14"/>
  <c r="G82" i="14"/>
  <c r="F82" i="14"/>
  <c r="E82" i="14"/>
  <c r="J81" i="14"/>
  <c r="J80" i="14"/>
  <c r="J79" i="14"/>
  <c r="I78" i="14"/>
  <c r="H78" i="14"/>
  <c r="G78" i="14"/>
  <c r="G91" i="14" s="1"/>
  <c r="F78" i="14"/>
  <c r="F91" i="14" s="1"/>
  <c r="E78" i="14"/>
  <c r="J77" i="14"/>
  <c r="J76" i="14"/>
  <c r="J75" i="14"/>
  <c r="H73" i="14"/>
  <c r="J72" i="14"/>
  <c r="I71" i="14"/>
  <c r="G71" i="14"/>
  <c r="G73" i="14" s="1"/>
  <c r="E71" i="14"/>
  <c r="I70" i="14"/>
  <c r="F70" i="14"/>
  <c r="F73" i="14" s="1"/>
  <c r="E70" i="14"/>
  <c r="J68" i="14"/>
  <c r="I67" i="14"/>
  <c r="H67" i="14"/>
  <c r="G67" i="14"/>
  <c r="I66" i="14"/>
  <c r="H66" i="14"/>
  <c r="G66" i="14"/>
  <c r="F66" i="14"/>
  <c r="F69" i="14" s="1"/>
  <c r="E66" i="14"/>
  <c r="E69" i="14" s="1"/>
  <c r="I64" i="14"/>
  <c r="H64" i="14"/>
  <c r="G64" i="14"/>
  <c r="F64" i="14"/>
  <c r="E64" i="14"/>
  <c r="I63" i="14"/>
  <c r="H63" i="14"/>
  <c r="G63" i="14"/>
  <c r="F63" i="14"/>
  <c r="E63" i="14"/>
  <c r="I62" i="14"/>
  <c r="H62" i="14"/>
  <c r="G62" i="14"/>
  <c r="F62" i="14"/>
  <c r="E62" i="14"/>
  <c r="I61" i="14"/>
  <c r="G61" i="14"/>
  <c r="F61" i="14"/>
  <c r="E61" i="14"/>
  <c r="H60" i="14"/>
  <c r="J60" i="14" s="1"/>
  <c r="H59" i="14"/>
  <c r="H58" i="14"/>
  <c r="J58" i="14" s="1"/>
  <c r="I56" i="14"/>
  <c r="H56" i="14"/>
  <c r="G56" i="14"/>
  <c r="F56" i="14"/>
  <c r="E56" i="14"/>
  <c r="J55" i="14"/>
  <c r="J54" i="14"/>
  <c r="J53" i="14"/>
  <c r="I52" i="14"/>
  <c r="H52" i="14"/>
  <c r="G52" i="14"/>
  <c r="F52" i="14"/>
  <c r="E52" i="14"/>
  <c r="J51" i="14"/>
  <c r="J50" i="14"/>
  <c r="J49" i="14"/>
  <c r="I48" i="14"/>
  <c r="H48" i="14"/>
  <c r="G48" i="14"/>
  <c r="F48" i="14"/>
  <c r="E48" i="14"/>
  <c r="J47" i="14"/>
  <c r="J46" i="14"/>
  <c r="J45" i="14"/>
  <c r="I44" i="14"/>
  <c r="H44" i="14"/>
  <c r="G44" i="14"/>
  <c r="G57" i="14" s="1"/>
  <c r="F44" i="14"/>
  <c r="F57" i="14" s="1"/>
  <c r="E44" i="14"/>
  <c r="J43" i="14"/>
  <c r="J42" i="14"/>
  <c r="J41" i="14"/>
  <c r="I39" i="14"/>
  <c r="H39" i="14"/>
  <c r="G39" i="14"/>
  <c r="F39" i="14"/>
  <c r="E39" i="14"/>
  <c r="J38" i="14"/>
  <c r="J37" i="14"/>
  <c r="J36" i="14"/>
  <c r="I35" i="14"/>
  <c r="H35" i="14"/>
  <c r="G35" i="14"/>
  <c r="F35" i="14"/>
  <c r="E35" i="14"/>
  <c r="J34" i="14"/>
  <c r="J33" i="14"/>
  <c r="J32" i="14"/>
  <c r="I31" i="14"/>
  <c r="H31" i="14"/>
  <c r="G31" i="14"/>
  <c r="F31" i="14"/>
  <c r="E31" i="14"/>
  <c r="J30" i="14"/>
  <c r="J29" i="14"/>
  <c r="J28" i="14"/>
  <c r="I27" i="14"/>
  <c r="I40" i="14" s="1"/>
  <c r="H27" i="14"/>
  <c r="G27" i="14"/>
  <c r="F27" i="14"/>
  <c r="E27" i="14"/>
  <c r="E40" i="14" s="1"/>
  <c r="J26" i="14"/>
  <c r="J25" i="14"/>
  <c r="J24" i="14"/>
  <c r="I22" i="14"/>
  <c r="H22" i="14"/>
  <c r="G22" i="14"/>
  <c r="F22" i="14"/>
  <c r="E22" i="14"/>
  <c r="J21" i="14"/>
  <c r="J20" i="14"/>
  <c r="J19" i="14"/>
  <c r="I18" i="14"/>
  <c r="H18" i="14"/>
  <c r="G18" i="14"/>
  <c r="F18" i="14"/>
  <c r="E18" i="14"/>
  <c r="J17" i="14"/>
  <c r="J16" i="14"/>
  <c r="J15" i="14"/>
  <c r="I14" i="14"/>
  <c r="H14" i="14"/>
  <c r="G14" i="14"/>
  <c r="F14" i="14"/>
  <c r="E14" i="14"/>
  <c r="J13" i="14"/>
  <c r="J12" i="14"/>
  <c r="J11" i="14"/>
  <c r="I10" i="14"/>
  <c r="H10" i="14"/>
  <c r="G10" i="14"/>
  <c r="G23" i="14" s="1"/>
  <c r="F10" i="14"/>
  <c r="F23" i="14" s="1"/>
  <c r="E10" i="14"/>
  <c r="J9" i="14"/>
  <c r="J8" i="14"/>
  <c r="J7" i="14"/>
  <c r="K74" i="19"/>
  <c r="K73" i="19"/>
  <c r="K72" i="19"/>
  <c r="K71" i="19"/>
  <c r="K70" i="19"/>
  <c r="K69" i="19"/>
  <c r="H40" i="14" l="1"/>
  <c r="I73" i="14"/>
  <c r="J67" i="14"/>
  <c r="H61" i="14"/>
  <c r="H65" i="14"/>
  <c r="I69" i="14"/>
  <c r="E65" i="14"/>
  <c r="E74" i="14" s="1"/>
  <c r="I65" i="14"/>
  <c r="H69" i="14"/>
  <c r="H23" i="14"/>
  <c r="H57" i="14"/>
  <c r="I91" i="14"/>
  <c r="E108" i="14"/>
  <c r="E125" i="14"/>
  <c r="I142" i="14"/>
  <c r="I159" i="14"/>
  <c r="I176" i="14"/>
  <c r="I193" i="14"/>
  <c r="G40" i="14"/>
  <c r="J70" i="14"/>
  <c r="H91" i="14"/>
  <c r="H125" i="14"/>
  <c r="H142" i="14"/>
  <c r="H193" i="14"/>
  <c r="J10" i="14"/>
  <c r="J14" i="14"/>
  <c r="J18" i="14"/>
  <c r="J22" i="14"/>
  <c r="J27" i="14"/>
  <c r="J31" i="14"/>
  <c r="F40" i="14"/>
  <c r="J35" i="14"/>
  <c r="J39" i="14"/>
  <c r="J44" i="14"/>
  <c r="J48" i="14"/>
  <c r="J52" i="14"/>
  <c r="J56" i="14"/>
  <c r="J64" i="14"/>
  <c r="J71" i="14"/>
  <c r="E73" i="14"/>
  <c r="G108" i="14"/>
  <c r="G125" i="14"/>
  <c r="G142" i="14"/>
  <c r="G159" i="14"/>
  <c r="G176" i="14"/>
  <c r="G193" i="14"/>
  <c r="E91" i="14"/>
  <c r="I108" i="14"/>
  <c r="I125" i="14"/>
  <c r="E142" i="14"/>
  <c r="E159" i="14"/>
  <c r="E176" i="14"/>
  <c r="E193" i="14"/>
  <c r="I210" i="14"/>
  <c r="H108" i="14"/>
  <c r="H159" i="14"/>
  <c r="H176" i="14"/>
  <c r="E23" i="14"/>
  <c r="I23" i="14"/>
  <c r="E57" i="14"/>
  <c r="I57" i="14"/>
  <c r="G65" i="14"/>
  <c r="G69" i="14"/>
  <c r="J78" i="14"/>
  <c r="J82" i="14"/>
  <c r="J86" i="14"/>
  <c r="J90" i="14"/>
  <c r="J95" i="14"/>
  <c r="J99" i="14"/>
  <c r="J103" i="14"/>
  <c r="F108" i="14"/>
  <c r="J107" i="14"/>
  <c r="J112" i="14"/>
  <c r="J116" i="14"/>
  <c r="J120" i="14"/>
  <c r="J124" i="14"/>
  <c r="F125" i="14"/>
  <c r="J129" i="14"/>
  <c r="J133" i="14"/>
  <c r="J137" i="14"/>
  <c r="F142" i="14"/>
  <c r="J141" i="14"/>
  <c r="J146" i="14"/>
  <c r="J150" i="14"/>
  <c r="J154" i="14"/>
  <c r="J158" i="14"/>
  <c r="F159" i="14"/>
  <c r="J163" i="14"/>
  <c r="J167" i="14"/>
  <c r="J171" i="14"/>
  <c r="F176" i="14"/>
  <c r="J175" i="14"/>
  <c r="J180" i="14"/>
  <c r="J184" i="14"/>
  <c r="J188" i="14"/>
  <c r="J192" i="14"/>
  <c r="F193" i="14"/>
  <c r="J209" i="14"/>
  <c r="E210" i="14"/>
  <c r="F210" i="14"/>
  <c r="J205" i="14"/>
  <c r="J201" i="14"/>
  <c r="J197" i="14"/>
  <c r="J59" i="14"/>
  <c r="J61" i="14" s="1"/>
  <c r="J63" i="14"/>
  <c r="F65" i="14"/>
  <c r="F74" i="14" s="1"/>
  <c r="J62" i="14"/>
  <c r="J66" i="14"/>
  <c r="R36" i="19"/>
  <c r="P63" i="19"/>
  <c r="O63" i="19"/>
  <c r="N63" i="19"/>
  <c r="M63" i="19"/>
  <c r="L63" i="19"/>
  <c r="K63" i="19"/>
  <c r="J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J69" i="14" l="1"/>
  <c r="I74" i="14"/>
  <c r="H74" i="14"/>
  <c r="J108" i="14"/>
  <c r="J159" i="14"/>
  <c r="J73" i="14"/>
  <c r="J65" i="14"/>
  <c r="J193" i="14"/>
  <c r="J176" i="14"/>
  <c r="J142" i="14"/>
  <c r="J125" i="14"/>
  <c r="J91" i="14"/>
  <c r="J57" i="14"/>
  <c r="J40" i="14"/>
  <c r="J23" i="14"/>
  <c r="G74" i="14"/>
  <c r="J210" i="14"/>
  <c r="G15" i="18"/>
  <c r="F15" i="18"/>
  <c r="E15" i="18"/>
  <c r="D15" i="18"/>
  <c r="C15" i="18"/>
  <c r="H14" i="18"/>
  <c r="H13" i="18"/>
  <c r="H12" i="18"/>
  <c r="H11" i="18"/>
  <c r="H10" i="18"/>
  <c r="H9" i="18"/>
  <c r="H8" i="18"/>
  <c r="H56" i="17"/>
  <c r="G56" i="17"/>
  <c r="F56" i="17"/>
  <c r="E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H25" i="17"/>
  <c r="G25" i="17"/>
  <c r="F25" i="17"/>
  <c r="E25" i="17"/>
  <c r="D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169" i="16"/>
  <c r="H169" i="16"/>
  <c r="G169" i="16"/>
  <c r="F169" i="16"/>
  <c r="E169" i="16"/>
  <c r="J168" i="16"/>
  <c r="J167" i="16"/>
  <c r="I166" i="16"/>
  <c r="H166" i="16"/>
  <c r="G166" i="16"/>
  <c r="F166" i="16"/>
  <c r="E166" i="16"/>
  <c r="J165" i="16"/>
  <c r="J164" i="16"/>
  <c r="J163" i="16"/>
  <c r="J162" i="16"/>
  <c r="J161" i="16"/>
  <c r="J160" i="16"/>
  <c r="I159" i="16"/>
  <c r="H159" i="16"/>
  <c r="G159" i="16"/>
  <c r="F159" i="16"/>
  <c r="E159" i="16"/>
  <c r="J158" i="16"/>
  <c r="J157" i="16"/>
  <c r="I155" i="16"/>
  <c r="H155" i="16"/>
  <c r="G155" i="16"/>
  <c r="G156" i="16" s="1"/>
  <c r="F155" i="16"/>
  <c r="F156" i="16" s="1"/>
  <c r="E155" i="16"/>
  <c r="J154" i="16"/>
  <c r="J153" i="16"/>
  <c r="I152" i="16"/>
  <c r="H152" i="16"/>
  <c r="G152" i="16"/>
  <c r="F152" i="16"/>
  <c r="E152" i="16"/>
  <c r="J151" i="16"/>
  <c r="J150" i="16"/>
  <c r="J149" i="16"/>
  <c r="J148" i="16"/>
  <c r="J147" i="16"/>
  <c r="J146" i="16"/>
  <c r="I145" i="16"/>
  <c r="H145" i="16"/>
  <c r="G145" i="16"/>
  <c r="F145" i="16"/>
  <c r="E145" i="16"/>
  <c r="J144" i="16"/>
  <c r="J143" i="16"/>
  <c r="I141" i="16"/>
  <c r="H141" i="16"/>
  <c r="G141" i="16"/>
  <c r="F141" i="16"/>
  <c r="E141" i="16"/>
  <c r="J140" i="16"/>
  <c r="J139" i="16"/>
  <c r="J141" i="16" s="1"/>
  <c r="I138" i="16"/>
  <c r="H138" i="16"/>
  <c r="G138" i="16"/>
  <c r="F138" i="16"/>
  <c r="F142" i="16" s="1"/>
  <c r="E138" i="16"/>
  <c r="J137" i="16"/>
  <c r="J136" i="16"/>
  <c r="J135" i="16"/>
  <c r="J134" i="16"/>
  <c r="J133" i="16"/>
  <c r="J132" i="16"/>
  <c r="I131" i="16"/>
  <c r="H131" i="16"/>
  <c r="G131" i="16"/>
  <c r="F131" i="16"/>
  <c r="E131" i="16"/>
  <c r="J130" i="16"/>
  <c r="J129" i="16"/>
  <c r="J131" i="16" s="1"/>
  <c r="I127" i="16"/>
  <c r="I128" i="16" s="1"/>
  <c r="H127" i="16"/>
  <c r="H128" i="16" s="1"/>
  <c r="G127" i="16"/>
  <c r="F127" i="16"/>
  <c r="E127" i="16"/>
  <c r="E128" i="16" s="1"/>
  <c r="J126" i="16"/>
  <c r="J125" i="16"/>
  <c r="I124" i="16"/>
  <c r="H124" i="16"/>
  <c r="G124" i="16"/>
  <c r="F124" i="16"/>
  <c r="E124" i="16"/>
  <c r="J123" i="16"/>
  <c r="J122" i="16"/>
  <c r="J121" i="16"/>
  <c r="J120" i="16"/>
  <c r="J119" i="16"/>
  <c r="J118" i="16"/>
  <c r="I117" i="16"/>
  <c r="H117" i="16"/>
  <c r="G117" i="16"/>
  <c r="F117" i="16"/>
  <c r="E117" i="16"/>
  <c r="J116" i="16"/>
  <c r="J115" i="16"/>
  <c r="I113" i="16"/>
  <c r="H113" i="16"/>
  <c r="G113" i="16"/>
  <c r="F113" i="16"/>
  <c r="F114" i="16" s="1"/>
  <c r="E113" i="16"/>
  <c r="J112" i="16"/>
  <c r="J111" i="16"/>
  <c r="I110" i="16"/>
  <c r="H110" i="16"/>
  <c r="G110" i="16"/>
  <c r="F110" i="16"/>
  <c r="E110" i="16"/>
  <c r="J109" i="16"/>
  <c r="J108" i="16"/>
  <c r="J107" i="16"/>
  <c r="J106" i="16"/>
  <c r="J105" i="16"/>
  <c r="J104" i="16"/>
  <c r="I103" i="16"/>
  <c r="H103" i="16"/>
  <c r="G103" i="16"/>
  <c r="F103" i="16"/>
  <c r="E103" i="16"/>
  <c r="J102" i="16"/>
  <c r="J101" i="16"/>
  <c r="I99" i="16"/>
  <c r="H99" i="16"/>
  <c r="G99" i="16"/>
  <c r="G100" i="16" s="1"/>
  <c r="F99" i="16"/>
  <c r="F100" i="16" s="1"/>
  <c r="E99" i="16"/>
  <c r="J98" i="16"/>
  <c r="J97" i="16"/>
  <c r="I96" i="16"/>
  <c r="H96" i="16"/>
  <c r="G96" i="16"/>
  <c r="F96" i="16"/>
  <c r="E96" i="16"/>
  <c r="J95" i="16"/>
  <c r="J94" i="16"/>
  <c r="J93" i="16"/>
  <c r="J92" i="16"/>
  <c r="J91" i="16"/>
  <c r="J90" i="16"/>
  <c r="I89" i="16"/>
  <c r="H89" i="16"/>
  <c r="G89" i="16"/>
  <c r="F89" i="16"/>
  <c r="E89" i="16"/>
  <c r="J88" i="16"/>
  <c r="J87" i="16"/>
  <c r="I85" i="16"/>
  <c r="H85" i="16"/>
  <c r="G85" i="16"/>
  <c r="F85" i="16"/>
  <c r="E85" i="16"/>
  <c r="J84" i="16"/>
  <c r="J83" i="16"/>
  <c r="J85" i="16" s="1"/>
  <c r="I82" i="16"/>
  <c r="H82" i="16"/>
  <c r="G82" i="16"/>
  <c r="F82" i="16"/>
  <c r="F86" i="16" s="1"/>
  <c r="E82" i="16"/>
  <c r="J81" i="16"/>
  <c r="J80" i="16"/>
  <c r="J79" i="16"/>
  <c r="J78" i="16"/>
  <c r="J77" i="16"/>
  <c r="J76" i="16"/>
  <c r="I75" i="16"/>
  <c r="H75" i="16"/>
  <c r="G75" i="16"/>
  <c r="F75" i="16"/>
  <c r="E75" i="16"/>
  <c r="J74" i="16"/>
  <c r="J73" i="16"/>
  <c r="J75" i="16" s="1"/>
  <c r="G72" i="16"/>
  <c r="I71" i="16"/>
  <c r="H71" i="16"/>
  <c r="G71" i="16"/>
  <c r="F71" i="16"/>
  <c r="E71" i="16"/>
  <c r="J70" i="16"/>
  <c r="J69" i="16"/>
  <c r="J71" i="16" s="1"/>
  <c r="I68" i="16"/>
  <c r="H68" i="16"/>
  <c r="G68" i="16"/>
  <c r="F68" i="16"/>
  <c r="E68" i="16"/>
  <c r="J67" i="16"/>
  <c r="J66" i="16"/>
  <c r="J65" i="16"/>
  <c r="J64" i="16"/>
  <c r="J63" i="16"/>
  <c r="J62" i="16"/>
  <c r="I61" i="16"/>
  <c r="I72" i="16" s="1"/>
  <c r="H61" i="16"/>
  <c r="H72" i="16" s="1"/>
  <c r="G61" i="16"/>
  <c r="F61" i="16"/>
  <c r="F72" i="16" s="1"/>
  <c r="E61" i="16"/>
  <c r="E72" i="16" s="1"/>
  <c r="J60" i="16"/>
  <c r="J61" i="16" s="1"/>
  <c r="J59" i="16"/>
  <c r="I56" i="16"/>
  <c r="H56" i="16"/>
  <c r="G56" i="16"/>
  <c r="F56" i="16"/>
  <c r="E56" i="16"/>
  <c r="I55" i="16"/>
  <c r="H55" i="16"/>
  <c r="H57" i="16" s="1"/>
  <c r="G55" i="16"/>
  <c r="F55" i="16"/>
  <c r="F57" i="16" s="1"/>
  <c r="E55" i="16"/>
  <c r="G53" i="16"/>
  <c r="F53" i="16"/>
  <c r="H52" i="16"/>
  <c r="G52" i="16"/>
  <c r="F52" i="16"/>
  <c r="H51" i="16"/>
  <c r="F51" i="16"/>
  <c r="E51" i="16"/>
  <c r="I50" i="16"/>
  <c r="H50" i="16"/>
  <c r="E50" i="16"/>
  <c r="I49" i="16"/>
  <c r="H49" i="16"/>
  <c r="G49" i="16"/>
  <c r="F49" i="16"/>
  <c r="E49" i="16"/>
  <c r="I48" i="16"/>
  <c r="I54" i="16" s="1"/>
  <c r="H48" i="16"/>
  <c r="G48" i="16"/>
  <c r="F48" i="16"/>
  <c r="E48" i="16"/>
  <c r="I46" i="16"/>
  <c r="G46" i="16"/>
  <c r="F46" i="16"/>
  <c r="E46" i="16"/>
  <c r="I45" i="16"/>
  <c r="I47" i="16" s="1"/>
  <c r="H45" i="16"/>
  <c r="H47" i="16" s="1"/>
  <c r="G45" i="16"/>
  <c r="F45" i="16"/>
  <c r="E45" i="16"/>
  <c r="I43" i="16"/>
  <c r="H43" i="16"/>
  <c r="G43" i="16"/>
  <c r="F43" i="16"/>
  <c r="E43" i="16"/>
  <c r="J42" i="16"/>
  <c r="J41" i="16"/>
  <c r="I40" i="16"/>
  <c r="H40" i="16"/>
  <c r="G40" i="16"/>
  <c r="F40" i="16"/>
  <c r="E40" i="16"/>
  <c r="J39" i="16"/>
  <c r="J38" i="16"/>
  <c r="J37" i="16"/>
  <c r="J36" i="16"/>
  <c r="J35" i="16"/>
  <c r="J34" i="16"/>
  <c r="I33" i="16"/>
  <c r="H33" i="16"/>
  <c r="G33" i="16"/>
  <c r="G44" i="16" s="1"/>
  <c r="F33" i="16"/>
  <c r="F44" i="16" s="1"/>
  <c r="E33" i="16"/>
  <c r="J32" i="16"/>
  <c r="J31" i="16"/>
  <c r="I29" i="16"/>
  <c r="H29" i="16"/>
  <c r="G29" i="16"/>
  <c r="F29" i="16"/>
  <c r="E29" i="16"/>
  <c r="J28" i="16"/>
  <c r="J29" i="16" s="1"/>
  <c r="I27" i="16"/>
  <c r="H27" i="16"/>
  <c r="G27" i="16"/>
  <c r="F27" i="16"/>
  <c r="E27" i="16"/>
  <c r="J26" i="16"/>
  <c r="J25" i="16"/>
  <c r="J24" i="16"/>
  <c r="J23" i="16"/>
  <c r="J22" i="16"/>
  <c r="I21" i="16"/>
  <c r="H21" i="16"/>
  <c r="G21" i="16"/>
  <c r="F21" i="16"/>
  <c r="F30" i="16" s="1"/>
  <c r="E21" i="16"/>
  <c r="J20" i="16"/>
  <c r="J19" i="16"/>
  <c r="I17" i="16"/>
  <c r="H17" i="16"/>
  <c r="G17" i="16"/>
  <c r="F17" i="16"/>
  <c r="E17" i="16"/>
  <c r="J16" i="16"/>
  <c r="J17" i="16" s="1"/>
  <c r="I15" i="16"/>
  <c r="H15" i="16"/>
  <c r="G15" i="16"/>
  <c r="F15" i="16"/>
  <c r="E15" i="16"/>
  <c r="J14" i="16"/>
  <c r="J13" i="16"/>
  <c r="J12" i="16"/>
  <c r="J11" i="16"/>
  <c r="J10" i="16"/>
  <c r="I9" i="16"/>
  <c r="H9" i="16"/>
  <c r="H18" i="16" s="1"/>
  <c r="G9" i="16"/>
  <c r="F9" i="16"/>
  <c r="E9" i="16"/>
  <c r="J8" i="16"/>
  <c r="J9" i="16" s="1"/>
  <c r="J7" i="16"/>
  <c r="H54" i="15"/>
  <c r="G54" i="15"/>
  <c r="F54" i="15"/>
  <c r="E54" i="15"/>
  <c r="D54" i="15"/>
  <c r="I53" i="15"/>
  <c r="I52" i="15"/>
  <c r="I51" i="15"/>
  <c r="H50" i="15"/>
  <c r="G50" i="15"/>
  <c r="F50" i="15"/>
  <c r="E50" i="15"/>
  <c r="D50" i="15"/>
  <c r="I49" i="15"/>
  <c r="I48" i="15"/>
  <c r="I47" i="15"/>
  <c r="H46" i="15"/>
  <c r="G46" i="15"/>
  <c r="F46" i="15"/>
  <c r="E46" i="15"/>
  <c r="D46" i="15"/>
  <c r="I45" i="15"/>
  <c r="I44" i="15"/>
  <c r="I43" i="15"/>
  <c r="H42" i="15"/>
  <c r="G42" i="15"/>
  <c r="F42" i="15"/>
  <c r="E42" i="15"/>
  <c r="D42" i="15"/>
  <c r="I41" i="15"/>
  <c r="I40" i="15"/>
  <c r="I39" i="15"/>
  <c r="H38" i="15"/>
  <c r="G38" i="15"/>
  <c r="F38" i="15"/>
  <c r="E38" i="15"/>
  <c r="D38" i="15"/>
  <c r="I37" i="15"/>
  <c r="I36" i="15"/>
  <c r="I35" i="15"/>
  <c r="H34" i="15"/>
  <c r="G34" i="15"/>
  <c r="F34" i="15"/>
  <c r="E34" i="15"/>
  <c r="D34" i="15"/>
  <c r="I33" i="15"/>
  <c r="I32" i="15"/>
  <c r="I31" i="15"/>
  <c r="H30" i="15"/>
  <c r="G30" i="15"/>
  <c r="F30" i="15"/>
  <c r="D30" i="15"/>
  <c r="I29" i="15"/>
  <c r="E28" i="15"/>
  <c r="E30" i="15" s="1"/>
  <c r="I27" i="15"/>
  <c r="H26" i="15"/>
  <c r="G26" i="15"/>
  <c r="F26" i="15"/>
  <c r="D26" i="15"/>
  <c r="I25" i="15"/>
  <c r="E24" i="15"/>
  <c r="E26" i="15" s="1"/>
  <c r="I23" i="15"/>
  <c r="H22" i="15"/>
  <c r="G22" i="15"/>
  <c r="F22" i="15"/>
  <c r="E22" i="15"/>
  <c r="D22" i="15"/>
  <c r="I21" i="15"/>
  <c r="I20" i="15"/>
  <c r="I19" i="15"/>
  <c r="H18" i="15"/>
  <c r="G18" i="15"/>
  <c r="F18" i="15"/>
  <c r="E18" i="15"/>
  <c r="D18" i="15"/>
  <c r="I17" i="15"/>
  <c r="I16" i="15"/>
  <c r="I15" i="15"/>
  <c r="H14" i="15"/>
  <c r="G14" i="15"/>
  <c r="F14" i="15"/>
  <c r="E14" i="15"/>
  <c r="D14" i="15"/>
  <c r="I13" i="15"/>
  <c r="I12" i="15"/>
  <c r="I11" i="15"/>
  <c r="H10" i="15"/>
  <c r="G10" i="15"/>
  <c r="F10" i="15"/>
  <c r="E10" i="15"/>
  <c r="D10" i="15"/>
  <c r="I9" i="15"/>
  <c r="I8" i="15"/>
  <c r="I7" i="15"/>
  <c r="H9" i="12"/>
  <c r="G10" i="12"/>
  <c r="F10" i="12"/>
  <c r="E10" i="12"/>
  <c r="D10" i="12"/>
  <c r="C10" i="12"/>
  <c r="H8" i="5"/>
  <c r="G9" i="5"/>
  <c r="F9" i="5"/>
  <c r="E9" i="5"/>
  <c r="D9" i="5"/>
  <c r="C9" i="5"/>
  <c r="H7" i="5"/>
  <c r="H8" i="12"/>
  <c r="H7" i="12"/>
  <c r="H7" i="11"/>
  <c r="H8" i="11"/>
  <c r="H9" i="11"/>
  <c r="H10" i="11"/>
  <c r="H11" i="11"/>
  <c r="H12" i="11"/>
  <c r="H13" i="11"/>
  <c r="H14" i="11"/>
  <c r="C15" i="11"/>
  <c r="D15" i="11"/>
  <c r="E15" i="11"/>
  <c r="F15" i="11"/>
  <c r="G15" i="11"/>
  <c r="H26" i="11"/>
  <c r="H27" i="11"/>
  <c r="H28" i="11"/>
  <c r="H29" i="11"/>
  <c r="H30" i="11"/>
  <c r="H31" i="11"/>
  <c r="H32" i="11"/>
  <c r="H33" i="11"/>
  <c r="C34" i="11"/>
  <c r="D34" i="11"/>
  <c r="E34" i="11"/>
  <c r="F34" i="11"/>
  <c r="G34" i="11"/>
  <c r="H17" i="5"/>
  <c r="H18" i="5" s="1"/>
  <c r="D18" i="5"/>
  <c r="C18" i="5"/>
  <c r="H13" i="2"/>
  <c r="H14" i="2"/>
  <c r="H15" i="2"/>
  <c r="H16" i="2"/>
  <c r="H17" i="2"/>
  <c r="H18" i="2"/>
  <c r="F19" i="2"/>
  <c r="E19" i="2"/>
  <c r="D19" i="2"/>
  <c r="C19" i="2"/>
  <c r="H7" i="2"/>
  <c r="H8" i="2"/>
  <c r="H9" i="2"/>
  <c r="H10" i="2"/>
  <c r="H11" i="2"/>
  <c r="G12" i="2"/>
  <c r="F12" i="2"/>
  <c r="E12" i="2"/>
  <c r="D12" i="2"/>
  <c r="C12" i="2"/>
  <c r="H7" i="10"/>
  <c r="H8" i="10"/>
  <c r="H9" i="10"/>
  <c r="H10" i="10"/>
  <c r="H11" i="10"/>
  <c r="H7" i="4"/>
  <c r="H8" i="4"/>
  <c r="H9" i="4"/>
  <c r="H10" i="4"/>
  <c r="H11" i="4"/>
  <c r="H12" i="4"/>
  <c r="D22" i="2"/>
  <c r="G22" i="2"/>
  <c r="E22" i="2"/>
  <c r="F22" i="2"/>
  <c r="C22" i="2"/>
  <c r="I56" i="17" l="1"/>
  <c r="J74" i="14"/>
  <c r="H19" i="2"/>
  <c r="H13" i="10"/>
  <c r="H13" i="4"/>
  <c r="H9" i="5"/>
  <c r="E114" i="16"/>
  <c r="I114" i="16"/>
  <c r="F18" i="16"/>
  <c r="J33" i="16"/>
  <c r="J44" i="16" s="1"/>
  <c r="H44" i="16"/>
  <c r="G54" i="16"/>
  <c r="J49" i="16"/>
  <c r="J50" i="16"/>
  <c r="J68" i="16"/>
  <c r="E86" i="16"/>
  <c r="I86" i="16"/>
  <c r="J99" i="16"/>
  <c r="H100" i="16"/>
  <c r="J117" i="16"/>
  <c r="E142" i="16"/>
  <c r="I142" i="16"/>
  <c r="J155" i="16"/>
  <c r="H156" i="16"/>
  <c r="J21" i="16"/>
  <c r="H30" i="16"/>
  <c r="E44" i="16"/>
  <c r="I44" i="16"/>
  <c r="J43" i="16"/>
  <c r="J89" i="16"/>
  <c r="J110" i="16"/>
  <c r="J127" i="16"/>
  <c r="J128" i="16" s="1"/>
  <c r="G128" i="16"/>
  <c r="J145" i="16"/>
  <c r="J40" i="16"/>
  <c r="J48" i="16"/>
  <c r="J52" i="16"/>
  <c r="J72" i="16"/>
  <c r="H114" i="16"/>
  <c r="J124" i="16"/>
  <c r="G142" i="16"/>
  <c r="G18" i="16"/>
  <c r="G30" i="16"/>
  <c r="J51" i="16"/>
  <c r="E57" i="16"/>
  <c r="I57" i="16"/>
  <c r="E100" i="16"/>
  <c r="I100" i="16"/>
  <c r="J103" i="16"/>
  <c r="J138" i="16"/>
  <c r="H142" i="16"/>
  <c r="J152" i="16"/>
  <c r="J156" i="16" s="1"/>
  <c r="G86" i="16"/>
  <c r="I24" i="15"/>
  <c r="I28" i="15"/>
  <c r="E18" i="16"/>
  <c r="I18" i="16"/>
  <c r="J15" i="16"/>
  <c r="J18" i="16" s="1"/>
  <c r="E30" i="16"/>
  <c r="I30" i="16"/>
  <c r="J27" i="16"/>
  <c r="J30" i="16" s="1"/>
  <c r="J46" i="16"/>
  <c r="G47" i="16"/>
  <c r="G58" i="16" s="1"/>
  <c r="H54" i="16"/>
  <c r="J53" i="16"/>
  <c r="G57" i="16"/>
  <c r="J56" i="16"/>
  <c r="J82" i="16"/>
  <c r="J86" i="16" s="1"/>
  <c r="H86" i="16"/>
  <c r="J96" i="16"/>
  <c r="J113" i="16"/>
  <c r="G114" i="16"/>
  <c r="F128" i="16"/>
  <c r="E156" i="16"/>
  <c r="I156" i="16"/>
  <c r="H12" i="2"/>
  <c r="J166" i="16"/>
  <c r="E170" i="16"/>
  <c r="I170" i="16"/>
  <c r="G170" i="16"/>
  <c r="J169" i="16"/>
  <c r="F170" i="16"/>
  <c r="H170" i="16"/>
  <c r="J159" i="16"/>
  <c r="H15" i="18"/>
  <c r="I25" i="17"/>
  <c r="J142" i="16"/>
  <c r="J100" i="16"/>
  <c r="J45" i="16"/>
  <c r="F47" i="16"/>
  <c r="E54" i="16"/>
  <c r="I58" i="16"/>
  <c r="E47" i="16"/>
  <c r="J55" i="16"/>
  <c r="J57" i="16" s="1"/>
  <c r="H58" i="16"/>
  <c r="F54" i="16"/>
  <c r="I54" i="15"/>
  <c r="I26" i="15"/>
  <c r="I10" i="15"/>
  <c r="I14" i="15"/>
  <c r="I18" i="15"/>
  <c r="I22" i="15"/>
  <c r="I30" i="15"/>
  <c r="I34" i="15"/>
  <c r="I38" i="15"/>
  <c r="I42" i="15"/>
  <c r="I46" i="15"/>
  <c r="I50" i="15"/>
  <c r="H10" i="12"/>
  <c r="H34" i="11"/>
  <c r="H15" i="11"/>
  <c r="J54" i="16" l="1"/>
  <c r="J114" i="16"/>
  <c r="F58" i="16"/>
  <c r="E58" i="16"/>
  <c r="J170" i="16"/>
  <c r="J47" i="16"/>
  <c r="J58" i="16"/>
  <c r="G194" i="16" l="1"/>
  <c r="G198" i="16" s="1"/>
  <c r="J191" i="16"/>
  <c r="J194" i="16"/>
  <c r="J198" i="16" s="1"/>
</calcChain>
</file>

<file path=xl/sharedStrings.xml><?xml version="1.0" encoding="utf-8"?>
<sst xmlns="http://schemas.openxmlformats.org/spreadsheetml/2006/main" count="1262" uniqueCount="252">
  <si>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</si>
  <si>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</si>
  <si>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</si>
  <si>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</si>
  <si>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</si>
  <si>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</si>
  <si>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</si>
  <si>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</si>
  <si>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</si>
  <si>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</si>
  <si>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</si>
  <si>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</si>
  <si>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</si>
  <si>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</si>
  <si>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</si>
  <si>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</si>
  <si>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</si>
  <si>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</si>
  <si>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</si>
  <si>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</si>
  <si>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</si>
  <si>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</si>
  <si>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</si>
  <si>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</si>
  <si>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</si>
  <si>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</si>
  <si>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</si>
  <si>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</si>
  <si>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</si>
  <si>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</si>
  <si>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</si>
  <si>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</si>
  <si>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</si>
  <si>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</si>
  <si>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</si>
  <si>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</si>
  <si>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</si>
  <si>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</si>
  <si>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</si>
  <si>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</si>
  <si>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</si>
  <si>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</si>
  <si>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</si>
  <si>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</si>
  <si>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</si>
  <si>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</si>
  <si>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</si>
  <si>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</si>
  <si>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</si>
  <si>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</si>
  <si>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</si>
  <si>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</si>
  <si>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</si>
  <si>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</si>
  <si>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</si>
  <si>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</si>
  <si>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</si>
  <si>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</si>
  <si>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</si>
  <si>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</si>
  <si>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</si>
  <si>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</si>
  <si>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</si>
  <si>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</si>
  <si>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</si>
  <si>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</si>
  <si>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</si>
  <si>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</si>
  <si>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East Midlands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</si>
  <si>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</si>
  <si>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</si>
  <si>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</si>
  <si>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EAST MIDLANDS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</si>
  <si>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</si>
  <si>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</si>
  <si>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</si>
  <si>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</si>
  <si>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</si>
  <si>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</si>
  <si>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</si>
  <si>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</si>
  <si>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</si>
  <si>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</si>
  <si>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</si>
  <si>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</si>
  <si>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</si>
  <si>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</si>
  <si>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</si>
  <si>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>Former East Midlands Planning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</si>
  <si>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</si>
  <si>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</si>
  <si>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</si>
  <si>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</si>
  <si>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</si>
  <si>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</si>
  <si>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Year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</si>
  <si>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</si>
  <si>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</si>
  <si>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</si>
  <si>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</si>
  <si>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</si>
  <si>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</si>
  <si>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</si>
  <si>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</si>
  <si>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2000/1</t>
  </si>
  <si>
    <t>Transfer</t>
  </si>
  <si>
    <t>Civic amenity</t>
  </si>
  <si>
    <t>Treatment</t>
  </si>
  <si>
    <t>MRS</t>
  </si>
  <si>
    <t>Metal recycling</t>
  </si>
  <si>
    <t>MRS Total</t>
  </si>
  <si>
    <t>2000/1 Total</t>
  </si>
  <si>
    <t>2002/3</t>
  </si>
  <si>
    <t>2002/3 Total</t>
  </si>
  <si>
    <t>2004/5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</si>
  <si>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</si>
  <si>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</si>
  <si>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</si>
  <si>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</si>
  <si>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</si>
  <si>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</si>
  <si>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</si>
  <si>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</si>
  <si>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</si>
  <si>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</si>
  <si>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</si>
  <si>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</si>
  <si>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</si>
  <si>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</si>
  <si>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</si>
  <si>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</si>
  <si>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</si>
  <si>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</si>
  <si>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</si>
  <si>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</si>
  <si>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</si>
  <si>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</si>
  <si>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</si>
  <si>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</si>
  <si>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</si>
  <si>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</si>
  <si>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</si>
  <si>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</si>
  <si>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</si>
  <si>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</si>
  <si>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</si>
  <si>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</si>
  <si>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</si>
  <si>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</si>
  <si>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</si>
  <si>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</si>
  <si>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</si>
  <si>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</si>
  <si>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</si>
  <si>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</si>
  <si>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</si>
  <si>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</si>
  <si>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</si>
  <si>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</si>
  <si>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</si>
  <si>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</si>
  <si>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</si>
  <si>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</si>
  <si>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</si>
  <si>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</si>
  <si>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</si>
  <si>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</si>
  <si>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</si>
  <si>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</si>
  <si>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</si>
  <si>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</si>
  <si>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</si>
  <si>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</si>
  <si>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</si>
  <si>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</si>
  <si>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</si>
  <si>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</si>
  <si>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</si>
  <si>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</si>
  <si>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</si>
  <si>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</si>
  <si>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</si>
  <si>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</si>
  <si>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</si>
  <si>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</si>
  <si>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</si>
  <si>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</si>
  <si>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</si>
  <si>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</si>
  <si>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</si>
  <si>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</si>
  <si>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EWC Description</t>
  </si>
  <si>
    <t>Transfer (Short term)</t>
  </si>
  <si>
    <t>Waste type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</si>
  <si>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</si>
  <si>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</si>
  <si>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</si>
  <si>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</si>
  <si>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</si>
  <si>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</si>
  <si>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</si>
  <si>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</si>
  <si>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</si>
  <si>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</si>
  <si>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</si>
  <si>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Hazardous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</si>
  <si>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</si>
  <si>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</si>
  <si>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</si>
  <si>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</si>
  <si>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Click on the link to go to the tab</t>
  </si>
  <si>
    <t>2014 Total</t>
  </si>
  <si>
    <t>2015 Total</t>
  </si>
  <si>
    <t>-</t>
  </si>
  <si>
    <t>Other</t>
  </si>
  <si>
    <t>Transfer, Treatment and MRS</t>
  </si>
  <si>
    <t>Waste Management Information 2016</t>
  </si>
  <si>
    <t>Landfill inputs 2016</t>
  </si>
  <si>
    <t>Landfill input trends from 2000 to 2016</t>
  </si>
  <si>
    <t>Landfill capacity 2016</t>
  </si>
  <si>
    <t>Landfill capacity trends from 2000 to 2016</t>
  </si>
  <si>
    <t>Transfer, treatment and MRS inputs 2016</t>
  </si>
  <si>
    <t>Transfer, treatment and MRS input trends from 2000 to 2016</t>
  </si>
  <si>
    <t>Incineration inputs and capacity 2016</t>
  </si>
  <si>
    <t>Land disposal inputs 2016</t>
  </si>
  <si>
    <t>Use of waste inputs 2016</t>
  </si>
  <si>
    <t>Hazardous waste management and deposits 2016</t>
  </si>
  <si>
    <t>Hazardous waste deposits by fate 2016</t>
  </si>
  <si>
    <t>Hazardous waste: trends data from 2000 to 2016</t>
  </si>
  <si>
    <t>East Midlands: Landfill inputs 2016</t>
  </si>
  <si>
    <t>East Midlands: Landfill input trends from 1998/99 to 2016</t>
  </si>
  <si>
    <t>2016 Total</t>
  </si>
  <si>
    <t>East Midlands: Landfill capacity 2016</t>
  </si>
  <si>
    <t>Data for 2016 is classified into Landfill Directive categories.</t>
  </si>
  <si>
    <t>2016 landfill capacity data was obtained from environmental monitoring reports required by permits or directly from the operator.</t>
  </si>
  <si>
    <t>East Midlands: Landfill capacity trends from 1998/99 to 2016</t>
  </si>
  <si>
    <t>East Midlands: Transfer, treatment and metal recycling site inputs 2016</t>
  </si>
  <si>
    <t>East Midlands: Waste deposit trends: Transfer and treatment deposits by site type, waste type and sub-region from 2000/1 to 2016</t>
  </si>
  <si>
    <t>East Midlands: Incineration capacity 2016</t>
  </si>
  <si>
    <t>East Midlands: Incineration throughput 2016</t>
  </si>
  <si>
    <t>East Midlands: Borehole and lagoon inputs 2016</t>
  </si>
  <si>
    <t>East Midlands: Deposit in landfill for recovery inputs 2016</t>
  </si>
  <si>
    <t>East Midlands: Use of waste inputs 2016</t>
  </si>
  <si>
    <t>East Midlands: Hazardous waste managed by EWC chapter and former planning sub-region 2016 (tonnes)</t>
  </si>
  <si>
    <t>East Midlands: Hazardous waste deposited by EWC chapter and former planning sub-region 2016 (tonnes)</t>
  </si>
  <si>
    <t>East Midlands: Hazardous waste deposited by fate and former planning sub-region 2016 (tonnes)</t>
  </si>
  <si>
    <t>East Midlands: Hazardous waste managed by EWC chapter from 1998 - 2016 (tonnes)</t>
  </si>
  <si>
    <t>East Midlands: Hazardous waste deposited by EWC chapter from 1998 - 2016 (tonnes)</t>
  </si>
  <si>
    <t>East Midlands: Hazardous waste deposited by fate from 1998 to 2016 (tonnes)</t>
  </si>
  <si>
    <t>East Midlands: Hazardous waste trends from 1998 to 2016</t>
  </si>
  <si>
    <t>LIT 10673</t>
  </si>
  <si>
    <t xml:space="preserve">The above data do not include waste received by closed landfills for restoration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</si>
</sst>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_);_(* \(#,##0\);_(* &quot;-&quot;??_);_(@_)"/>
    <numFmt numFmtId="167" formatCode="0.000"/>
    <numFmt numFmtId="168" formatCode="#,##0.000_ ;\-#,##0.000\ "/>
    <numFmt numFmtId="169" formatCode="#,##0_ ;\-#,##0\ 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Arial"/>
      <family val="2"/>
    </font>
    <font>
      <sz val="10"/>
      <name val="Wingdings"/>
      <charset val="2"/>
    </font>
    <font>
      <sz val="10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3"/>
      <name val="Arial"/>
      <family val="2"/>
    </font>
    <font>
      <u/>
      <sz val="20"/>
      <color theme="3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31" fillId="0" borderId="0"/>
  </cellStyleXfs>
  <cellXfs count="505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7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7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7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41" fontId="12" fillId="5" borderId="16" xfId="0" applyNumberFormat="1" applyFont="1" applyFill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22" fillId="5" borderId="5" xfId="8" applyFont="1" applyFill="1" applyBorder="1" applyAlignment="1">
      <alignment horizontal="center" vertical="center" wrapText="1"/>
    </xf>
    <xf numFmtId="0" fontId="22" fillId="5" borderId="7" xfId="8" applyFont="1" applyFill="1" applyBorder="1" applyAlignment="1">
      <alignment horizontal="center" vertical="center" wrapText="1"/>
    </xf>
    <xf numFmtId="0" fontId="22" fillId="5" borderId="41" xfId="8" applyFont="1" applyFill="1" applyBorder="1" applyAlignment="1">
      <alignment horizontal="center" vertical="center" wrapText="1"/>
    </xf>
    <xf numFmtId="0" fontId="22" fillId="5" borderId="21" xfId="8" applyFont="1" applyFill="1" applyBorder="1" applyAlignment="1">
      <alignment horizontal="center" vertical="center" wrapText="1"/>
    </xf>
    <xf numFmtId="0" fontId="22" fillId="5" borderId="5" xfId="10" applyFont="1" applyFill="1" applyBorder="1" applyAlignment="1">
      <alignment horizontal="center" vertical="center" wrapText="1"/>
    </xf>
    <xf numFmtId="0" fontId="22" fillId="5" borderId="7" xfId="10" applyFont="1" applyFill="1" applyBorder="1" applyAlignment="1">
      <alignment horizontal="left" vertical="center" wrapText="1"/>
    </xf>
    <xf numFmtId="0" fontId="22" fillId="5" borderId="7" xfId="10" applyFont="1" applyFill="1" applyBorder="1" applyAlignment="1">
      <alignment horizontal="center" vertical="center" wrapText="1"/>
    </xf>
    <xf numFmtId="1" fontId="22" fillId="5" borderId="7" xfId="10" applyNumberFormat="1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0" fontId="22" fillId="5" borderId="50" xfId="8" applyFont="1" applyFill="1" applyBorder="1" applyAlignment="1">
      <alignment horizontal="center" vertical="center"/>
    </xf>
    <xf numFmtId="0" fontId="22" fillId="7" borderId="51" xfId="8" applyFont="1" applyFill="1" applyBorder="1" applyAlignment="1">
      <alignment horizontal="center" vertical="center" wrapText="1"/>
    </xf>
    <xf numFmtId="0" fontId="22" fillId="7" borderId="52" xfId="8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41" fontId="10" fillId="0" borderId="6" xfId="0" applyNumberFormat="1" applyFont="1" applyBorder="1" applyAlignment="1">
      <alignment vertical="center"/>
    </xf>
    <xf numFmtId="0" fontId="27" fillId="8" borderId="5" xfId="0" applyNumberFormat="1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0" fontId="27" fillId="8" borderId="26" xfId="0" applyFont="1" applyFill="1" applyBorder="1" applyAlignment="1">
      <alignment vertical="center"/>
    </xf>
    <xf numFmtId="0" fontId="27" fillId="8" borderId="5" xfId="0" applyNumberFormat="1" applyFont="1" applyFill="1" applyBorder="1" applyAlignment="1">
      <alignment vertical="center" wrapText="1"/>
    </xf>
    <xf numFmtId="0" fontId="27" fillId="8" borderId="5" xfId="0" applyFont="1" applyFill="1" applyBorder="1" applyAlignment="1">
      <alignment horizontal="left" vertical="center"/>
    </xf>
    <xf numFmtId="0" fontId="27" fillId="8" borderId="5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41" fontId="8" fillId="0" borderId="0" xfId="2" applyFont="1" applyFill="1" applyBorder="1" applyAlignment="1">
      <alignment vertical="center"/>
    </xf>
    <xf numFmtId="0" fontId="12" fillId="5" borderId="57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26" fillId="2" borderId="0" xfId="6" applyFont="1" applyFill="1" applyAlignment="1">
      <alignment vertical="center"/>
    </xf>
    <xf numFmtId="41" fontId="8" fillId="0" borderId="30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12" fillId="5" borderId="38" xfId="0" applyFont="1" applyFill="1" applyBorder="1" applyAlignment="1">
      <alignment horizontal="center" vertical="center" wrapText="1"/>
    </xf>
    <xf numFmtId="0" fontId="26" fillId="8" borderId="49" xfId="0" applyFont="1" applyFill="1" applyBorder="1" applyAlignment="1">
      <alignment vertical="center"/>
    </xf>
    <xf numFmtId="0" fontId="12" fillId="5" borderId="4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26" fillId="8" borderId="3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6" fillId="8" borderId="15" xfId="0" applyFont="1" applyFill="1" applyBorder="1" applyAlignment="1">
      <alignment horizontal="right" vertical="center"/>
    </xf>
    <xf numFmtId="41" fontId="8" fillId="8" borderId="0" xfId="2" applyFont="1" applyFill="1" applyBorder="1" applyAlignment="1">
      <alignment vertical="center"/>
    </xf>
    <xf numFmtId="41" fontId="26" fillId="8" borderId="15" xfId="0" applyNumberFormat="1" applyFont="1" applyFill="1" applyBorder="1" applyAlignment="1">
      <alignment vertical="center"/>
    </xf>
    <xf numFmtId="0" fontId="26" fillId="8" borderId="6" xfId="0" applyFont="1" applyFill="1" applyBorder="1" applyAlignment="1">
      <alignment horizontal="right" vertical="center"/>
    </xf>
    <xf numFmtId="41" fontId="26" fillId="8" borderId="6" xfId="0" applyNumberFormat="1" applyFont="1" applyFill="1" applyBorder="1" applyAlignment="1">
      <alignment vertical="center"/>
    </xf>
    <xf numFmtId="0" fontId="26" fillId="8" borderId="12" xfId="0" applyFont="1" applyFill="1" applyBorder="1" applyAlignment="1">
      <alignment horizontal="right" vertical="center"/>
    </xf>
    <xf numFmtId="0" fontId="26" fillId="8" borderId="7" xfId="0" applyFont="1" applyFill="1" applyBorder="1" applyAlignment="1">
      <alignment horizontal="right" vertical="center"/>
    </xf>
    <xf numFmtId="41" fontId="26" fillId="8" borderId="7" xfId="0" applyNumberFormat="1" applyFont="1" applyFill="1" applyBorder="1" applyAlignment="1">
      <alignment vertical="center"/>
    </xf>
    <xf numFmtId="41" fontId="26" fillId="8" borderId="8" xfId="0" applyNumberFormat="1" applyFont="1" applyFill="1" applyBorder="1" applyAlignment="1">
      <alignment vertical="center"/>
    </xf>
    <xf numFmtId="0" fontId="26" fillId="8" borderId="0" xfId="0" applyFont="1" applyFill="1" applyBorder="1" applyAlignment="1">
      <alignment horizontal="right" vertical="center"/>
    </xf>
    <xf numFmtId="41" fontId="26" fillId="8" borderId="30" xfId="0" applyNumberFormat="1" applyFont="1" applyFill="1" applyBorder="1" applyAlignment="1">
      <alignment vertical="center"/>
    </xf>
    <xf numFmtId="41" fontId="26" fillId="8" borderId="0" xfId="0" applyNumberFormat="1" applyFont="1" applyFill="1" applyBorder="1" applyAlignment="1">
      <alignment vertical="center"/>
    </xf>
    <xf numFmtId="41" fontId="26" fillId="8" borderId="41" xfId="0" applyNumberFormat="1" applyFont="1" applyFill="1" applyBorder="1" applyAlignment="1">
      <alignment vertical="center"/>
    </xf>
    <xf numFmtId="0" fontId="30" fillId="5" borderId="7" xfId="0" applyFont="1" applyFill="1" applyBorder="1" applyAlignment="1">
      <alignment horizontal="right" vertical="center"/>
    </xf>
    <xf numFmtId="41" fontId="12" fillId="5" borderId="8" xfId="0" applyNumberFormat="1" applyFont="1" applyFill="1" applyBorder="1" applyAlignment="1">
      <alignment vertical="center"/>
    </xf>
    <xf numFmtId="0" fontId="26" fillId="6" borderId="0" xfId="0" applyFont="1" applyFill="1" applyBorder="1" applyAlignment="1">
      <alignment horizontal="right" vertical="center"/>
    </xf>
    <xf numFmtId="41" fontId="26" fillId="6" borderId="30" xfId="0" applyNumberFormat="1" applyFont="1" applyFill="1" applyBorder="1" applyAlignment="1">
      <alignment vertical="center"/>
    </xf>
    <xf numFmtId="41" fontId="26" fillId="6" borderId="0" xfId="0" applyNumberFormat="1" applyFont="1" applyFill="1" applyBorder="1" applyAlignment="1">
      <alignment vertical="center"/>
    </xf>
    <xf numFmtId="41" fontId="26" fillId="6" borderId="6" xfId="0" applyNumberFormat="1" applyFont="1" applyFill="1" applyBorder="1" applyAlignment="1">
      <alignment vertical="center"/>
    </xf>
    <xf numFmtId="0" fontId="26" fillId="8" borderId="18" xfId="0" applyFont="1" applyFill="1" applyBorder="1" applyAlignment="1">
      <alignment horizontal="right" vertical="center"/>
    </xf>
    <xf numFmtId="41" fontId="26" fillId="8" borderId="29" xfId="0" applyNumberFormat="1" applyFont="1" applyFill="1" applyBorder="1" applyAlignment="1">
      <alignment vertical="center"/>
    </xf>
    <xf numFmtId="41" fontId="26" fillId="8" borderId="18" xfId="0" applyNumberFormat="1" applyFont="1" applyFill="1" applyBorder="1" applyAlignment="1">
      <alignment vertical="center"/>
    </xf>
    <xf numFmtId="41" fontId="26" fillId="8" borderId="12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horizontal="right" vertical="center"/>
    </xf>
    <xf numFmtId="0" fontId="26" fillId="6" borderId="15" xfId="0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0" fontId="26" fillId="6" borderId="6" xfId="0" applyFont="1" applyFill="1" applyBorder="1" applyAlignment="1">
      <alignment horizontal="right" vertical="center"/>
    </xf>
    <xf numFmtId="0" fontId="26" fillId="6" borderId="12" xfId="0" applyFont="1" applyFill="1" applyBorder="1" applyAlignment="1">
      <alignment horizontal="right" vertical="center"/>
    </xf>
    <xf numFmtId="41" fontId="8" fillId="8" borderId="0" xfId="0" applyNumberFormat="1" applyFont="1" applyFill="1" applyBorder="1" applyAlignment="1">
      <alignment vertical="center"/>
    </xf>
    <xf numFmtId="164" fontId="8" fillId="0" borderId="0" xfId="1" applyNumberFormat="1" applyFont="1" applyFill="1" applyAlignment="1">
      <alignment vertical="center"/>
    </xf>
    <xf numFmtId="167" fontId="8" fillId="0" borderId="0" xfId="1" applyNumberFormat="1" applyFont="1" applyFill="1" applyAlignment="1">
      <alignment vertical="center"/>
    </xf>
    <xf numFmtId="41" fontId="8" fillId="8" borderId="26" xfId="2" applyFont="1" applyFill="1" applyBorder="1" applyAlignment="1">
      <alignment vertical="center"/>
    </xf>
    <xf numFmtId="41" fontId="8" fillId="8" borderId="41" xfId="2" applyFont="1" applyFill="1" applyBorder="1" applyAlignment="1">
      <alignment vertical="center"/>
    </xf>
    <xf numFmtId="41" fontId="8" fillId="8" borderId="30" xfId="2" applyFont="1" applyFill="1" applyBorder="1" applyAlignment="1">
      <alignment vertical="center"/>
    </xf>
    <xf numFmtId="41" fontId="8" fillId="8" borderId="29" xfId="2" applyFont="1" applyFill="1" applyBorder="1" applyAlignment="1">
      <alignment vertical="center"/>
    </xf>
    <xf numFmtId="41" fontId="8" fillId="8" borderId="18" xfId="2" applyFont="1" applyFill="1" applyBorder="1" applyAlignment="1">
      <alignment vertical="center"/>
    </xf>
    <xf numFmtId="168" fontId="8" fillId="8" borderId="18" xfId="2" applyNumberFormat="1" applyFont="1" applyFill="1" applyBorder="1" applyAlignment="1">
      <alignment vertical="center"/>
    </xf>
    <xf numFmtId="41" fontId="8" fillId="8" borderId="45" xfId="2" applyFont="1" applyFill="1" applyBorder="1" applyAlignment="1">
      <alignment vertical="center"/>
    </xf>
    <xf numFmtId="41" fontId="8" fillId="8" borderId="32" xfId="2" applyFont="1" applyFill="1" applyBorder="1" applyAlignment="1">
      <alignment vertical="center"/>
    </xf>
    <xf numFmtId="41" fontId="8" fillId="8" borderId="49" xfId="2" applyFont="1" applyFill="1" applyBorder="1" applyAlignment="1">
      <alignment vertical="center"/>
    </xf>
    <xf numFmtId="168" fontId="8" fillId="8" borderId="0" xfId="2" applyNumberFormat="1" applyFont="1" applyFill="1" applyBorder="1" applyAlignment="1">
      <alignment vertical="center"/>
    </xf>
    <xf numFmtId="0" fontId="27" fillId="8" borderId="7" xfId="0" applyFont="1" applyFill="1" applyBorder="1" applyAlignment="1">
      <alignment horizontal="right" vertical="center"/>
    </xf>
    <xf numFmtId="164" fontId="8" fillId="8" borderId="0" xfId="1" applyNumberFormat="1" applyFont="1" applyFill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8" fillId="8" borderId="22" xfId="0" applyNumberFormat="1" applyFont="1" applyFill="1" applyBorder="1" applyAlignment="1">
      <alignment vertical="center"/>
    </xf>
    <xf numFmtId="41" fontId="8" fillId="8" borderId="0" xfId="0" applyNumberFormat="1" applyFont="1" applyFill="1" applyAlignment="1">
      <alignment vertical="center"/>
    </xf>
    <xf numFmtId="41" fontId="8" fillId="8" borderId="30" xfId="0" applyNumberFormat="1" applyFont="1" applyFill="1" applyBorder="1" applyAlignment="1">
      <alignment vertical="center"/>
    </xf>
    <xf numFmtId="41" fontId="8" fillId="8" borderId="32" xfId="0" applyNumberFormat="1" applyFont="1" applyFill="1" applyBorder="1" applyAlignment="1">
      <alignment vertical="center"/>
    </xf>
    <xf numFmtId="41" fontId="8" fillId="8" borderId="0" xfId="1" applyNumberFormat="1" applyFont="1" applyFill="1" applyAlignment="1">
      <alignment vertical="center"/>
    </xf>
    <xf numFmtId="41" fontId="8" fillId="8" borderId="0" xfId="2" applyNumberFormat="1" applyFont="1" applyFill="1" applyBorder="1" applyAlignment="1">
      <alignment vertical="center"/>
    </xf>
    <xf numFmtId="3" fontId="8" fillId="8" borderId="0" xfId="0" applyNumberFormat="1" applyFont="1" applyFill="1" applyAlignment="1">
      <alignment vertical="center"/>
    </xf>
    <xf numFmtId="0" fontId="30" fillId="8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horizontal="right" vertical="center"/>
    </xf>
    <xf numFmtId="41" fontId="12" fillId="8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41" fontId="8" fillId="0" borderId="29" xfId="2" applyNumberFormat="1" applyFont="1" applyFill="1" applyBorder="1" applyAlignment="1">
      <alignment horizontal="right" vertical="center"/>
    </xf>
    <xf numFmtId="41" fontId="8" fillId="0" borderId="18" xfId="2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41" fontId="12" fillId="5" borderId="8" xfId="2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6" fillId="6" borderId="0" xfId="0" applyFont="1" applyFill="1" applyBorder="1" applyAlignment="1">
      <alignment vertical="center"/>
    </xf>
    <xf numFmtId="41" fontId="26" fillId="6" borderId="32" xfId="0" applyNumberFormat="1" applyFont="1" applyFill="1" applyBorder="1" applyAlignment="1">
      <alignment vertical="center"/>
    </xf>
    <xf numFmtId="0" fontId="26" fillId="8" borderId="7" xfId="0" applyFont="1" applyFill="1" applyBorder="1" applyAlignment="1">
      <alignment vertical="center"/>
    </xf>
    <xf numFmtId="41" fontId="26" fillId="8" borderId="5" xfId="0" applyNumberFormat="1" applyFont="1" applyFill="1" applyBorder="1" applyAlignment="1">
      <alignment vertical="center"/>
    </xf>
    <xf numFmtId="41" fontId="26" fillId="8" borderId="21" xfId="0" applyNumberFormat="1" applyFont="1" applyFill="1" applyBorder="1" applyAlignment="1">
      <alignment vertical="center"/>
    </xf>
    <xf numFmtId="0" fontId="26" fillId="8" borderId="0" xfId="0" applyFont="1" applyFill="1" applyBorder="1" applyAlignment="1">
      <alignment vertical="center"/>
    </xf>
    <xf numFmtId="41" fontId="26" fillId="8" borderId="32" xfId="0" applyNumberFormat="1" applyFont="1" applyFill="1" applyBorder="1" applyAlignment="1">
      <alignment vertical="center"/>
    </xf>
    <xf numFmtId="0" fontId="29" fillId="8" borderId="7" xfId="0" applyFont="1" applyFill="1" applyBorder="1" applyAlignment="1">
      <alignment vertical="center"/>
    </xf>
    <xf numFmtId="41" fontId="12" fillId="5" borderId="21" xfId="0" applyNumberFormat="1" applyFont="1" applyFill="1" applyBorder="1" applyAlignment="1">
      <alignment vertical="center"/>
    </xf>
    <xf numFmtId="0" fontId="26" fillId="8" borderId="41" xfId="0" applyFont="1" applyFill="1" applyBorder="1" applyAlignment="1">
      <alignment vertical="center"/>
    </xf>
    <xf numFmtId="41" fontId="26" fillId="8" borderId="26" xfId="0" applyNumberFormat="1" applyFont="1" applyFill="1" applyBorder="1" applyAlignment="1">
      <alignment vertical="center"/>
    </xf>
    <xf numFmtId="41" fontId="26" fillId="8" borderId="45" xfId="0" applyNumberFormat="1" applyFont="1" applyFill="1" applyBorder="1" applyAlignment="1">
      <alignment vertical="center"/>
    </xf>
    <xf numFmtId="0" fontId="26" fillId="6" borderId="45" xfId="0" applyFont="1" applyFill="1" applyBorder="1" applyAlignment="1">
      <alignment vertical="center"/>
    </xf>
    <xf numFmtId="0" fontId="26" fillId="6" borderId="49" xfId="0" applyFont="1" applyFill="1" applyBorder="1" applyAlignment="1">
      <alignment vertical="center"/>
    </xf>
    <xf numFmtId="0" fontId="26" fillId="8" borderId="21" xfId="0" applyFont="1" applyFill="1" applyBorder="1" applyAlignment="1">
      <alignment vertical="center"/>
    </xf>
    <xf numFmtId="0" fontId="26" fillId="8" borderId="45" xfId="0" applyFont="1" applyFill="1" applyBorder="1" applyAlignment="1">
      <alignment vertical="center"/>
    </xf>
    <xf numFmtId="41" fontId="12" fillId="5" borderId="0" xfId="0" applyNumberFormat="1" applyFont="1" applyFill="1" applyBorder="1" applyAlignment="1">
      <alignment vertical="center"/>
    </xf>
    <xf numFmtId="3" fontId="8" fillId="8" borderId="26" xfId="0" applyNumberFormat="1" applyFont="1" applyFill="1" applyBorder="1" applyAlignment="1">
      <alignment vertical="center"/>
    </xf>
    <xf numFmtId="3" fontId="8" fillId="8" borderId="41" xfId="0" applyNumberFormat="1" applyFont="1" applyFill="1" applyBorder="1" applyAlignment="1">
      <alignment vertical="center"/>
    </xf>
    <xf numFmtId="3" fontId="8" fillId="8" borderId="45" xfId="0" applyNumberFormat="1" applyFont="1" applyFill="1" applyBorder="1" applyAlignment="1">
      <alignment vertical="center"/>
    </xf>
    <xf numFmtId="0" fontId="26" fillId="8" borderId="18" xfId="0" applyFont="1" applyFill="1" applyBorder="1" applyAlignment="1">
      <alignment vertical="center"/>
    </xf>
    <xf numFmtId="3" fontId="8" fillId="8" borderId="29" xfId="0" applyNumberFormat="1" applyFont="1" applyFill="1" applyBorder="1" applyAlignment="1">
      <alignment vertical="center"/>
    </xf>
    <xf numFmtId="3" fontId="8" fillId="8" borderId="18" xfId="0" applyNumberFormat="1" applyFont="1" applyFill="1" applyBorder="1" applyAlignment="1">
      <alignment vertical="center"/>
    </xf>
    <xf numFmtId="3" fontId="8" fillId="8" borderId="49" xfId="0" applyNumberFormat="1" applyFont="1" applyFill="1" applyBorder="1" applyAlignment="1">
      <alignment vertical="center"/>
    </xf>
    <xf numFmtId="3" fontId="8" fillId="8" borderId="23" xfId="0" applyNumberFormat="1" applyFont="1" applyFill="1" applyBorder="1" applyAlignment="1">
      <alignment vertical="center"/>
    </xf>
    <xf numFmtId="3" fontId="8" fillId="8" borderId="24" xfId="0" applyNumberFormat="1" applyFont="1" applyFill="1" applyBorder="1" applyAlignment="1">
      <alignment vertical="center"/>
    </xf>
    <xf numFmtId="3" fontId="8" fillId="8" borderId="22" xfId="0" applyNumberFormat="1" applyFont="1" applyFill="1" applyBorder="1" applyAlignment="1">
      <alignment vertical="center"/>
    </xf>
    <xf numFmtId="0" fontId="26" fillId="6" borderId="41" xfId="0" applyFont="1" applyFill="1" applyBorder="1" applyAlignment="1">
      <alignment vertical="center"/>
    </xf>
    <xf numFmtId="3" fontId="33" fillId="9" borderId="26" xfId="0" applyNumberFormat="1" applyFont="1" applyFill="1" applyBorder="1" applyAlignment="1">
      <alignment vertical="center"/>
    </xf>
    <xf numFmtId="3" fontId="33" fillId="9" borderId="56" xfId="0" applyNumberFormat="1" applyFont="1" applyFill="1" applyBorder="1" applyAlignment="1">
      <alignment vertical="center"/>
    </xf>
    <xf numFmtId="41" fontId="26" fillId="6" borderId="15" xfId="0" applyNumberFormat="1" applyFont="1" applyFill="1" applyBorder="1" applyAlignment="1">
      <alignment vertical="center"/>
    </xf>
    <xf numFmtId="0" fontId="26" fillId="6" borderId="18" xfId="0" applyFont="1" applyFill="1" applyBorder="1" applyAlignment="1">
      <alignment vertical="center"/>
    </xf>
    <xf numFmtId="3" fontId="8" fillId="8" borderId="30" xfId="0" applyNumberFormat="1" applyFont="1" applyFill="1" applyBorder="1" applyAlignment="1">
      <alignment vertical="center"/>
    </xf>
    <xf numFmtId="3" fontId="8" fillId="8" borderId="0" xfId="0" applyNumberFormat="1" applyFont="1" applyFill="1" applyBorder="1" applyAlignment="1">
      <alignment vertical="center"/>
    </xf>
    <xf numFmtId="3" fontId="8" fillId="8" borderId="32" xfId="0" applyNumberFormat="1" applyFont="1" applyFill="1" applyBorder="1" applyAlignment="1">
      <alignment vertical="center"/>
    </xf>
    <xf numFmtId="3" fontId="37" fillId="9" borderId="26" xfId="0" applyNumberFormat="1" applyFont="1" applyFill="1" applyBorder="1" applyAlignment="1">
      <alignment vertical="center"/>
    </xf>
    <xf numFmtId="3" fontId="37" fillId="9" borderId="56" xfId="0" applyNumberFormat="1" applyFont="1" applyFill="1" applyBorder="1" applyAlignment="1">
      <alignment vertical="center"/>
    </xf>
    <xf numFmtId="41" fontId="26" fillId="6" borderId="12" xfId="0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22" xfId="0" applyNumberFormat="1" applyFont="1" applyBorder="1" applyAlignment="1">
      <alignment vertical="center"/>
    </xf>
    <xf numFmtId="0" fontId="8" fillId="0" borderId="25" xfId="6" applyFont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5" fillId="0" borderId="0" xfId="6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41" fontId="8" fillId="0" borderId="32" xfId="0" applyNumberFormat="1" applyFont="1" applyBorder="1" applyAlignment="1">
      <alignment horizontal="right" vertical="center"/>
    </xf>
    <xf numFmtId="0" fontId="12" fillId="5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41" fontId="27" fillId="0" borderId="6" xfId="0" applyNumberFormat="1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35" fillId="5" borderId="5" xfId="0" applyFont="1" applyFill="1" applyBorder="1" applyAlignment="1">
      <alignment vertical="center"/>
    </xf>
    <xf numFmtId="0" fontId="35" fillId="5" borderId="21" xfId="0" applyFont="1" applyFill="1" applyBorder="1" applyAlignment="1">
      <alignment vertical="center"/>
    </xf>
    <xf numFmtId="41" fontId="35" fillId="5" borderId="5" xfId="0" applyNumberFormat="1" applyFont="1" applyFill="1" applyBorder="1" applyAlignment="1">
      <alignment vertical="center"/>
    </xf>
    <xf numFmtId="41" fontId="35" fillId="5" borderId="7" xfId="0" applyNumberFormat="1" applyFont="1" applyFill="1" applyBorder="1" applyAlignment="1">
      <alignment vertical="center"/>
    </xf>
    <xf numFmtId="41" fontId="35" fillId="5" borderId="8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1" fontId="8" fillId="0" borderId="3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27" fillId="0" borderId="32" xfId="0" applyNumberFormat="1" applyFont="1" applyBorder="1" applyAlignment="1">
      <alignment horizontal="right" vertical="center"/>
    </xf>
    <xf numFmtId="41" fontId="8" fillId="0" borderId="32" xfId="0" applyNumberFormat="1" applyFont="1" applyBorder="1" applyAlignment="1">
      <alignment vertical="center"/>
    </xf>
    <xf numFmtId="0" fontId="36" fillId="5" borderId="21" xfId="0" applyFont="1" applyFill="1" applyBorder="1" applyAlignment="1">
      <alignment vertical="center"/>
    </xf>
    <xf numFmtId="41" fontId="35" fillId="5" borderId="5" xfId="0" applyNumberFormat="1" applyFont="1" applyFill="1" applyBorder="1" applyAlignment="1">
      <alignment horizontal="right" vertical="center"/>
    </xf>
    <xf numFmtId="41" fontId="35" fillId="5" borderId="7" xfId="0" applyNumberFormat="1" applyFont="1" applyFill="1" applyBorder="1" applyAlignment="1">
      <alignment horizontal="right" vertical="center"/>
    </xf>
    <xf numFmtId="41" fontId="35" fillId="5" borderId="8" xfId="0" applyNumberFormat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vertical="center"/>
    </xf>
    <xf numFmtId="3" fontId="26" fillId="0" borderId="22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27" fillId="0" borderId="6" xfId="0" applyNumberFormat="1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41" fontId="8" fillId="0" borderId="29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8" fillId="0" borderId="49" xfId="0" applyNumberFormat="1" applyFont="1" applyBorder="1" applyAlignment="1">
      <alignment horizontal="right" vertical="center"/>
    </xf>
    <xf numFmtId="0" fontId="35" fillId="7" borderId="8" xfId="0" applyFont="1" applyFill="1" applyBorder="1" applyAlignment="1">
      <alignment horizontal="left" vertical="center" wrapText="1"/>
    </xf>
    <xf numFmtId="41" fontId="35" fillId="5" borderId="5" xfId="0" applyNumberFormat="1" applyFont="1" applyFill="1" applyBorder="1" applyAlignment="1">
      <alignment horizontal="center" vertical="center"/>
    </xf>
    <xf numFmtId="41" fontId="35" fillId="5" borderId="7" xfId="0" applyNumberFormat="1" applyFont="1" applyFill="1" applyBorder="1" applyAlignment="1">
      <alignment horizontal="center" vertical="center"/>
    </xf>
    <xf numFmtId="41" fontId="35" fillId="5" borderId="21" xfId="0" applyNumberFormat="1" applyFont="1" applyFill="1" applyBorder="1" applyAlignment="1">
      <alignment horizontal="center" vertical="center"/>
    </xf>
    <xf numFmtId="41" fontId="35" fillId="5" borderId="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6" fillId="0" borderId="58" xfId="0" applyNumberFormat="1" applyFont="1" applyBorder="1" applyAlignment="1">
      <alignment vertical="center"/>
    </xf>
    <xf numFmtId="0" fontId="28" fillId="0" borderId="0" xfId="8" applyFont="1" applyAlignment="1">
      <alignment vertical="center"/>
    </xf>
    <xf numFmtId="0" fontId="8" fillId="0" borderId="0" xfId="8" applyFont="1" applyAlignment="1">
      <alignment vertical="center"/>
    </xf>
    <xf numFmtId="0" fontId="26" fillId="0" borderId="0" xfId="9" applyFont="1" applyFill="1" applyBorder="1" applyAlignment="1">
      <alignment vertical="center"/>
    </xf>
    <xf numFmtId="0" fontId="26" fillId="0" borderId="0" xfId="9" applyNumberFormat="1" applyFont="1" applyFill="1" applyBorder="1" applyAlignment="1">
      <alignment vertical="center"/>
    </xf>
    <xf numFmtId="0" fontId="23" fillId="0" borderId="26" xfId="8" applyFont="1" applyFill="1" applyBorder="1" applyAlignment="1">
      <alignment horizontal="left" vertical="center" wrapText="1"/>
    </xf>
    <xf numFmtId="0" fontId="23" fillId="0" borderId="15" xfId="8" applyFont="1" applyFill="1" applyBorder="1" applyAlignment="1">
      <alignment horizontal="left" vertical="center" wrapText="1"/>
    </xf>
    <xf numFmtId="41" fontId="28" fillId="0" borderId="0" xfId="2" applyNumberFormat="1" applyFont="1" applyBorder="1" applyAlignment="1">
      <alignment vertical="center"/>
    </xf>
    <xf numFmtId="41" fontId="28" fillId="0" borderId="41" xfId="2" applyNumberFormat="1" applyFont="1" applyBorder="1" applyAlignment="1">
      <alignment vertical="center"/>
    </xf>
    <xf numFmtId="41" fontId="28" fillId="0" borderId="0" xfId="8" applyNumberFormat="1" applyFont="1" applyBorder="1" applyAlignment="1">
      <alignment vertical="center"/>
    </xf>
    <xf numFmtId="41" fontId="23" fillId="0" borderId="41" xfId="0" applyNumberFormat="1" applyFont="1" applyBorder="1" applyAlignment="1">
      <alignment vertical="center"/>
    </xf>
    <xf numFmtId="3" fontId="28" fillId="0" borderId="41" xfId="8" applyNumberFormat="1" applyFont="1" applyBorder="1" applyAlignment="1">
      <alignment vertical="center"/>
    </xf>
    <xf numFmtId="3" fontId="28" fillId="0" borderId="0" xfId="8" applyNumberFormat="1" applyFont="1" applyBorder="1" applyAlignment="1">
      <alignment vertical="center"/>
    </xf>
    <xf numFmtId="166" fontId="28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0" borderId="15" xfId="1" applyNumberFormat="1" applyFont="1" applyBorder="1" applyAlignment="1">
      <alignment vertical="center"/>
    </xf>
    <xf numFmtId="164" fontId="10" fillId="0" borderId="15" xfId="1" applyNumberFormat="1" applyFont="1" applyBorder="1" applyAlignment="1">
      <alignment vertical="center"/>
    </xf>
    <xf numFmtId="0" fontId="23" fillId="0" borderId="30" xfId="8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 wrapText="1"/>
    </xf>
    <xf numFmtId="41" fontId="23" fillId="0" borderId="0" xfId="0" applyNumberFormat="1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10" fillId="0" borderId="6" xfId="1" applyNumberFormat="1" applyFont="1" applyBorder="1" applyAlignment="1">
      <alignment vertical="center"/>
    </xf>
    <xf numFmtId="0" fontId="23" fillId="0" borderId="29" xfId="8" applyFont="1" applyFill="1" applyBorder="1" applyAlignment="1">
      <alignment horizontal="left" vertical="center" wrapText="1"/>
    </xf>
    <xf numFmtId="0" fontId="23" fillId="0" borderId="12" xfId="8" applyFont="1" applyFill="1" applyBorder="1" applyAlignment="1">
      <alignment horizontal="left" vertical="center" wrapText="1"/>
    </xf>
    <xf numFmtId="41" fontId="28" fillId="0" borderId="18" xfId="2" applyNumberFormat="1" applyFont="1" applyBorder="1" applyAlignment="1">
      <alignment vertical="center"/>
    </xf>
    <xf numFmtId="41" fontId="28" fillId="0" borderId="18" xfId="8" applyNumberFormat="1" applyFont="1" applyBorder="1" applyAlignment="1">
      <alignment vertical="center"/>
    </xf>
    <xf numFmtId="0" fontId="28" fillId="0" borderId="0" xfId="8" applyFont="1" applyFill="1" applyBorder="1" applyAlignment="1">
      <alignment vertical="center"/>
    </xf>
    <xf numFmtId="0" fontId="34" fillId="5" borderId="8" xfId="8" applyFont="1" applyFill="1" applyBorder="1" applyAlignment="1">
      <alignment vertical="center"/>
    </xf>
    <xf numFmtId="165" fontId="34" fillId="5" borderId="7" xfId="2" applyNumberFormat="1" applyFont="1" applyFill="1" applyBorder="1" applyAlignment="1">
      <alignment vertical="center"/>
    </xf>
    <xf numFmtId="41" fontId="34" fillId="5" borderId="7" xfId="8" applyNumberFormat="1" applyFont="1" applyFill="1" applyBorder="1" applyAlignment="1">
      <alignment vertical="center"/>
    </xf>
    <xf numFmtId="41" fontId="39" fillId="5" borderId="21" xfId="8" applyNumberFormat="1" applyFont="1" applyFill="1" applyBorder="1" applyAlignment="1">
      <alignment vertical="center"/>
    </xf>
    <xf numFmtId="41" fontId="34" fillId="5" borderId="21" xfId="8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9" applyFont="1" applyFill="1" applyBorder="1" applyAlignment="1">
      <alignment vertical="center"/>
    </xf>
    <xf numFmtId="0" fontId="28" fillId="0" borderId="0" xfId="10" applyFont="1" applyAlignment="1">
      <alignment vertical="center"/>
    </xf>
    <xf numFmtId="0" fontId="28" fillId="0" borderId="26" xfId="10" applyFont="1" applyFill="1" applyBorder="1" applyAlignment="1">
      <alignment vertical="center"/>
    </xf>
    <xf numFmtId="0" fontId="28" fillId="0" borderId="15" xfId="10" applyFont="1" applyFill="1" applyBorder="1" applyAlignment="1">
      <alignment vertical="center"/>
    </xf>
    <xf numFmtId="41" fontId="23" fillId="0" borderId="41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28" fillId="0" borderId="30" xfId="10" applyFont="1" applyFill="1" applyBorder="1" applyAlignment="1">
      <alignment vertical="center"/>
    </xf>
    <xf numFmtId="0" fontId="28" fillId="0" borderId="6" xfId="10" applyFont="1" applyFill="1" applyBorder="1" applyAlignment="1">
      <alignment vertical="center"/>
    </xf>
    <xf numFmtId="41" fontId="23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41" fontId="28" fillId="0" borderId="0" xfId="1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41" fontId="28" fillId="0" borderId="30" xfId="2" applyNumberFormat="1" applyFont="1" applyBorder="1" applyAlignment="1">
      <alignment vertical="center"/>
    </xf>
    <xf numFmtId="41" fontId="28" fillId="0" borderId="0" xfId="2" applyNumberFormat="1" applyFont="1" applyFill="1" applyBorder="1" applyAlignment="1">
      <alignment vertical="center"/>
    </xf>
    <xf numFmtId="0" fontId="28" fillId="0" borderId="29" xfId="10" applyFont="1" applyFill="1" applyBorder="1" applyAlignment="1">
      <alignment vertical="center"/>
    </xf>
    <xf numFmtId="0" fontId="28" fillId="0" borderId="12" xfId="10" applyFont="1" applyFill="1" applyBorder="1" applyAlignment="1">
      <alignment vertical="center"/>
    </xf>
    <xf numFmtId="0" fontId="28" fillId="8" borderId="0" xfId="10" applyFont="1" applyFill="1" applyAlignment="1">
      <alignment vertical="center"/>
    </xf>
    <xf numFmtId="0" fontId="34" fillId="5" borderId="5" xfId="10" applyFont="1" applyFill="1" applyBorder="1" applyAlignment="1">
      <alignment vertical="center"/>
    </xf>
    <xf numFmtId="165" fontId="34" fillId="5" borderId="5" xfId="2" applyNumberFormat="1" applyFont="1" applyFill="1" applyBorder="1" applyAlignment="1">
      <alignment vertical="center"/>
    </xf>
    <xf numFmtId="41" fontId="34" fillId="5" borderId="18" xfId="8" applyNumberFormat="1" applyFont="1" applyFill="1" applyBorder="1" applyAlignment="1">
      <alignment vertical="center"/>
    </xf>
    <xf numFmtId="0" fontId="23" fillId="0" borderId="15" xfId="8" applyFont="1" applyFill="1" applyBorder="1" applyAlignment="1">
      <alignment horizontal="center" vertical="center"/>
    </xf>
    <xf numFmtId="41" fontId="23" fillId="0" borderId="41" xfId="2" applyNumberFormat="1" applyFont="1" applyBorder="1" applyAlignment="1">
      <alignment vertical="center"/>
    </xf>
    <xf numFmtId="41" fontId="24" fillId="0" borderId="15" xfId="2" applyNumberFormat="1" applyFont="1" applyBorder="1" applyAlignment="1">
      <alignment vertical="center"/>
    </xf>
    <xf numFmtId="0" fontId="23" fillId="0" borderId="6" xfId="8" applyFont="1" applyFill="1" applyBorder="1" applyAlignment="1">
      <alignment horizontal="center" vertical="center"/>
    </xf>
    <xf numFmtId="41" fontId="23" fillId="0" borderId="0" xfId="2" applyNumberFormat="1" applyFont="1" applyBorder="1" applyAlignment="1">
      <alignment vertical="center"/>
    </xf>
    <xf numFmtId="41" fontId="24" fillId="0" borderId="6" xfId="2" applyNumberFormat="1" applyFont="1" applyBorder="1" applyAlignment="1">
      <alignment vertical="center"/>
    </xf>
    <xf numFmtId="0" fontId="23" fillId="0" borderId="12" xfId="8" applyFont="1" applyFill="1" applyBorder="1" applyAlignment="1">
      <alignment horizontal="center" vertical="center"/>
    </xf>
    <xf numFmtId="41" fontId="23" fillId="0" borderId="18" xfId="2" applyNumberFormat="1" applyFont="1" applyBorder="1" applyAlignment="1">
      <alignment vertical="center"/>
    </xf>
    <xf numFmtId="41" fontId="23" fillId="0" borderId="18" xfId="2" applyNumberFormat="1" applyFont="1" applyFill="1" applyBorder="1" applyAlignment="1">
      <alignment vertical="center"/>
    </xf>
    <xf numFmtId="41" fontId="24" fillId="0" borderId="12" xfId="2" applyNumberFormat="1" applyFont="1" applyBorder="1" applyAlignment="1">
      <alignment vertical="center"/>
    </xf>
    <xf numFmtId="0" fontId="28" fillId="0" borderId="30" xfId="8" applyFont="1" applyFill="1" applyBorder="1" applyAlignment="1">
      <alignment vertical="center"/>
    </xf>
    <xf numFmtId="41" fontId="28" fillId="0" borderId="0" xfId="8" applyNumberFormat="1" applyFont="1" applyFill="1" applyBorder="1" applyAlignment="1">
      <alignment vertical="center"/>
    </xf>
    <xf numFmtId="41" fontId="28" fillId="0" borderId="32" xfId="8" applyNumberFormat="1" applyFont="1" applyBorder="1" applyAlignment="1">
      <alignment vertical="center"/>
    </xf>
    <xf numFmtId="41" fontId="28" fillId="0" borderId="41" xfId="2" applyNumberFormat="1" applyFont="1" applyFill="1" applyBorder="1" applyAlignment="1">
      <alignment vertical="center"/>
    </xf>
    <xf numFmtId="0" fontId="23" fillId="0" borderId="30" xfId="8" applyFont="1" applyFill="1" applyBorder="1" applyAlignment="1">
      <alignment horizontal="center" vertical="center"/>
    </xf>
    <xf numFmtId="41" fontId="23" fillId="0" borderId="30" xfId="0" applyNumberFormat="1" applyFont="1" applyBorder="1" applyAlignment="1">
      <alignment vertical="center"/>
    </xf>
    <xf numFmtId="41" fontId="28" fillId="0" borderId="30" xfId="8" applyNumberFormat="1" applyFont="1" applyBorder="1" applyAlignment="1">
      <alignment vertical="center"/>
    </xf>
    <xf numFmtId="41" fontId="28" fillId="0" borderId="30" xfId="1" applyNumberFormat="1" applyFont="1" applyBorder="1" applyAlignment="1">
      <alignment vertical="center"/>
    </xf>
    <xf numFmtId="41" fontId="28" fillId="0" borderId="0" xfId="1" applyNumberFormat="1" applyFont="1" applyBorder="1" applyAlignment="1">
      <alignment vertical="center"/>
    </xf>
    <xf numFmtId="41" fontId="23" fillId="0" borderId="0" xfId="0" applyNumberFormat="1" applyFont="1" applyBorder="1" applyAlignment="1">
      <alignment horizontal="center" vertical="center"/>
    </xf>
    <xf numFmtId="164" fontId="28" fillId="0" borderId="0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1" fontId="28" fillId="0" borderId="29" xfId="0" applyNumberFormat="1" applyFont="1" applyBorder="1" applyAlignment="1">
      <alignment vertical="center"/>
    </xf>
    <xf numFmtId="41" fontId="28" fillId="0" borderId="18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41" fontId="25" fillId="0" borderId="29" xfId="0" applyNumberFormat="1" applyFont="1" applyBorder="1" applyAlignment="1">
      <alignment vertical="center"/>
    </xf>
    <xf numFmtId="41" fontId="25" fillId="0" borderId="18" xfId="0" applyNumberFormat="1" applyFont="1" applyBorder="1" applyAlignment="1">
      <alignment vertical="center"/>
    </xf>
    <xf numFmtId="41" fontId="25" fillId="0" borderId="18" xfId="8" applyNumberFormat="1" applyFont="1" applyBorder="1" applyAlignment="1">
      <alignment vertical="center"/>
    </xf>
    <xf numFmtId="164" fontId="8" fillId="0" borderId="45" xfId="1" applyNumberFormat="1" applyFont="1" applyBorder="1" applyAlignment="1">
      <alignment vertical="center"/>
    </xf>
    <xf numFmtId="164" fontId="8" fillId="0" borderId="32" xfId="1" applyNumberFormat="1" applyFont="1" applyBorder="1" applyAlignment="1">
      <alignment vertical="center"/>
    </xf>
    <xf numFmtId="41" fontId="28" fillId="0" borderId="49" xfId="8" applyNumberFormat="1" applyFont="1" applyBorder="1" applyAlignment="1">
      <alignment vertical="center"/>
    </xf>
    <xf numFmtId="41" fontId="28" fillId="0" borderId="12" xfId="8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41" fontId="28" fillId="0" borderId="30" xfId="0" applyNumberFormat="1" applyFont="1" applyBorder="1" applyAlignment="1">
      <alignment vertical="center"/>
    </xf>
    <xf numFmtId="41" fontId="28" fillId="0" borderId="0" xfId="0" applyNumberFormat="1" applyFont="1" applyBorder="1" applyAlignment="1">
      <alignment vertical="center"/>
    </xf>
    <xf numFmtId="0" fontId="43" fillId="4" borderId="0" xfId="0" applyFont="1" applyFill="1" applyAlignment="1">
      <alignment vertical="center"/>
    </xf>
    <xf numFmtId="0" fontId="4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7" applyFont="1" applyAlignment="1" applyProtection="1">
      <alignment vertical="center"/>
    </xf>
    <xf numFmtId="0" fontId="7" fillId="0" borderId="0" xfId="7" applyFont="1" applyAlignment="1" applyProtection="1">
      <alignment vertical="center"/>
    </xf>
    <xf numFmtId="0" fontId="5" fillId="0" borderId="0" xfId="0" applyFont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10" fillId="0" borderId="15" xfId="1" applyNumberFormat="1" applyFont="1" applyFill="1" applyBorder="1" applyAlignment="1">
      <alignment horizontal="right" vertical="center"/>
    </xf>
    <xf numFmtId="3" fontId="8" fillId="0" borderId="30" xfId="2" applyNumberFormat="1" applyFont="1" applyFill="1" applyBorder="1" applyAlignment="1">
      <alignment vertical="center"/>
    </xf>
    <xf numFmtId="3" fontId="10" fillId="0" borderId="32" xfId="1" applyNumberFormat="1" applyFont="1" applyFill="1" applyBorder="1" applyAlignment="1">
      <alignment horizontal="right" vertical="center"/>
    </xf>
    <xf numFmtId="3" fontId="10" fillId="0" borderId="6" xfId="1" applyNumberFormat="1" applyFont="1" applyFill="1" applyBorder="1" applyAlignment="1">
      <alignment horizontal="right" vertical="center"/>
    </xf>
    <xf numFmtId="3" fontId="8" fillId="0" borderId="0" xfId="1" applyNumberFormat="1" applyFont="1" applyAlignment="1">
      <alignment vertical="center"/>
    </xf>
    <xf numFmtId="3" fontId="12" fillId="5" borderId="19" xfId="1" applyNumberFormat="1" applyFont="1" applyFill="1" applyBorder="1" applyAlignment="1">
      <alignment vertical="center"/>
    </xf>
    <xf numFmtId="3" fontId="12" fillId="5" borderId="7" xfId="1" applyNumberFormat="1" applyFont="1" applyFill="1" applyBorder="1" applyAlignment="1">
      <alignment vertical="center"/>
    </xf>
    <xf numFmtId="3" fontId="12" fillId="5" borderId="18" xfId="1" applyNumberFormat="1" applyFont="1" applyFill="1" applyBorder="1" applyAlignment="1">
      <alignment vertical="center"/>
    </xf>
    <xf numFmtId="3" fontId="12" fillId="5" borderId="16" xfId="1" applyNumberFormat="1" applyFont="1" applyFill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169" fontId="26" fillId="8" borderId="7" xfId="0" applyNumberFormat="1" applyFont="1" applyFill="1" applyBorder="1" applyAlignment="1">
      <alignment vertical="center"/>
    </xf>
    <xf numFmtId="3" fontId="26" fillId="8" borderId="7" xfId="0" applyNumberFormat="1" applyFont="1" applyFill="1" applyBorder="1" applyAlignment="1">
      <alignment vertical="center"/>
    </xf>
    <xf numFmtId="3" fontId="8" fillId="8" borderId="0" xfId="1" applyNumberFormat="1" applyFont="1" applyFill="1" applyAlignment="1">
      <alignment vertical="center"/>
    </xf>
    <xf numFmtId="3" fontId="12" fillId="5" borderId="7" xfId="0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8" fillId="8" borderId="7" xfId="0" applyNumberFormat="1" applyFont="1" applyFill="1" applyBorder="1" applyAlignment="1">
      <alignment vertical="center"/>
    </xf>
    <xf numFmtId="41" fontId="8" fillId="8" borderId="7" xfId="1" applyNumberFormat="1" applyFont="1" applyFill="1" applyBorder="1" applyAlignment="1">
      <alignment vertical="center"/>
    </xf>
    <xf numFmtId="169" fontId="8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3" fontId="8" fillId="6" borderId="26" xfId="0" applyNumberFormat="1" applyFont="1" applyFill="1" applyBorder="1" applyAlignment="1">
      <alignment vertical="center"/>
    </xf>
    <xf numFmtId="3" fontId="8" fillId="6" borderId="41" xfId="0" applyNumberFormat="1" applyFont="1" applyFill="1" applyBorder="1" applyAlignment="1">
      <alignment vertical="center"/>
    </xf>
    <xf numFmtId="41" fontId="8" fillId="6" borderId="15" xfId="0" applyNumberFormat="1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3" fontId="8" fillId="6" borderId="30" xfId="0" applyNumberFormat="1" applyFont="1" applyFill="1" applyBorder="1" applyAlignment="1">
      <alignment vertical="center"/>
    </xf>
    <xf numFmtId="3" fontId="8" fillId="6" borderId="0" xfId="0" applyNumberFormat="1" applyFont="1" applyFill="1" applyBorder="1" applyAlignment="1">
      <alignment vertical="center"/>
    </xf>
    <xf numFmtId="41" fontId="8" fillId="6" borderId="6" xfId="0" applyNumberFormat="1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" fontId="8" fillId="6" borderId="32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41" fontId="8" fillId="6" borderId="0" xfId="0" applyNumberFormat="1" applyFont="1" applyFill="1" applyBorder="1" applyAlignment="1">
      <alignment vertical="center"/>
    </xf>
    <xf numFmtId="41" fontId="12" fillId="5" borderId="7" xfId="0" quotePrefix="1" applyNumberFormat="1" applyFont="1" applyFill="1" applyBorder="1" applyAlignment="1">
      <alignment vertical="center"/>
    </xf>
    <xf numFmtId="0" fontId="8" fillId="6" borderId="12" xfId="0" applyFont="1" applyFill="1" applyBorder="1" applyAlignment="1">
      <alignment vertical="center"/>
    </xf>
    <xf numFmtId="41" fontId="8" fillId="6" borderId="18" xfId="0" applyNumberFormat="1" applyFont="1" applyFill="1" applyBorder="1" applyAlignment="1">
      <alignment vertical="center"/>
    </xf>
    <xf numFmtId="41" fontId="8" fillId="6" borderId="12" xfId="0" applyNumberFormat="1" applyFont="1" applyFill="1" applyBorder="1" applyAlignment="1">
      <alignment vertical="center"/>
    </xf>
    <xf numFmtId="41" fontId="12" fillId="5" borderId="45" xfId="0" applyNumberFormat="1" applyFont="1" applyFill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2" fillId="5" borderId="7" xfId="2" applyNumberFormat="1" applyFont="1" applyFill="1" applyBorder="1" applyAlignment="1">
      <alignment vertical="center"/>
    </xf>
    <xf numFmtId="3" fontId="12" fillId="5" borderId="5" xfId="0" applyNumberFormat="1" applyFont="1" applyFill="1" applyBorder="1" applyAlignment="1">
      <alignment vertical="center"/>
    </xf>
    <xf numFmtId="3" fontId="26" fillId="8" borderId="29" xfId="0" applyNumberFormat="1" applyFont="1" applyFill="1" applyBorder="1" applyAlignment="1">
      <alignment vertical="center"/>
    </xf>
    <xf numFmtId="3" fontId="26" fillId="8" borderId="18" xfId="0" applyNumberFormat="1" applyFont="1" applyFill="1" applyBorder="1" applyAlignment="1">
      <alignment vertical="center"/>
    </xf>
    <xf numFmtId="3" fontId="12" fillId="5" borderId="18" xfId="0" applyNumberFormat="1" applyFont="1" applyFill="1" applyBorder="1" applyAlignment="1">
      <alignment vertical="center"/>
    </xf>
    <xf numFmtId="3" fontId="26" fillId="8" borderId="5" xfId="0" applyNumberFormat="1" applyFont="1" applyFill="1" applyBorder="1" applyAlignment="1">
      <alignment vertical="center"/>
    </xf>
    <xf numFmtId="3" fontId="26" fillId="8" borderId="21" xfId="0" applyNumberFormat="1" applyFont="1" applyFill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3" fontId="12" fillId="5" borderId="5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2" fillId="5" borderId="8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2" fillId="5" borderId="19" xfId="0" applyNumberFormat="1" applyFont="1" applyFill="1" applyBorder="1" applyAlignment="1">
      <alignment horizontal="right" vertical="center"/>
    </xf>
    <xf numFmtId="3" fontId="12" fillId="5" borderId="16" xfId="0" applyNumberFormat="1" applyFont="1" applyFill="1" applyBorder="1" applyAlignment="1">
      <alignment horizontal="right" vertical="center"/>
    </xf>
    <xf numFmtId="3" fontId="12" fillId="5" borderId="19" xfId="0" applyNumberFormat="1" applyFont="1" applyFill="1" applyBorder="1" applyAlignment="1">
      <alignment vertical="center"/>
    </xf>
    <xf numFmtId="41" fontId="28" fillId="0" borderId="32" xfId="10" applyNumberFormat="1" applyFont="1" applyBorder="1" applyAlignment="1">
      <alignment vertical="center"/>
    </xf>
    <xf numFmtId="41" fontId="28" fillId="0" borderId="6" xfId="10" applyNumberFormat="1" applyFont="1" applyBorder="1" applyAlignment="1">
      <alignment vertical="center"/>
    </xf>
    <xf numFmtId="41" fontId="34" fillId="5" borderId="8" xfId="8" applyNumberFormat="1" applyFont="1" applyFill="1" applyBorder="1" applyAlignment="1">
      <alignment vertical="center"/>
    </xf>
    <xf numFmtId="0" fontId="38" fillId="10" borderId="0" xfId="0" applyFont="1" applyFill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vertical="center" wrapText="1"/>
    </xf>
    <xf numFmtId="0" fontId="26" fillId="6" borderId="6" xfId="0" applyFont="1" applyFill="1" applyBorder="1" applyAlignment="1">
      <alignment vertical="center" wrapText="1"/>
    </xf>
    <xf numFmtId="0" fontId="26" fillId="8" borderId="6" xfId="0" applyFont="1" applyFill="1" applyBorder="1" applyAlignment="1">
      <alignment vertical="center"/>
    </xf>
    <xf numFmtId="0" fontId="26" fillId="8" borderId="32" xfId="0" applyFont="1" applyFill="1" applyBorder="1" applyAlignment="1">
      <alignment horizontal="left" vertical="center"/>
    </xf>
    <xf numFmtId="0" fontId="26" fillId="8" borderId="32" xfId="0" applyFont="1" applyFill="1" applyBorder="1" applyAlignment="1">
      <alignment vertical="center"/>
    </xf>
    <xf numFmtId="0" fontId="26" fillId="8" borderId="49" xfId="0" applyFont="1" applyFill="1" applyBorder="1" applyAlignment="1">
      <alignment vertical="center"/>
    </xf>
    <xf numFmtId="0" fontId="26" fillId="8" borderId="15" xfId="0" applyFont="1" applyFill="1" applyBorder="1" applyAlignment="1">
      <alignment vertical="center"/>
    </xf>
    <xf numFmtId="0" fontId="26" fillId="8" borderId="12" xfId="0" applyFont="1" applyFill="1" applyBorder="1" applyAlignment="1">
      <alignment vertical="center"/>
    </xf>
    <xf numFmtId="0" fontId="26" fillId="8" borderId="15" xfId="0" applyFont="1" applyFill="1" applyBorder="1" applyAlignment="1">
      <alignment horizontal="left" vertical="center"/>
    </xf>
    <xf numFmtId="0" fontId="26" fillId="8" borderId="6" xfId="0" applyFont="1" applyFill="1" applyBorder="1" applyAlignment="1">
      <alignment horizontal="left" vertical="center"/>
    </xf>
    <xf numFmtId="0" fontId="26" fillId="8" borderId="12" xfId="0" applyFont="1" applyFill="1" applyBorder="1" applyAlignment="1">
      <alignment horizontal="left" vertical="center"/>
    </xf>
    <xf numFmtId="0" fontId="26" fillId="8" borderId="15" xfId="0" applyFont="1" applyFill="1" applyBorder="1" applyAlignment="1">
      <alignment vertical="center" wrapText="1"/>
    </xf>
    <xf numFmtId="0" fontId="26" fillId="8" borderId="6" xfId="0" applyFont="1" applyFill="1" applyBorder="1" applyAlignment="1">
      <alignment vertical="center" wrapText="1"/>
    </xf>
    <xf numFmtId="0" fontId="26" fillId="8" borderId="12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vertical="center"/>
    </xf>
    <xf numFmtId="0" fontId="26" fillId="6" borderId="29" xfId="0" applyFont="1" applyFill="1" applyBorder="1" applyAlignment="1">
      <alignment vertical="center"/>
    </xf>
    <xf numFmtId="0" fontId="26" fillId="8" borderId="26" xfId="0" applyFont="1" applyFill="1" applyBorder="1" applyAlignment="1">
      <alignment vertical="center"/>
    </xf>
    <xf numFmtId="0" fontId="26" fillId="8" borderId="30" xfId="0" applyFont="1" applyFill="1" applyBorder="1" applyAlignment="1">
      <alignment vertical="center"/>
    </xf>
    <xf numFmtId="0" fontId="26" fillId="8" borderId="29" xfId="0" applyFont="1" applyFill="1" applyBorder="1" applyAlignment="1">
      <alignment vertical="center"/>
    </xf>
    <xf numFmtId="0" fontId="12" fillId="5" borderId="36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vertical="center"/>
    </xf>
    <xf numFmtId="0" fontId="26" fillId="8" borderId="0" xfId="0" applyFont="1" applyFill="1" applyBorder="1" applyAlignment="1">
      <alignment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11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9"/>
    <cellStyle name="Normal_D1" xfId="3"/>
    <cellStyle name="Normal_D2" xfId="4"/>
    <cellStyle name="Normal_D3" xfId="5"/>
    <cellStyle name="Normal_E&amp;WIncin09" xfId="6"/>
    <cellStyle name="Normal_emhaztables06_1902562" xfId="8"/>
    <cellStyle name="Normal_yhhaztables06_1902555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4"/>
  <sheetViews>
    <sheetView showGridLines="0" tabSelected="1" workbookViewId="0">
      <selection sqref="A1:F1"/>
    </sheetView>
  </sheetViews>
  <sheetFormatPr defaultRowHeight="12.75" x14ac:dyDescent="0.2"/>
  <cols>
    <col min="1" max="1" width="24.7109375" style="194" customWidth="1"/>
    <col min="2" max="2" width="12.5703125" style="194" customWidth="1"/>
    <col min="3" max="3" width="9.140625" style="194"/>
    <col min="4" max="4" width="3.140625" style="194" customWidth="1"/>
    <col min="5" max="16384" width="9.140625" style="194"/>
  </cols>
  <sheetData>
    <row r="1" spans="1:18" ht="34.5" customHeight="1" x14ac:dyDescent="0.2">
      <c r="A1" s="451" t="s">
        <v>216</v>
      </c>
      <c r="B1" s="451"/>
      <c r="C1" s="451"/>
      <c r="D1" s="451"/>
      <c r="E1" s="451"/>
      <c r="F1" s="451"/>
      <c r="G1" s="452" t="s">
        <v>88</v>
      </c>
      <c r="H1" s="452"/>
      <c r="I1" s="452"/>
      <c r="J1" s="452"/>
      <c r="K1" s="452"/>
      <c r="L1" s="452"/>
      <c r="M1" s="452"/>
    </row>
    <row r="2" spans="1:18" ht="24" customHeight="1" x14ac:dyDescent="0.2"/>
    <row r="3" spans="1:18" ht="26.25" x14ac:dyDescent="0.2">
      <c r="A3" s="380" t="s">
        <v>90</v>
      </c>
      <c r="B3" s="381"/>
      <c r="C3" s="381"/>
      <c r="D3" s="380"/>
      <c r="E3" s="380" t="s">
        <v>210</v>
      </c>
      <c r="F3" s="381"/>
      <c r="G3" s="382"/>
      <c r="H3" s="382"/>
      <c r="I3" s="382"/>
      <c r="J3" s="382"/>
      <c r="K3" s="382"/>
      <c r="L3" s="382"/>
      <c r="M3" s="382"/>
    </row>
    <row r="4" spans="1:18" ht="26.25" x14ac:dyDescent="0.2">
      <c r="A4" s="383" t="s">
        <v>89</v>
      </c>
      <c r="B4" s="384"/>
      <c r="C4" s="384"/>
      <c r="D4" s="383"/>
      <c r="E4" s="385" t="s">
        <v>217</v>
      </c>
      <c r="F4" s="386"/>
      <c r="G4" s="386"/>
      <c r="H4" s="386"/>
    </row>
    <row r="5" spans="1:18" ht="26.25" x14ac:dyDescent="0.2">
      <c r="A5" s="383" t="s">
        <v>89</v>
      </c>
      <c r="B5" s="384"/>
      <c r="C5" s="384"/>
      <c r="D5" s="383"/>
      <c r="E5" s="385" t="s">
        <v>218</v>
      </c>
    </row>
    <row r="6" spans="1:18" ht="26.25" x14ac:dyDescent="0.2">
      <c r="A6" s="383" t="s">
        <v>89</v>
      </c>
      <c r="B6" s="384"/>
      <c r="C6" s="384"/>
      <c r="D6" s="383"/>
      <c r="E6" s="385" t="s">
        <v>219</v>
      </c>
    </row>
    <row r="7" spans="1:18" ht="26.25" x14ac:dyDescent="0.2">
      <c r="A7" s="383" t="s">
        <v>89</v>
      </c>
      <c r="B7" s="384"/>
      <c r="C7" s="384"/>
      <c r="D7" s="383"/>
      <c r="E7" s="385" t="s">
        <v>220</v>
      </c>
    </row>
    <row r="8" spans="1:18" ht="26.25" x14ac:dyDescent="0.2">
      <c r="A8" s="383" t="s">
        <v>215</v>
      </c>
      <c r="B8" s="384"/>
      <c r="C8" s="384"/>
      <c r="D8" s="384"/>
      <c r="E8" s="385" t="s">
        <v>221</v>
      </c>
    </row>
    <row r="9" spans="1:18" ht="26.25" x14ac:dyDescent="0.2">
      <c r="A9" s="383" t="s">
        <v>215</v>
      </c>
      <c r="B9" s="384"/>
      <c r="C9" s="384"/>
      <c r="D9" s="384"/>
      <c r="E9" s="385" t="s">
        <v>222</v>
      </c>
    </row>
    <row r="10" spans="1:18" ht="26.25" x14ac:dyDescent="0.2">
      <c r="A10" s="383" t="s">
        <v>91</v>
      </c>
      <c r="B10" s="384"/>
      <c r="C10" s="384"/>
      <c r="D10" s="384"/>
      <c r="E10" s="385" t="s">
        <v>223</v>
      </c>
    </row>
    <row r="11" spans="1:18" ht="26.25" x14ac:dyDescent="0.2">
      <c r="A11" s="383" t="s">
        <v>92</v>
      </c>
      <c r="B11" s="384"/>
      <c r="C11" s="384"/>
      <c r="D11" s="384"/>
      <c r="E11" s="385" t="s">
        <v>224</v>
      </c>
    </row>
    <row r="12" spans="1:18" ht="26.25" x14ac:dyDescent="0.2">
      <c r="A12" s="383" t="s">
        <v>93</v>
      </c>
      <c r="B12" s="384"/>
      <c r="C12" s="384"/>
      <c r="D12" s="384"/>
      <c r="E12" s="385" t="s">
        <v>225</v>
      </c>
    </row>
    <row r="13" spans="1:18" ht="26.25" x14ac:dyDescent="0.2">
      <c r="A13" s="383" t="s">
        <v>33</v>
      </c>
      <c r="B13" s="384"/>
      <c r="C13" s="384"/>
      <c r="D13" s="384"/>
      <c r="E13" s="385" t="s">
        <v>226</v>
      </c>
      <c r="R13" s="384"/>
    </row>
    <row r="14" spans="1:18" ht="26.25" x14ac:dyDescent="0.2">
      <c r="A14" s="383" t="s">
        <v>33</v>
      </c>
      <c r="B14" s="384"/>
      <c r="C14" s="384"/>
      <c r="D14" s="384"/>
      <c r="E14" s="385" t="s">
        <v>227</v>
      </c>
    </row>
    <row r="15" spans="1:18" ht="26.25" x14ac:dyDescent="0.2">
      <c r="A15" s="383" t="s">
        <v>33</v>
      </c>
      <c r="B15" s="384"/>
      <c r="C15" s="384"/>
      <c r="D15" s="384"/>
      <c r="E15" s="385" t="s">
        <v>228</v>
      </c>
    </row>
    <row r="16" spans="1:18" ht="26.25" x14ac:dyDescent="0.2">
      <c r="A16" s="387"/>
    </row>
    <row r="17" spans="1:1" ht="26.25" x14ac:dyDescent="0.2">
      <c r="A17" s="387" t="s">
        <v>250</v>
      </c>
    </row>
    <row r="18" spans="1:1" ht="26.25" x14ac:dyDescent="0.2">
      <c r="A18" s="387"/>
    </row>
    <row r="19" spans="1:1" ht="26.25" x14ac:dyDescent="0.2">
      <c r="A19" s="387"/>
    </row>
    <row r="20" spans="1:1" ht="26.25" x14ac:dyDescent="0.2">
      <c r="A20" s="387"/>
    </row>
    <row r="21" spans="1:1" ht="26.25" x14ac:dyDescent="0.2">
      <c r="A21" s="387"/>
    </row>
    <row r="22" spans="1:1" ht="26.25" x14ac:dyDescent="0.2">
      <c r="A22" s="387"/>
    </row>
    <row r="23" spans="1:1" ht="26.25" x14ac:dyDescent="0.2">
      <c r="A23" s="387"/>
    </row>
    <row r="24" spans="1:1" ht="26.25" x14ac:dyDescent="0.2">
      <c r="A24" s="387"/>
    </row>
    <row r="25" spans="1:1" ht="26.25" x14ac:dyDescent="0.2">
      <c r="A25" s="387"/>
    </row>
    <row r="26" spans="1:1" ht="26.25" x14ac:dyDescent="0.2">
      <c r="A26" s="387"/>
    </row>
    <row r="27" spans="1:1" ht="26.25" x14ac:dyDescent="0.2">
      <c r="A27" s="387"/>
    </row>
    <row r="28" spans="1:1" ht="26.25" x14ac:dyDescent="0.2">
      <c r="A28" s="387"/>
    </row>
    <row r="29" spans="1:1" ht="26.25" x14ac:dyDescent="0.2">
      <c r="A29" s="387"/>
    </row>
    <row r="30" spans="1:1" ht="26.25" x14ac:dyDescent="0.2">
      <c r="A30" s="387"/>
    </row>
    <row r="31" spans="1:1" ht="26.25" x14ac:dyDescent="0.2">
      <c r="A31" s="387"/>
    </row>
    <row r="32" spans="1:1" ht="26.25" x14ac:dyDescent="0.2">
      <c r="A32" s="387"/>
    </row>
    <row r="33" spans="1:1" ht="26.25" x14ac:dyDescent="0.2">
      <c r="A33" s="387"/>
    </row>
    <row r="34" spans="1:1" ht="26.25" x14ac:dyDescent="0.2">
      <c r="A34" s="387"/>
    </row>
  </sheetData>
  <mergeCells count="2">
    <mergeCell ref="A1:F1"/>
    <mergeCell ref="G1:M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from 2000 to 2015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from 2000 to 2015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H38"/>
  <sheetViews>
    <sheetView showGridLines="0" workbookViewId="0"/>
  </sheetViews>
  <sheetFormatPr defaultRowHeight="12.75" x14ac:dyDescent="0.2"/>
  <cols>
    <col min="1" max="1" width="5.7109375" style="91" customWidth="1"/>
    <col min="2" max="2" width="50.85546875" style="91" customWidth="1"/>
    <col min="3" max="3" width="12.7109375" style="91" customWidth="1"/>
    <col min="4" max="4" width="16.140625" style="91" customWidth="1"/>
    <col min="5" max="5" width="14.140625" style="91" customWidth="1"/>
    <col min="6" max="6" width="17.28515625" style="91" customWidth="1"/>
    <col min="7" max="7" width="15.5703125" style="91" customWidth="1"/>
    <col min="8" max="8" width="12.7109375" style="91" customWidth="1"/>
    <col min="9" max="16384" width="9.140625" style="91"/>
  </cols>
  <sheetData>
    <row r="1" spans="1:8" x14ac:dyDescent="0.2">
      <c r="A1" s="90"/>
    </row>
    <row r="2" spans="1:8" ht="18.75" x14ac:dyDescent="0.2">
      <c r="B2" s="92" t="s">
        <v>239</v>
      </c>
    </row>
    <row r="3" spans="1:8" ht="18.75" x14ac:dyDescent="0.2">
      <c r="B3" s="94" t="s">
        <v>24</v>
      </c>
      <c r="C3" s="93"/>
    </row>
    <row r="4" spans="1:8" x14ac:dyDescent="0.2">
      <c r="B4" s="180"/>
    </row>
    <row r="5" spans="1:8" x14ac:dyDescent="0.2">
      <c r="B5" s="453" t="s">
        <v>19</v>
      </c>
      <c r="C5" s="457" t="s">
        <v>13</v>
      </c>
      <c r="D5" s="458"/>
      <c r="E5" s="458"/>
      <c r="F5" s="458"/>
      <c r="G5" s="458"/>
      <c r="H5" s="499" t="s">
        <v>68</v>
      </c>
    </row>
    <row r="6" spans="1:8" ht="24" customHeight="1" x14ac:dyDescent="0.2">
      <c r="B6" s="454"/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500"/>
    </row>
    <row r="7" spans="1:8" ht="24" customHeight="1" x14ac:dyDescent="0.2">
      <c r="B7" s="99" t="s">
        <v>73</v>
      </c>
      <c r="C7" s="235">
        <v>0</v>
      </c>
      <c r="D7" s="235">
        <v>0</v>
      </c>
      <c r="E7" s="235">
        <v>0</v>
      </c>
      <c r="F7" s="235">
        <v>0</v>
      </c>
      <c r="G7" s="235">
        <v>0</v>
      </c>
      <c r="H7" s="100">
        <f t="shared" ref="H7:H14" si="0">SUM(C7:G7)</f>
        <v>0</v>
      </c>
    </row>
    <row r="8" spans="1:8" ht="24" customHeight="1" x14ac:dyDescent="0.2">
      <c r="B8" s="99" t="s">
        <v>74</v>
      </c>
      <c r="C8" s="235">
        <v>0</v>
      </c>
      <c r="D8" s="235">
        <v>0</v>
      </c>
      <c r="E8" s="235">
        <v>0</v>
      </c>
      <c r="F8" s="235">
        <v>0</v>
      </c>
      <c r="G8" s="235">
        <v>0</v>
      </c>
      <c r="H8" s="100">
        <f t="shared" si="0"/>
        <v>0</v>
      </c>
    </row>
    <row r="9" spans="1:8" ht="24" customHeight="1" x14ac:dyDescent="0.2">
      <c r="B9" s="99" t="s">
        <v>22</v>
      </c>
      <c r="C9" s="235">
        <v>0</v>
      </c>
      <c r="D9" s="235">
        <v>0</v>
      </c>
      <c r="E9" s="235">
        <v>0</v>
      </c>
      <c r="F9" s="235">
        <v>0</v>
      </c>
      <c r="G9" s="235">
        <v>0</v>
      </c>
      <c r="H9" s="100">
        <f t="shared" si="0"/>
        <v>0</v>
      </c>
    </row>
    <row r="10" spans="1:8" ht="24" customHeight="1" x14ac:dyDescent="0.2">
      <c r="B10" s="101" t="s">
        <v>36</v>
      </c>
      <c r="C10" s="81">
        <v>24.175000000000001</v>
      </c>
      <c r="D10" s="175">
        <v>0</v>
      </c>
      <c r="E10" s="81">
        <v>75.319000000000003</v>
      </c>
      <c r="F10" s="235">
        <v>0</v>
      </c>
      <c r="G10" s="235">
        <v>0</v>
      </c>
      <c r="H10" s="444">
        <f t="shared" si="0"/>
        <v>99.494</v>
      </c>
    </row>
    <row r="11" spans="1:8" ht="24" customHeight="1" x14ac:dyDescent="0.2">
      <c r="B11" s="101" t="s">
        <v>37</v>
      </c>
      <c r="C11" s="439">
        <v>126.63500000000001</v>
      </c>
      <c r="D11" s="235">
        <v>0</v>
      </c>
      <c r="E11" s="235">
        <v>0</v>
      </c>
      <c r="F11" s="235">
        <v>0</v>
      </c>
      <c r="G11" s="235">
        <v>0</v>
      </c>
      <c r="H11" s="444">
        <f t="shared" si="0"/>
        <v>126.63500000000001</v>
      </c>
    </row>
    <row r="12" spans="1:8" ht="24" customHeight="1" x14ac:dyDescent="0.2">
      <c r="B12" s="101" t="s">
        <v>21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100">
        <f t="shared" si="0"/>
        <v>0</v>
      </c>
    </row>
    <row r="13" spans="1:8" ht="24" customHeight="1" x14ac:dyDescent="0.2">
      <c r="B13" s="237" t="s">
        <v>80</v>
      </c>
      <c r="C13" s="235">
        <v>0</v>
      </c>
      <c r="D13" s="235">
        <v>0</v>
      </c>
      <c r="E13" s="442">
        <v>163.58000000000001</v>
      </c>
      <c r="F13" s="235">
        <v>0</v>
      </c>
      <c r="G13" s="81">
        <v>169.84399999999999</v>
      </c>
      <c r="H13" s="444">
        <f t="shared" si="0"/>
        <v>333.42399999999998</v>
      </c>
    </row>
    <row r="14" spans="1:8" ht="24" customHeight="1" x14ac:dyDescent="0.2">
      <c r="B14" s="99" t="s">
        <v>20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8">
        <f t="shared" si="0"/>
        <v>0</v>
      </c>
    </row>
    <row r="15" spans="1:8" ht="24" customHeight="1" x14ac:dyDescent="0.2">
      <c r="B15" s="239" t="s">
        <v>34</v>
      </c>
      <c r="C15" s="440">
        <f t="shared" ref="C15:H15" si="1">SUM(C7:C14)</f>
        <v>150.81</v>
      </c>
      <c r="D15" s="25">
        <f t="shared" si="1"/>
        <v>0</v>
      </c>
      <c r="E15" s="441">
        <f t="shared" si="1"/>
        <v>238.899</v>
      </c>
      <c r="F15" s="25">
        <f t="shared" si="1"/>
        <v>0</v>
      </c>
      <c r="G15" s="441">
        <f t="shared" si="1"/>
        <v>169.84399999999999</v>
      </c>
      <c r="H15" s="443">
        <f t="shared" si="1"/>
        <v>559.553</v>
      </c>
    </row>
    <row r="16" spans="1:8" x14ac:dyDescent="0.2">
      <c r="B16" s="10"/>
    </row>
    <row r="17" spans="2:8" x14ac:dyDescent="0.2">
      <c r="B17" s="77" t="s">
        <v>32</v>
      </c>
    </row>
    <row r="18" spans="2:8" x14ac:dyDescent="0.2">
      <c r="B18" s="78" t="s">
        <v>79</v>
      </c>
    </row>
    <row r="19" spans="2:8" x14ac:dyDescent="0.2">
      <c r="B19" s="240"/>
    </row>
    <row r="21" spans="2:8" ht="18.75" x14ac:dyDescent="0.2">
      <c r="B21" s="92" t="s">
        <v>238</v>
      </c>
    </row>
    <row r="22" spans="2:8" ht="18.75" x14ac:dyDescent="0.2">
      <c r="B22" s="94" t="s">
        <v>24</v>
      </c>
    </row>
    <row r="23" spans="2:8" x14ac:dyDescent="0.2">
      <c r="B23" s="180"/>
    </row>
    <row r="24" spans="2:8" x14ac:dyDescent="0.2">
      <c r="B24" s="453" t="s">
        <v>19</v>
      </c>
      <c r="C24" s="457" t="s">
        <v>13</v>
      </c>
      <c r="D24" s="458"/>
      <c r="E24" s="458"/>
      <c r="F24" s="458"/>
      <c r="G24" s="458"/>
      <c r="H24" s="460" t="s">
        <v>68</v>
      </c>
    </row>
    <row r="25" spans="2:8" ht="26.25" customHeight="1" x14ac:dyDescent="0.2">
      <c r="B25" s="454"/>
      <c r="C25" s="12" t="s">
        <v>57</v>
      </c>
      <c r="D25" s="12" t="s">
        <v>58</v>
      </c>
      <c r="E25" s="12" t="s">
        <v>59</v>
      </c>
      <c r="F25" s="12" t="s">
        <v>60</v>
      </c>
      <c r="G25" s="13" t="s">
        <v>61</v>
      </c>
      <c r="H25" s="461"/>
    </row>
    <row r="26" spans="2:8" ht="24" customHeight="1" x14ac:dyDescent="0.2">
      <c r="B26" s="99" t="s">
        <v>73</v>
      </c>
      <c r="C26" s="235">
        <v>0</v>
      </c>
      <c r="D26" s="235">
        <v>0</v>
      </c>
      <c r="E26" s="235">
        <v>0</v>
      </c>
      <c r="F26" s="235">
        <v>0</v>
      </c>
      <c r="G26" s="235">
        <v>0</v>
      </c>
      <c r="H26" s="100">
        <f t="shared" ref="H26:H33" si="2">SUM(C26:G26)</f>
        <v>0</v>
      </c>
    </row>
    <row r="27" spans="2:8" ht="24" customHeight="1" x14ac:dyDescent="0.2">
      <c r="B27" s="99" t="s">
        <v>74</v>
      </c>
      <c r="C27" s="235">
        <v>0</v>
      </c>
      <c r="D27" s="235">
        <v>0</v>
      </c>
      <c r="E27" s="235">
        <v>0</v>
      </c>
      <c r="F27" s="235">
        <v>0</v>
      </c>
      <c r="G27" s="235">
        <v>0</v>
      </c>
      <c r="H27" s="100">
        <f t="shared" si="2"/>
        <v>0</v>
      </c>
    </row>
    <row r="28" spans="2:8" ht="24" customHeight="1" x14ac:dyDescent="0.2">
      <c r="B28" s="99" t="s">
        <v>22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100">
        <f t="shared" si="2"/>
        <v>0</v>
      </c>
    </row>
    <row r="29" spans="2:8" ht="24" customHeight="1" x14ac:dyDescent="0.2">
      <c r="B29" s="101" t="s">
        <v>36</v>
      </c>
      <c r="C29" s="81">
        <v>40</v>
      </c>
      <c r="D29" s="175">
        <v>0</v>
      </c>
      <c r="E29" s="81">
        <v>460.94299999999998</v>
      </c>
      <c r="F29" s="235">
        <v>0</v>
      </c>
      <c r="G29" s="235">
        <v>0</v>
      </c>
      <c r="H29" s="444">
        <f t="shared" si="2"/>
        <v>500.94299999999998</v>
      </c>
    </row>
    <row r="30" spans="2:8" ht="24" customHeight="1" x14ac:dyDescent="0.2">
      <c r="B30" s="101" t="s">
        <v>37</v>
      </c>
      <c r="C30" s="439">
        <v>187.5</v>
      </c>
      <c r="D30" s="235">
        <v>0</v>
      </c>
      <c r="E30" s="235">
        <v>0</v>
      </c>
      <c r="F30" s="235">
        <v>0</v>
      </c>
      <c r="G30" s="235">
        <v>0</v>
      </c>
      <c r="H30" s="444">
        <f t="shared" si="2"/>
        <v>187.5</v>
      </c>
    </row>
    <row r="31" spans="2:8" ht="24" customHeight="1" x14ac:dyDescent="0.2">
      <c r="B31" s="101" t="s">
        <v>21</v>
      </c>
      <c r="C31" s="235">
        <v>0</v>
      </c>
      <c r="D31" s="235">
        <v>0</v>
      </c>
      <c r="E31" s="235">
        <v>0</v>
      </c>
      <c r="F31" s="235">
        <v>0</v>
      </c>
      <c r="G31" s="235">
        <v>0</v>
      </c>
      <c r="H31" s="100">
        <f t="shared" si="2"/>
        <v>0</v>
      </c>
    </row>
    <row r="32" spans="2:8" ht="24" customHeight="1" x14ac:dyDescent="0.2">
      <c r="B32" s="237" t="s">
        <v>80</v>
      </c>
      <c r="C32" s="235">
        <v>0</v>
      </c>
      <c r="D32" s="235">
        <v>0</v>
      </c>
      <c r="E32" s="442">
        <v>170</v>
      </c>
      <c r="F32" s="235">
        <v>0</v>
      </c>
      <c r="G32" s="81">
        <v>260</v>
      </c>
      <c r="H32" s="444">
        <f t="shared" si="2"/>
        <v>430</v>
      </c>
    </row>
    <row r="33" spans="2:8" ht="24" customHeight="1" x14ac:dyDescent="0.2">
      <c r="B33" s="99" t="s">
        <v>20</v>
      </c>
      <c r="C33" s="235">
        <v>0</v>
      </c>
      <c r="D33" s="235">
        <v>0</v>
      </c>
      <c r="E33" s="235">
        <v>0</v>
      </c>
      <c r="F33" s="235">
        <v>0</v>
      </c>
      <c r="G33" s="235">
        <v>0</v>
      </c>
      <c r="H33" s="238">
        <f t="shared" si="2"/>
        <v>0</v>
      </c>
    </row>
    <row r="34" spans="2:8" ht="24" customHeight="1" x14ac:dyDescent="0.2">
      <c r="B34" s="103" t="s">
        <v>34</v>
      </c>
      <c r="C34" s="445">
        <f t="shared" ref="C34:H34" si="3">SUM(C26:C33)</f>
        <v>227.5</v>
      </c>
      <c r="D34" s="25">
        <f t="shared" si="3"/>
        <v>0</v>
      </c>
      <c r="E34" s="441">
        <f t="shared" si="3"/>
        <v>630.94299999999998</v>
      </c>
      <c r="F34" s="25">
        <f t="shared" si="3"/>
        <v>0</v>
      </c>
      <c r="G34" s="441">
        <f t="shared" si="3"/>
        <v>260</v>
      </c>
      <c r="H34" s="446">
        <f t="shared" si="3"/>
        <v>1118.443</v>
      </c>
    </row>
    <row r="35" spans="2:8" x14ac:dyDescent="0.2">
      <c r="B35" s="11"/>
    </row>
    <row r="36" spans="2:8" x14ac:dyDescent="0.2">
      <c r="B36" s="77" t="s">
        <v>32</v>
      </c>
    </row>
    <row r="37" spans="2:8" x14ac:dyDescent="0.2">
      <c r="B37" s="78" t="s">
        <v>79</v>
      </c>
    </row>
    <row r="38" spans="2:8" x14ac:dyDescent="0.2">
      <c r="B38" s="240"/>
    </row>
  </sheetData>
  <mergeCells count="6">
    <mergeCell ref="C5:G5"/>
    <mergeCell ref="B5:B6"/>
    <mergeCell ref="H5:H6"/>
    <mergeCell ref="B24:B25"/>
    <mergeCell ref="C24:G24"/>
    <mergeCell ref="H24:H25"/>
  </mergeCells>
  <phoneticPr fontId="2" type="noConversion"/>
  <pageMargins left="0.75" right="0.75" top="1" bottom="1" header="0.5" footer="0.5"/>
  <pageSetup paperSize="9" scale="64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M21"/>
  <sheetViews>
    <sheetView showGridLines="0" workbookViewId="0"/>
  </sheetViews>
  <sheetFormatPr defaultRowHeight="12.75" x14ac:dyDescent="0.2"/>
  <cols>
    <col min="1" max="1" width="5.7109375" style="91" customWidth="1"/>
    <col min="2" max="2" width="17.140625" style="91" customWidth="1"/>
    <col min="3" max="3" width="14" style="91" customWidth="1"/>
    <col min="4" max="4" width="17.5703125" style="91" customWidth="1"/>
    <col min="5" max="5" width="15.85546875" style="91" customWidth="1"/>
    <col min="6" max="6" width="18" style="91" customWidth="1"/>
    <col min="7" max="7" width="18.28515625" style="91" customWidth="1"/>
    <col min="8" max="8" width="15.140625" style="91" customWidth="1"/>
    <col min="9" max="9" width="17.5703125" style="91" customWidth="1"/>
    <col min="10" max="10" width="15.85546875" style="91" customWidth="1"/>
    <col min="11" max="11" width="17.85546875" style="91" customWidth="1"/>
    <col min="12" max="16384" width="9.140625" style="91"/>
  </cols>
  <sheetData>
    <row r="1" spans="1:10" x14ac:dyDescent="0.2">
      <c r="A1" s="90"/>
    </row>
    <row r="2" spans="1:10" ht="18.75" x14ac:dyDescent="0.2">
      <c r="B2" s="92" t="s">
        <v>240</v>
      </c>
    </row>
    <row r="3" spans="1:10" ht="18.75" x14ac:dyDescent="0.2">
      <c r="B3" s="94" t="s">
        <v>17</v>
      </c>
    </row>
    <row r="5" spans="1:10" x14ac:dyDescent="0.2">
      <c r="B5" s="486" t="s">
        <v>12</v>
      </c>
      <c r="C5" s="501" t="s">
        <v>13</v>
      </c>
      <c r="D5" s="502"/>
      <c r="E5" s="502"/>
      <c r="F5" s="502"/>
      <c r="G5" s="503"/>
      <c r="H5" s="460" t="s">
        <v>72</v>
      </c>
    </row>
    <row r="6" spans="1:10" x14ac:dyDescent="0.2">
      <c r="B6" s="487"/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461"/>
    </row>
    <row r="7" spans="1:10" ht="20.100000000000001" customHeight="1" x14ac:dyDescent="0.2">
      <c r="B7" s="241" t="s">
        <v>15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64">
        <f>SUM(C7:G7)</f>
        <v>0</v>
      </c>
    </row>
    <row r="8" spans="1:10" ht="20.100000000000001" customHeight="1" x14ac:dyDescent="0.2">
      <c r="B8" s="242" t="s">
        <v>16</v>
      </c>
      <c r="C8" s="74">
        <v>10.962109999999999</v>
      </c>
      <c r="D8" s="75">
        <v>0</v>
      </c>
      <c r="E8" s="75">
        <v>0</v>
      </c>
      <c r="F8" s="75">
        <v>0</v>
      </c>
      <c r="G8" s="75">
        <v>0</v>
      </c>
      <c r="H8" s="64">
        <f>SUM(C8:G8)</f>
        <v>10.962109999999999</v>
      </c>
    </row>
    <row r="9" spans="1:10" x14ac:dyDescent="0.2">
      <c r="B9" s="103" t="s">
        <v>34</v>
      </c>
      <c r="C9" s="447">
        <f t="shared" ref="C9:H9" si="0">SUM(C7:C8)</f>
        <v>10.962109999999999</v>
      </c>
      <c r="D9" s="104">
        <f t="shared" si="0"/>
        <v>0</v>
      </c>
      <c r="E9" s="104">
        <f t="shared" si="0"/>
        <v>0</v>
      </c>
      <c r="F9" s="104">
        <f t="shared" si="0"/>
        <v>0</v>
      </c>
      <c r="G9" s="243">
        <f t="shared" si="0"/>
        <v>0</v>
      </c>
      <c r="H9" s="204">
        <f t="shared" si="0"/>
        <v>10.962109999999999</v>
      </c>
    </row>
    <row r="12" spans="1:10" ht="18.75" x14ac:dyDescent="0.2">
      <c r="B12" s="92" t="s">
        <v>241</v>
      </c>
      <c r="E12" s="175"/>
      <c r="F12" s="175"/>
      <c r="G12" s="175"/>
      <c r="H12" s="175"/>
      <c r="I12" s="175"/>
      <c r="J12" s="175"/>
    </row>
    <row r="13" spans="1:10" ht="18.75" x14ac:dyDescent="0.2">
      <c r="B13" s="94" t="s">
        <v>17</v>
      </c>
    </row>
    <row r="15" spans="1:10" x14ac:dyDescent="0.2">
      <c r="B15" s="486" t="s">
        <v>12</v>
      </c>
      <c r="C15" s="501" t="s">
        <v>13</v>
      </c>
      <c r="D15" s="502"/>
      <c r="E15" s="502"/>
      <c r="F15" s="502"/>
      <c r="G15" s="503"/>
      <c r="H15" s="460" t="s">
        <v>72</v>
      </c>
      <c r="I15" s="175"/>
      <c r="J15" s="175"/>
    </row>
    <row r="16" spans="1:10" x14ac:dyDescent="0.2">
      <c r="B16" s="487"/>
      <c r="C16" s="12" t="s">
        <v>57</v>
      </c>
      <c r="D16" s="12" t="s">
        <v>58</v>
      </c>
      <c r="E16" s="12" t="s">
        <v>59</v>
      </c>
      <c r="F16" s="12" t="s">
        <v>60</v>
      </c>
      <c r="G16" s="12" t="s">
        <v>61</v>
      </c>
      <c r="H16" s="461"/>
      <c r="I16" s="175"/>
      <c r="J16" s="175"/>
    </row>
    <row r="17" spans="2:13" ht="35.25" customHeight="1" x14ac:dyDescent="0.2">
      <c r="B17" s="19" t="s">
        <v>76</v>
      </c>
      <c r="C17" s="388">
        <v>1.48241</v>
      </c>
      <c r="D17" s="75">
        <v>0</v>
      </c>
      <c r="E17" s="63">
        <v>120.98158000000001</v>
      </c>
      <c r="F17" s="63">
        <v>121.806</v>
      </c>
      <c r="G17" s="63">
        <v>365.79559999999998</v>
      </c>
      <c r="H17" s="64">
        <f>SUM(C17:G17)</f>
        <v>610.06558999999993</v>
      </c>
    </row>
    <row r="18" spans="2:13" x14ac:dyDescent="0.2">
      <c r="B18" s="103" t="s">
        <v>34</v>
      </c>
      <c r="C18" s="447">
        <f t="shared" ref="C18:H18" si="1">SUM(C17:C17)</f>
        <v>1.48241</v>
      </c>
      <c r="D18" s="104">
        <f t="shared" si="1"/>
        <v>0</v>
      </c>
      <c r="E18" s="104"/>
      <c r="F18" s="104"/>
      <c r="G18" s="243"/>
      <c r="H18" s="204">
        <f t="shared" si="1"/>
        <v>610.06558999999993</v>
      </c>
      <c r="M18" s="97"/>
    </row>
    <row r="20" spans="2:13" x14ac:dyDescent="0.2">
      <c r="B20" s="91" t="s">
        <v>77</v>
      </c>
    </row>
    <row r="21" spans="2:13" x14ac:dyDescent="0.2">
      <c r="B21" s="91" t="s">
        <v>78</v>
      </c>
    </row>
  </sheetData>
  <mergeCells count="6">
    <mergeCell ref="B5:B6"/>
    <mergeCell ref="C5:G5"/>
    <mergeCell ref="H5:H6"/>
    <mergeCell ref="B15:B16"/>
    <mergeCell ref="C15:G15"/>
    <mergeCell ref="H15:H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showGridLines="0" workbookViewId="0"/>
  </sheetViews>
  <sheetFormatPr defaultRowHeight="12.75" x14ac:dyDescent="0.2"/>
  <cols>
    <col min="1" max="1" width="5.7109375" style="91" customWidth="1"/>
    <col min="2" max="2" width="20.28515625" style="91" customWidth="1"/>
    <col min="3" max="3" width="13" style="91" customWidth="1"/>
    <col min="4" max="4" width="14.5703125" style="91" customWidth="1"/>
    <col min="5" max="5" width="12" style="91" customWidth="1"/>
    <col min="6" max="6" width="16.85546875" style="91" customWidth="1"/>
    <col min="7" max="7" width="17.28515625" style="91" customWidth="1"/>
    <col min="8" max="8" width="12.5703125" style="91" customWidth="1"/>
    <col min="9" max="16384" width="9.140625" style="91"/>
  </cols>
  <sheetData>
    <row r="1" spans="1:8" x14ac:dyDescent="0.2">
      <c r="A1" s="90"/>
    </row>
    <row r="2" spans="1:8" ht="18.75" x14ac:dyDescent="0.2">
      <c r="B2" s="92" t="s">
        <v>242</v>
      </c>
    </row>
    <row r="3" spans="1:8" ht="18.75" x14ac:dyDescent="0.2">
      <c r="B3" s="94" t="s">
        <v>24</v>
      </c>
    </row>
    <row r="4" spans="1:8" x14ac:dyDescent="0.2">
      <c r="B4" s="180"/>
    </row>
    <row r="5" spans="1:8" ht="12.75" customHeight="1" x14ac:dyDescent="0.2">
      <c r="B5" s="486" t="s">
        <v>12</v>
      </c>
      <c r="C5" s="457" t="s">
        <v>87</v>
      </c>
      <c r="D5" s="458"/>
      <c r="E5" s="458"/>
      <c r="F5" s="458"/>
      <c r="G5" s="458"/>
      <c r="H5" s="483" t="s">
        <v>72</v>
      </c>
    </row>
    <row r="6" spans="1:8" ht="16.5" customHeight="1" x14ac:dyDescent="0.2">
      <c r="B6" s="487"/>
      <c r="C6" s="76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484"/>
    </row>
    <row r="7" spans="1:8" ht="28.5" customHeight="1" x14ac:dyDescent="0.2">
      <c r="B7" s="20" t="s">
        <v>84</v>
      </c>
      <c r="C7" s="79">
        <v>0</v>
      </c>
      <c r="D7" s="81">
        <v>4</v>
      </c>
      <c r="E7" s="28">
        <v>0</v>
      </c>
      <c r="F7" s="81">
        <v>56.545659999999998</v>
      </c>
      <c r="G7" s="81">
        <v>12.417999999999999</v>
      </c>
      <c r="H7" s="22">
        <f>SUM(C7:G7)</f>
        <v>72.963660000000004</v>
      </c>
    </row>
    <row r="8" spans="1:8" ht="25.5" x14ac:dyDescent="0.2">
      <c r="B8" s="21" t="s">
        <v>85</v>
      </c>
      <c r="C8" s="79">
        <v>0</v>
      </c>
      <c r="D8" s="28">
        <v>0</v>
      </c>
      <c r="E8" s="81">
        <v>76.76088</v>
      </c>
      <c r="F8" s="28">
        <v>0</v>
      </c>
      <c r="G8" s="28">
        <v>0</v>
      </c>
      <c r="H8" s="22">
        <f>SUM(C8:G8)</f>
        <v>76.76088</v>
      </c>
    </row>
    <row r="9" spans="1:8" ht="33.75" customHeight="1" x14ac:dyDescent="0.2">
      <c r="B9" s="26" t="s">
        <v>94</v>
      </c>
      <c r="C9" s="29">
        <v>0</v>
      </c>
      <c r="D9" s="28">
        <v>0</v>
      </c>
      <c r="E9" s="28">
        <v>0</v>
      </c>
      <c r="F9" s="28">
        <v>0</v>
      </c>
      <c r="G9" s="28">
        <v>0</v>
      </c>
      <c r="H9" s="22">
        <f>SUM(C9:G9)</f>
        <v>0</v>
      </c>
    </row>
    <row r="10" spans="1:8" ht="21" customHeight="1" x14ac:dyDescent="0.2">
      <c r="B10" s="23" t="s">
        <v>34</v>
      </c>
      <c r="C10" s="24">
        <f>+C8+C7+C9</f>
        <v>0</v>
      </c>
      <c r="D10" s="441">
        <f>+D8+D7+D9</f>
        <v>4</v>
      </c>
      <c r="E10" s="441">
        <f t="shared" ref="E10:F10" si="0">+E8+E7+E9</f>
        <v>76.76088</v>
      </c>
      <c r="F10" s="441">
        <f t="shared" si="0"/>
        <v>56.545659999999998</v>
      </c>
      <c r="G10" s="441">
        <f>+G8+G7+G9</f>
        <v>12.417999999999999</v>
      </c>
      <c r="H10" s="27">
        <f>+H8+H7+H9</f>
        <v>149.72453999999999</v>
      </c>
    </row>
    <row r="12" spans="1:8" x14ac:dyDescent="0.2">
      <c r="B12" s="91" t="s">
        <v>86</v>
      </c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orientation="portrait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69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70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1"/>
  <sheetViews>
    <sheetView showGridLines="0" workbookViewId="0"/>
  </sheetViews>
  <sheetFormatPr defaultRowHeight="12.75" x14ac:dyDescent="0.2"/>
  <cols>
    <col min="1" max="1" width="4.5703125" style="194" customWidth="1"/>
    <col min="2" max="2" width="13.85546875" style="194" customWidth="1"/>
    <col min="3" max="3" width="41.7109375" style="194" customWidth="1"/>
    <col min="4" max="4" width="19" style="194" customWidth="1"/>
    <col min="5" max="5" width="15.42578125" style="194" customWidth="1"/>
    <col min="6" max="6" width="15.85546875" style="194" customWidth="1"/>
    <col min="7" max="7" width="19.140625" style="194" customWidth="1"/>
    <col min="8" max="8" width="16.7109375" style="194" customWidth="1"/>
    <col min="9" max="9" width="16.28515625" style="194" customWidth="1"/>
    <col min="10" max="16384" width="9.140625" style="194"/>
  </cols>
  <sheetData>
    <row r="1" spans="1:9" x14ac:dyDescent="0.2">
      <c r="A1" s="90"/>
    </row>
    <row r="2" spans="1:9" ht="18.75" x14ac:dyDescent="0.2">
      <c r="B2" s="92" t="s">
        <v>243</v>
      </c>
      <c r="C2" s="246"/>
      <c r="D2" s="246"/>
      <c r="E2" s="246"/>
      <c r="F2" s="246"/>
      <c r="G2" s="246"/>
      <c r="H2" s="246"/>
      <c r="I2" s="246"/>
    </row>
    <row r="3" spans="1:9" x14ac:dyDescent="0.2">
      <c r="B3" s="247"/>
      <c r="C3" s="246"/>
      <c r="D3" s="246"/>
      <c r="E3" s="246"/>
      <c r="F3" s="246"/>
      <c r="G3" s="246"/>
      <c r="H3" s="246"/>
      <c r="I3" s="246"/>
    </row>
    <row r="4" spans="1:9" ht="36" customHeight="1" x14ac:dyDescent="0.2">
      <c r="B4" s="33" t="s">
        <v>125</v>
      </c>
      <c r="C4" s="34" t="s">
        <v>126</v>
      </c>
      <c r="D4" s="23" t="s">
        <v>57</v>
      </c>
      <c r="E4" s="35" t="s">
        <v>58</v>
      </c>
      <c r="F4" s="35" t="s">
        <v>59</v>
      </c>
      <c r="G4" s="35" t="s">
        <v>60</v>
      </c>
      <c r="H4" s="36" t="s">
        <v>61</v>
      </c>
      <c r="I4" s="37" t="s">
        <v>72</v>
      </c>
    </row>
    <row r="5" spans="1:9" x14ac:dyDescent="0.2">
      <c r="B5" s="248" t="s">
        <v>127</v>
      </c>
      <c r="C5" s="249" t="s">
        <v>128</v>
      </c>
      <c r="D5" s="84">
        <v>58.161000000000001</v>
      </c>
      <c r="E5" s="84" t="s">
        <v>213</v>
      </c>
      <c r="F5" s="84">
        <v>1142.1099999999999</v>
      </c>
      <c r="G5" s="84" t="s">
        <v>213</v>
      </c>
      <c r="H5" s="84">
        <v>66.98</v>
      </c>
      <c r="I5" s="250">
        <f>SUM(D5:H5)</f>
        <v>1267.251</v>
      </c>
    </row>
    <row r="6" spans="1:9" x14ac:dyDescent="0.2">
      <c r="B6" s="251" t="s">
        <v>129</v>
      </c>
      <c r="C6" s="252" t="s">
        <v>130</v>
      </c>
      <c r="D6" s="84">
        <v>38.7425</v>
      </c>
      <c r="E6" s="84">
        <v>12.105</v>
      </c>
      <c r="F6" s="84">
        <v>114.60265000000001</v>
      </c>
      <c r="G6" s="84">
        <v>23.786249999999999</v>
      </c>
      <c r="H6" s="84">
        <v>0.57699999999999996</v>
      </c>
      <c r="I6" s="250">
        <f>SUM(D6:H6)</f>
        <v>189.8134</v>
      </c>
    </row>
    <row r="7" spans="1:9" x14ac:dyDescent="0.2">
      <c r="B7" s="251" t="s">
        <v>131</v>
      </c>
      <c r="C7" s="252" t="s">
        <v>132</v>
      </c>
      <c r="D7" s="84" t="s">
        <v>213</v>
      </c>
      <c r="E7" s="84">
        <v>3.44</v>
      </c>
      <c r="F7" s="84" t="s">
        <v>213</v>
      </c>
      <c r="G7" s="84">
        <v>64.28</v>
      </c>
      <c r="H7" s="84">
        <v>3.8750000000000004</v>
      </c>
      <c r="I7" s="250">
        <f>SUM(D7:H7)</f>
        <v>71.594999999999999</v>
      </c>
    </row>
    <row r="8" spans="1:9" x14ac:dyDescent="0.2">
      <c r="B8" s="251" t="s">
        <v>133</v>
      </c>
      <c r="C8" s="252" t="s">
        <v>134</v>
      </c>
      <c r="D8" s="84">
        <v>6.7349999999999994</v>
      </c>
      <c r="E8" s="84">
        <v>87.581000000000003</v>
      </c>
      <c r="F8" s="84" t="s">
        <v>213</v>
      </c>
      <c r="G8" s="84">
        <v>7.4140000000000006</v>
      </c>
      <c r="H8" s="84" t="s">
        <v>213</v>
      </c>
      <c r="I8" s="250">
        <f t="shared" ref="I8:I24" si="0">SUM(D8:H8)</f>
        <v>101.73</v>
      </c>
    </row>
    <row r="9" spans="1:9" x14ac:dyDescent="0.2">
      <c r="B9" s="251" t="s">
        <v>135</v>
      </c>
      <c r="C9" s="252" t="s">
        <v>136</v>
      </c>
      <c r="D9" s="84">
        <v>8.2140000000000004</v>
      </c>
      <c r="E9" s="84">
        <v>2.9400000000000004</v>
      </c>
      <c r="F9" s="84">
        <v>0.84200000000000008</v>
      </c>
      <c r="G9" s="84">
        <v>15.734</v>
      </c>
      <c r="H9" s="84">
        <v>115.8105</v>
      </c>
      <c r="I9" s="250">
        <f t="shared" si="0"/>
        <v>143.54050000000001</v>
      </c>
    </row>
    <row r="10" spans="1:9" x14ac:dyDescent="0.2">
      <c r="B10" s="251" t="s">
        <v>137</v>
      </c>
      <c r="C10" s="252" t="s">
        <v>138</v>
      </c>
      <c r="D10" s="84">
        <v>1469.6455000000001</v>
      </c>
      <c r="E10" s="84">
        <v>1579.1972500000004</v>
      </c>
      <c r="F10" s="84">
        <v>158.27949999999998</v>
      </c>
      <c r="G10" s="84">
        <v>656.07164999999986</v>
      </c>
      <c r="H10" s="84">
        <v>145.8082</v>
      </c>
      <c r="I10" s="250">
        <f t="shared" si="0"/>
        <v>4009.0021000000006</v>
      </c>
    </row>
    <row r="11" spans="1:9" x14ac:dyDescent="0.2">
      <c r="B11" s="251" t="s">
        <v>139</v>
      </c>
      <c r="C11" s="252" t="s">
        <v>140</v>
      </c>
      <c r="D11" s="84">
        <v>1454.0986200000002</v>
      </c>
      <c r="E11" s="84">
        <v>645.48915999999997</v>
      </c>
      <c r="F11" s="84">
        <v>3217.2795999999998</v>
      </c>
      <c r="G11" s="84">
        <v>548.10700000000008</v>
      </c>
      <c r="H11" s="84">
        <v>67.643000000000001</v>
      </c>
      <c r="I11" s="250">
        <f t="shared" si="0"/>
        <v>5932.6173799999997</v>
      </c>
    </row>
    <row r="12" spans="1:9" x14ac:dyDescent="0.2">
      <c r="B12" s="251" t="s">
        <v>141</v>
      </c>
      <c r="C12" s="252" t="s">
        <v>142</v>
      </c>
      <c r="D12" s="84">
        <v>2078.1114199999993</v>
      </c>
      <c r="E12" s="84">
        <v>2411.1653899999988</v>
      </c>
      <c r="F12" s="84">
        <v>949.10407999999995</v>
      </c>
      <c r="G12" s="84">
        <v>1169.9393600000001</v>
      </c>
      <c r="H12" s="84">
        <v>1689.8739100000003</v>
      </c>
      <c r="I12" s="250">
        <f t="shared" si="0"/>
        <v>8298.1941599999991</v>
      </c>
    </row>
    <row r="13" spans="1:9" x14ac:dyDescent="0.2">
      <c r="B13" s="251" t="s">
        <v>143</v>
      </c>
      <c r="C13" s="252" t="s">
        <v>144</v>
      </c>
      <c r="D13" s="84">
        <v>37.704799999999999</v>
      </c>
      <c r="E13" s="84">
        <v>124.31899999999997</v>
      </c>
      <c r="F13" s="84">
        <v>43.316000000000003</v>
      </c>
      <c r="G13" s="84">
        <v>54.199800000000003</v>
      </c>
      <c r="H13" s="84">
        <v>115.54979999999998</v>
      </c>
      <c r="I13" s="250">
        <f t="shared" si="0"/>
        <v>375.08939999999996</v>
      </c>
    </row>
    <row r="14" spans="1:9" x14ac:dyDescent="0.2">
      <c r="B14" s="251" t="s">
        <v>145</v>
      </c>
      <c r="C14" s="252" t="s">
        <v>146</v>
      </c>
      <c r="D14" s="84">
        <v>6276.4618799999989</v>
      </c>
      <c r="E14" s="84">
        <v>156.16200000000001</v>
      </c>
      <c r="F14" s="84">
        <v>3901.3829999999998</v>
      </c>
      <c r="G14" s="84">
        <v>178.71200000000002</v>
      </c>
      <c r="H14" s="84">
        <v>83.276999999999987</v>
      </c>
      <c r="I14" s="250">
        <f t="shared" si="0"/>
        <v>10595.995879999999</v>
      </c>
    </row>
    <row r="15" spans="1:9" x14ac:dyDescent="0.2">
      <c r="B15" s="251" t="s">
        <v>147</v>
      </c>
      <c r="C15" s="252" t="s">
        <v>148</v>
      </c>
      <c r="D15" s="84">
        <v>5561.0837499999989</v>
      </c>
      <c r="E15" s="84">
        <v>1039.14788</v>
      </c>
      <c r="F15" s="84">
        <v>206.74533000000005</v>
      </c>
      <c r="G15" s="84">
        <v>930.23749999999995</v>
      </c>
      <c r="H15" s="84">
        <v>2614.0013300000005</v>
      </c>
      <c r="I15" s="250">
        <f t="shared" si="0"/>
        <v>10351.215789999998</v>
      </c>
    </row>
    <row r="16" spans="1:9" x14ac:dyDescent="0.2">
      <c r="B16" s="251" t="s">
        <v>149</v>
      </c>
      <c r="C16" s="252" t="s">
        <v>150</v>
      </c>
      <c r="D16" s="84">
        <v>2576.0111500000003</v>
      </c>
      <c r="E16" s="84">
        <v>2371.1433600000005</v>
      </c>
      <c r="F16" s="84">
        <v>453.22300000000001</v>
      </c>
      <c r="G16" s="84">
        <v>5593.8629000000001</v>
      </c>
      <c r="H16" s="84">
        <v>1116.25</v>
      </c>
      <c r="I16" s="250">
        <f t="shared" si="0"/>
        <v>12110.49041</v>
      </c>
    </row>
    <row r="17" spans="2:9" x14ac:dyDescent="0.2">
      <c r="B17" s="251" t="s">
        <v>151</v>
      </c>
      <c r="C17" s="252" t="s">
        <v>152</v>
      </c>
      <c r="D17" s="84">
        <v>7515.9492200000013</v>
      </c>
      <c r="E17" s="84">
        <v>10129.720209999998</v>
      </c>
      <c r="F17" s="84">
        <v>8289.8833800000011</v>
      </c>
      <c r="G17" s="84">
        <v>7292.6925299999994</v>
      </c>
      <c r="H17" s="84">
        <v>26932.220670000002</v>
      </c>
      <c r="I17" s="250">
        <f t="shared" si="0"/>
        <v>60160.466010000004</v>
      </c>
    </row>
    <row r="18" spans="2:9" x14ac:dyDescent="0.2">
      <c r="B18" s="251" t="s">
        <v>153</v>
      </c>
      <c r="C18" s="252" t="s">
        <v>154</v>
      </c>
      <c r="D18" s="84">
        <v>634.68514999999991</v>
      </c>
      <c r="E18" s="84">
        <v>777.08269000000007</v>
      </c>
      <c r="F18" s="84">
        <v>708.29414999999972</v>
      </c>
      <c r="G18" s="84">
        <v>191.79690000000002</v>
      </c>
      <c r="H18" s="84">
        <v>363.48127999999991</v>
      </c>
      <c r="I18" s="250">
        <f t="shared" si="0"/>
        <v>2675.3401699999995</v>
      </c>
    </row>
    <row r="19" spans="2:9" x14ac:dyDescent="0.2">
      <c r="B19" s="251" t="s">
        <v>155</v>
      </c>
      <c r="C19" s="252" t="s">
        <v>156</v>
      </c>
      <c r="D19" s="84">
        <v>2143.8738799999996</v>
      </c>
      <c r="E19" s="84">
        <v>2198.4603000000002</v>
      </c>
      <c r="F19" s="84">
        <v>835.85190000000023</v>
      </c>
      <c r="G19" s="84">
        <v>1645.2796400000007</v>
      </c>
      <c r="H19" s="84">
        <v>5814.2807600000015</v>
      </c>
      <c r="I19" s="250">
        <f t="shared" si="0"/>
        <v>12637.746480000002</v>
      </c>
    </row>
    <row r="20" spans="2:9" x14ac:dyDescent="0.2">
      <c r="B20" s="251" t="s">
        <v>157</v>
      </c>
      <c r="C20" s="252" t="s">
        <v>158</v>
      </c>
      <c r="D20" s="84">
        <v>10049.493519999998</v>
      </c>
      <c r="E20" s="84">
        <v>8390.0956499999975</v>
      </c>
      <c r="F20" s="84">
        <v>8929.7655599999998</v>
      </c>
      <c r="G20" s="84">
        <v>11510.343599999997</v>
      </c>
      <c r="H20" s="84">
        <v>14472.542369999997</v>
      </c>
      <c r="I20" s="250">
        <f t="shared" si="0"/>
        <v>53352.240699999988</v>
      </c>
    </row>
    <row r="21" spans="2:9" x14ac:dyDescent="0.2">
      <c r="B21" s="251" t="s">
        <v>159</v>
      </c>
      <c r="C21" s="252" t="s">
        <v>160</v>
      </c>
      <c r="D21" s="84">
        <v>15891.112659999993</v>
      </c>
      <c r="E21" s="84">
        <v>10204.156960000004</v>
      </c>
      <c r="F21" s="84">
        <v>20911.489570000002</v>
      </c>
      <c r="G21" s="84">
        <v>5812.1852900000013</v>
      </c>
      <c r="H21" s="84">
        <v>8777.2132300000012</v>
      </c>
      <c r="I21" s="250">
        <f t="shared" si="0"/>
        <v>61596.157709999999</v>
      </c>
    </row>
    <row r="22" spans="2:9" x14ac:dyDescent="0.2">
      <c r="B22" s="251" t="s">
        <v>161</v>
      </c>
      <c r="C22" s="252" t="s">
        <v>162</v>
      </c>
      <c r="D22" s="84">
        <v>3923.6239400000004</v>
      </c>
      <c r="E22" s="84">
        <v>4116.235639999999</v>
      </c>
      <c r="F22" s="84">
        <v>1101.47515</v>
      </c>
      <c r="G22" s="84">
        <v>1646.5168900000012</v>
      </c>
      <c r="H22" s="84">
        <v>3273.7460699999983</v>
      </c>
      <c r="I22" s="250">
        <f t="shared" si="0"/>
        <v>14061.597689999999</v>
      </c>
    </row>
    <row r="23" spans="2:9" x14ac:dyDescent="0.2">
      <c r="B23" s="251" t="s">
        <v>163</v>
      </c>
      <c r="C23" s="252" t="s">
        <v>164</v>
      </c>
      <c r="D23" s="84">
        <v>38793.9035</v>
      </c>
      <c r="E23" s="84">
        <v>3256.4931700000002</v>
      </c>
      <c r="F23" s="84">
        <v>7393.24</v>
      </c>
      <c r="G23" s="84">
        <v>115238.97</v>
      </c>
      <c r="H23" s="84">
        <v>4885.3103199999996</v>
      </c>
      <c r="I23" s="250">
        <f t="shared" si="0"/>
        <v>169567.91699</v>
      </c>
    </row>
    <row r="24" spans="2:9" x14ac:dyDescent="0.2">
      <c r="B24" s="253" t="s">
        <v>165</v>
      </c>
      <c r="C24" s="254" t="s">
        <v>166</v>
      </c>
      <c r="D24" s="84">
        <v>7659.4171199999982</v>
      </c>
      <c r="E24" s="84">
        <v>4211.5358500000011</v>
      </c>
      <c r="F24" s="84">
        <v>11147.918489999996</v>
      </c>
      <c r="G24" s="84">
        <v>4437.3203100000001</v>
      </c>
      <c r="H24" s="84">
        <v>6708.6686200000004</v>
      </c>
      <c r="I24" s="250">
        <f t="shared" si="0"/>
        <v>34164.860389999994</v>
      </c>
    </row>
    <row r="25" spans="2:9" ht="20.100000000000001" customHeight="1" x14ac:dyDescent="0.2">
      <c r="B25" s="255" t="s">
        <v>167</v>
      </c>
      <c r="C25" s="256"/>
      <c r="D25" s="257">
        <f t="shared" ref="D25:I25" si="1">SUM(D5:D24)</f>
        <v>106177.02860999998</v>
      </c>
      <c r="E25" s="258">
        <f t="shared" si="1"/>
        <v>51716.470509999999</v>
      </c>
      <c r="F25" s="258">
        <f t="shared" si="1"/>
        <v>69504.803359999991</v>
      </c>
      <c r="G25" s="258">
        <f t="shared" si="1"/>
        <v>157017.44962</v>
      </c>
      <c r="H25" s="258">
        <f t="shared" si="1"/>
        <v>77247.109060000003</v>
      </c>
      <c r="I25" s="259">
        <f t="shared" si="1"/>
        <v>461662.86115999997</v>
      </c>
    </row>
    <row r="26" spans="2:9" x14ac:dyDescent="0.2">
      <c r="B26" s="246"/>
      <c r="C26" s="246"/>
      <c r="D26" s="246"/>
      <c r="E26" s="246"/>
      <c r="F26" s="246"/>
      <c r="G26" s="246"/>
      <c r="H26" s="246"/>
      <c r="I26" s="246"/>
    </row>
    <row r="27" spans="2:9" x14ac:dyDescent="0.2">
      <c r="B27" s="107" t="s">
        <v>168</v>
      </c>
      <c r="C27" s="246"/>
      <c r="D27" s="246"/>
      <c r="E27" s="246"/>
      <c r="F27" s="246"/>
      <c r="H27" s="246"/>
      <c r="I27" s="246"/>
    </row>
    <row r="28" spans="2:9" x14ac:dyDescent="0.2">
      <c r="B28" s="91" t="s">
        <v>169</v>
      </c>
      <c r="C28" s="246"/>
      <c r="D28" s="246"/>
      <c r="E28" s="246"/>
      <c r="F28" s="246"/>
      <c r="G28" s="246"/>
      <c r="H28" s="246"/>
      <c r="I28" s="246"/>
    </row>
    <row r="29" spans="2:9" x14ac:dyDescent="0.2">
      <c r="B29" s="91" t="s">
        <v>170</v>
      </c>
      <c r="C29" s="246"/>
      <c r="D29" s="246"/>
      <c r="E29" s="246"/>
      <c r="F29" s="246"/>
      <c r="G29" s="246"/>
      <c r="H29" s="246"/>
      <c r="I29" s="246"/>
    </row>
    <row r="30" spans="2:9" x14ac:dyDescent="0.2">
      <c r="B30" s="260" t="s">
        <v>171</v>
      </c>
      <c r="C30" s="246"/>
      <c r="D30" s="246"/>
      <c r="E30" s="246"/>
      <c r="F30" s="246"/>
      <c r="G30" s="246"/>
      <c r="H30" s="246"/>
      <c r="I30" s="246"/>
    </row>
    <row r="33" spans="2:9" ht="18.75" x14ac:dyDescent="0.2">
      <c r="B33" s="92" t="s">
        <v>244</v>
      </c>
      <c r="C33" s="246"/>
      <c r="D33" s="246"/>
      <c r="E33" s="246"/>
      <c r="F33" s="246"/>
      <c r="G33" s="246"/>
      <c r="H33" s="246"/>
      <c r="I33" s="246"/>
    </row>
    <row r="34" spans="2:9" x14ac:dyDescent="0.2">
      <c r="B34" s="246"/>
      <c r="C34" s="246"/>
      <c r="D34" s="246"/>
      <c r="E34" s="246"/>
      <c r="F34" s="246"/>
      <c r="G34" s="246"/>
      <c r="H34" s="246"/>
      <c r="I34" s="246"/>
    </row>
    <row r="35" spans="2:9" ht="36" customHeight="1" x14ac:dyDescent="0.2">
      <c r="B35" s="33" t="s">
        <v>125</v>
      </c>
      <c r="C35" s="34" t="s">
        <v>126</v>
      </c>
      <c r="D35" s="33" t="s">
        <v>57</v>
      </c>
      <c r="E35" s="245" t="s">
        <v>58</v>
      </c>
      <c r="F35" s="245" t="s">
        <v>59</v>
      </c>
      <c r="G35" s="245" t="s">
        <v>60</v>
      </c>
      <c r="H35" s="34" t="s">
        <v>61</v>
      </c>
      <c r="I35" s="38" t="s">
        <v>72</v>
      </c>
    </row>
    <row r="36" spans="2:9" x14ac:dyDescent="0.2">
      <c r="B36" s="261" t="s">
        <v>127</v>
      </c>
      <c r="C36" s="262" t="s">
        <v>128</v>
      </c>
      <c r="D36" s="263">
        <v>77.239999999999995</v>
      </c>
      <c r="E36" s="84" t="s">
        <v>213</v>
      </c>
      <c r="F36" s="84" t="s">
        <v>213</v>
      </c>
      <c r="G36" s="264">
        <v>66.98</v>
      </c>
      <c r="H36" s="244" t="s">
        <v>213</v>
      </c>
      <c r="I36" s="265">
        <f>SUM(D36:H36)</f>
        <v>144.22</v>
      </c>
    </row>
    <row r="37" spans="2:9" x14ac:dyDescent="0.2">
      <c r="B37" s="261" t="s">
        <v>129</v>
      </c>
      <c r="C37" s="262" t="s">
        <v>130</v>
      </c>
      <c r="D37" s="263">
        <v>8.4000000000000005E-2</v>
      </c>
      <c r="E37" s="264">
        <v>1.3659700000000001</v>
      </c>
      <c r="F37" s="84" t="s">
        <v>213</v>
      </c>
      <c r="G37" s="84" t="s">
        <v>213</v>
      </c>
      <c r="H37" s="244" t="s">
        <v>213</v>
      </c>
      <c r="I37" s="265">
        <f>SUM(D37:H37)</f>
        <v>1.4499700000000002</v>
      </c>
    </row>
    <row r="38" spans="2:9" x14ac:dyDescent="0.2">
      <c r="B38" s="261" t="s">
        <v>131</v>
      </c>
      <c r="C38" s="262" t="s">
        <v>132</v>
      </c>
      <c r="D38" s="263">
        <v>1</v>
      </c>
      <c r="E38" s="264">
        <v>0.13500000000000001</v>
      </c>
      <c r="F38" s="84" t="s">
        <v>213</v>
      </c>
      <c r="G38" s="84" t="s">
        <v>213</v>
      </c>
      <c r="H38" s="244" t="s">
        <v>213</v>
      </c>
      <c r="I38" s="265">
        <f t="shared" ref="I38:I55" si="2">SUM(D38:H38)</f>
        <v>1.135</v>
      </c>
    </row>
    <row r="39" spans="2:9" x14ac:dyDescent="0.2">
      <c r="B39" s="261" t="s">
        <v>133</v>
      </c>
      <c r="C39" s="262" t="s">
        <v>134</v>
      </c>
      <c r="D39" s="263">
        <v>3.4869999999999997</v>
      </c>
      <c r="E39" s="84" t="s">
        <v>213</v>
      </c>
      <c r="F39" s="84" t="s">
        <v>213</v>
      </c>
      <c r="G39" s="84" t="s">
        <v>213</v>
      </c>
      <c r="H39" s="244" t="s">
        <v>213</v>
      </c>
      <c r="I39" s="265">
        <f t="shared" si="2"/>
        <v>3.4869999999999997</v>
      </c>
    </row>
    <row r="40" spans="2:9" x14ac:dyDescent="0.2">
      <c r="B40" s="261" t="s">
        <v>135</v>
      </c>
      <c r="C40" s="262" t="s">
        <v>136</v>
      </c>
      <c r="D40" s="263">
        <v>175.48</v>
      </c>
      <c r="E40" s="264">
        <v>0.2</v>
      </c>
      <c r="F40" s="84" t="s">
        <v>213</v>
      </c>
      <c r="G40" s="264">
        <v>280.18</v>
      </c>
      <c r="H40" s="266">
        <v>12.2</v>
      </c>
      <c r="I40" s="265">
        <f t="shared" si="2"/>
        <v>468.06</v>
      </c>
    </row>
    <row r="41" spans="2:9" x14ac:dyDescent="0.2">
      <c r="B41" s="261" t="s">
        <v>137</v>
      </c>
      <c r="C41" s="262" t="s">
        <v>138</v>
      </c>
      <c r="D41" s="263">
        <v>5092.4664000000012</v>
      </c>
      <c r="E41" s="264">
        <v>317.51910000000004</v>
      </c>
      <c r="F41" s="264">
        <v>0.9</v>
      </c>
      <c r="G41" s="264">
        <v>59.458149999999996</v>
      </c>
      <c r="H41" s="266">
        <v>13.267209999999999</v>
      </c>
      <c r="I41" s="265">
        <f t="shared" si="2"/>
        <v>5483.6108600000016</v>
      </c>
    </row>
    <row r="42" spans="2:9" x14ac:dyDescent="0.2">
      <c r="B42" s="261" t="s">
        <v>139</v>
      </c>
      <c r="C42" s="262" t="s">
        <v>140</v>
      </c>
      <c r="D42" s="263">
        <v>40286.734829999987</v>
      </c>
      <c r="E42" s="264">
        <v>166.85346000000001</v>
      </c>
      <c r="F42" s="264">
        <v>0.20400000000000001</v>
      </c>
      <c r="G42" s="264">
        <v>62.289000000000001</v>
      </c>
      <c r="H42" s="244" t="s">
        <v>213</v>
      </c>
      <c r="I42" s="265">
        <f t="shared" si="2"/>
        <v>40516.08128999998</v>
      </c>
    </row>
    <row r="43" spans="2:9" x14ac:dyDescent="0.2">
      <c r="B43" s="261" t="s">
        <v>141</v>
      </c>
      <c r="C43" s="262" t="s">
        <v>142</v>
      </c>
      <c r="D43" s="263">
        <v>2858.1144500000009</v>
      </c>
      <c r="E43" s="264">
        <v>874.20898</v>
      </c>
      <c r="F43" s="264">
        <v>4.17</v>
      </c>
      <c r="G43" s="264">
        <v>95.254399999999976</v>
      </c>
      <c r="H43" s="266">
        <v>676.11800000000017</v>
      </c>
      <c r="I43" s="265">
        <f t="shared" si="2"/>
        <v>4507.8658300000006</v>
      </c>
    </row>
    <row r="44" spans="2:9" x14ac:dyDescent="0.2">
      <c r="B44" s="261" t="s">
        <v>143</v>
      </c>
      <c r="C44" s="262" t="s">
        <v>144</v>
      </c>
      <c r="D44" s="263">
        <v>25.611999999999995</v>
      </c>
      <c r="E44" s="264">
        <v>14.645499999999998</v>
      </c>
      <c r="F44" s="264">
        <v>0.1</v>
      </c>
      <c r="G44" s="264">
        <v>12.742899999999999</v>
      </c>
      <c r="H44" s="266">
        <v>0.48</v>
      </c>
      <c r="I44" s="265">
        <f t="shared" si="2"/>
        <v>53.58039999999999</v>
      </c>
    </row>
    <row r="45" spans="2:9" x14ac:dyDescent="0.2">
      <c r="B45" s="261" t="s">
        <v>145</v>
      </c>
      <c r="C45" s="262" t="s">
        <v>146</v>
      </c>
      <c r="D45" s="263">
        <v>18825.422000000006</v>
      </c>
      <c r="E45" s="264">
        <v>51.801000000000002</v>
      </c>
      <c r="F45" s="84" t="s">
        <v>213</v>
      </c>
      <c r="G45" s="264">
        <v>12635.13</v>
      </c>
      <c r="H45" s="244" t="s">
        <v>213</v>
      </c>
      <c r="I45" s="265">
        <f t="shared" si="2"/>
        <v>31512.353000000003</v>
      </c>
    </row>
    <row r="46" spans="2:9" x14ac:dyDescent="0.2">
      <c r="B46" s="261" t="s">
        <v>147</v>
      </c>
      <c r="C46" s="262" t="s">
        <v>148</v>
      </c>
      <c r="D46" s="263">
        <v>1164.21703</v>
      </c>
      <c r="E46" s="264">
        <v>69.034000000000006</v>
      </c>
      <c r="F46" s="264">
        <v>0.88200000000000012</v>
      </c>
      <c r="G46" s="264">
        <v>1634.7519</v>
      </c>
      <c r="H46" s="266">
        <v>200.03</v>
      </c>
      <c r="I46" s="265">
        <f t="shared" si="2"/>
        <v>3068.9149300000004</v>
      </c>
    </row>
    <row r="47" spans="2:9" x14ac:dyDescent="0.2">
      <c r="B47" s="261" t="s">
        <v>149</v>
      </c>
      <c r="C47" s="262" t="s">
        <v>150</v>
      </c>
      <c r="D47" s="263">
        <v>522.86699999999996</v>
      </c>
      <c r="E47" s="264">
        <v>120.587</v>
      </c>
      <c r="F47" s="264">
        <v>5.2149999999999999</v>
      </c>
      <c r="G47" s="264">
        <v>3510.2747500000005</v>
      </c>
      <c r="H47" s="266">
        <v>82.026999999999973</v>
      </c>
      <c r="I47" s="265">
        <f t="shared" si="2"/>
        <v>4240.9707500000004</v>
      </c>
    </row>
    <row r="48" spans="2:9" x14ac:dyDescent="0.2">
      <c r="B48" s="261" t="s">
        <v>151</v>
      </c>
      <c r="C48" s="262" t="s">
        <v>152</v>
      </c>
      <c r="D48" s="263">
        <v>5433.4370000000008</v>
      </c>
      <c r="E48" s="264">
        <v>989.80850000000021</v>
      </c>
      <c r="F48" s="264">
        <v>9505.5808500000039</v>
      </c>
      <c r="G48" s="264">
        <v>6388.8773700000002</v>
      </c>
      <c r="H48" s="266">
        <v>30537.617469999983</v>
      </c>
      <c r="I48" s="265">
        <f t="shared" si="2"/>
        <v>52855.321189999988</v>
      </c>
    </row>
    <row r="49" spans="2:9" x14ac:dyDescent="0.2">
      <c r="B49" s="261" t="s">
        <v>153</v>
      </c>
      <c r="C49" s="262" t="s">
        <v>154</v>
      </c>
      <c r="D49" s="263">
        <v>1557.1067800000001</v>
      </c>
      <c r="E49" s="264">
        <v>598.86380000000008</v>
      </c>
      <c r="F49" s="264">
        <v>17.23</v>
      </c>
      <c r="G49" s="264">
        <v>212.81871000000001</v>
      </c>
      <c r="H49" s="266">
        <v>15.690159999999999</v>
      </c>
      <c r="I49" s="265">
        <f t="shared" si="2"/>
        <v>2401.7094500000003</v>
      </c>
    </row>
    <row r="50" spans="2:9" x14ac:dyDescent="0.2">
      <c r="B50" s="261" t="s">
        <v>155</v>
      </c>
      <c r="C50" s="262" t="s">
        <v>156</v>
      </c>
      <c r="D50" s="263">
        <v>869.14969999999983</v>
      </c>
      <c r="E50" s="264">
        <v>1370.4156599999999</v>
      </c>
      <c r="F50" s="264">
        <v>51.834200000000003</v>
      </c>
      <c r="G50" s="264">
        <v>672.69695000000013</v>
      </c>
      <c r="H50" s="266">
        <v>5943.3735000000024</v>
      </c>
      <c r="I50" s="265">
        <f t="shared" si="2"/>
        <v>8907.4700100000009</v>
      </c>
    </row>
    <row r="51" spans="2:9" x14ac:dyDescent="0.2">
      <c r="B51" s="261" t="s">
        <v>157</v>
      </c>
      <c r="C51" s="262" t="s">
        <v>158</v>
      </c>
      <c r="D51" s="263">
        <v>92421.305249999961</v>
      </c>
      <c r="E51" s="264">
        <v>8768.4667100000006</v>
      </c>
      <c r="F51" s="264">
        <v>7928.2452300000023</v>
      </c>
      <c r="G51" s="264">
        <v>16883.678780000006</v>
      </c>
      <c r="H51" s="266">
        <v>9005.1603000000014</v>
      </c>
      <c r="I51" s="265">
        <f t="shared" si="2"/>
        <v>135006.85626999996</v>
      </c>
    </row>
    <row r="52" spans="2:9" x14ac:dyDescent="0.2">
      <c r="B52" s="261" t="s">
        <v>159</v>
      </c>
      <c r="C52" s="262" t="s">
        <v>160</v>
      </c>
      <c r="D52" s="263">
        <v>9891.5446200000024</v>
      </c>
      <c r="E52" s="264">
        <v>13264.430699999997</v>
      </c>
      <c r="F52" s="264">
        <v>19223.1705</v>
      </c>
      <c r="G52" s="264">
        <v>80889.793249999988</v>
      </c>
      <c r="H52" s="266">
        <v>2269.0721600000002</v>
      </c>
      <c r="I52" s="265">
        <f t="shared" si="2"/>
        <v>125538.01122999999</v>
      </c>
    </row>
    <row r="53" spans="2:9" x14ac:dyDescent="0.2">
      <c r="B53" s="261" t="s">
        <v>161</v>
      </c>
      <c r="C53" s="262" t="s">
        <v>162</v>
      </c>
      <c r="D53" s="263">
        <v>6705.5880000000006</v>
      </c>
      <c r="E53" s="264">
        <v>462.91175000000004</v>
      </c>
      <c r="F53" s="84" t="s">
        <v>213</v>
      </c>
      <c r="G53" s="264">
        <v>281.96858000000009</v>
      </c>
      <c r="H53" s="266">
        <v>2205.9371799999994</v>
      </c>
      <c r="I53" s="265">
        <f t="shared" si="2"/>
        <v>9656.4055100000005</v>
      </c>
    </row>
    <row r="54" spans="2:9" x14ac:dyDescent="0.2">
      <c r="B54" s="261" t="s">
        <v>163</v>
      </c>
      <c r="C54" s="262" t="s">
        <v>164</v>
      </c>
      <c r="D54" s="263">
        <v>75353.928999999989</v>
      </c>
      <c r="E54" s="264">
        <v>17335.18</v>
      </c>
      <c r="F54" s="264">
        <v>1.0499999999999998</v>
      </c>
      <c r="G54" s="264">
        <v>198193.80500000002</v>
      </c>
      <c r="H54" s="266">
        <v>0.75000000000000011</v>
      </c>
      <c r="I54" s="265">
        <f t="shared" si="2"/>
        <v>290884.71400000004</v>
      </c>
    </row>
    <row r="55" spans="2:9" x14ac:dyDescent="0.2">
      <c r="B55" s="261" t="s">
        <v>165</v>
      </c>
      <c r="C55" s="262" t="s">
        <v>166</v>
      </c>
      <c r="D55" s="263">
        <v>905.79457999999988</v>
      </c>
      <c r="E55" s="264">
        <v>2792.105520000001</v>
      </c>
      <c r="F55" s="264">
        <v>34226.757089999992</v>
      </c>
      <c r="G55" s="264">
        <v>1002.19091</v>
      </c>
      <c r="H55" s="266">
        <v>21874.210480000002</v>
      </c>
      <c r="I55" s="265">
        <f t="shared" si="2"/>
        <v>60801.05857999999</v>
      </c>
    </row>
    <row r="56" spans="2:9" ht="20.100000000000001" customHeight="1" x14ac:dyDescent="0.2">
      <c r="B56" s="255" t="s">
        <v>167</v>
      </c>
      <c r="C56" s="267"/>
      <c r="D56" s="268">
        <f t="shared" ref="D56:I56" si="3">SUM(D36:D55)</f>
        <v>262170.57963999995</v>
      </c>
      <c r="E56" s="269">
        <f t="shared" si="3"/>
        <v>47198.532649999994</v>
      </c>
      <c r="F56" s="269">
        <f t="shared" si="3"/>
        <v>70965.338870000007</v>
      </c>
      <c r="G56" s="269">
        <f t="shared" si="3"/>
        <v>322882.89065000002</v>
      </c>
      <c r="H56" s="269">
        <f t="shared" si="3"/>
        <v>72835.93346</v>
      </c>
      <c r="I56" s="270">
        <f t="shared" si="3"/>
        <v>776053.27526999987</v>
      </c>
    </row>
    <row r="57" spans="2:9" x14ac:dyDescent="0.2">
      <c r="B57" s="246"/>
      <c r="C57" s="246"/>
      <c r="D57" s="246"/>
      <c r="E57" s="246"/>
      <c r="F57" s="246"/>
      <c r="G57" s="246"/>
      <c r="H57" s="246"/>
      <c r="I57" s="246"/>
    </row>
    <row r="58" spans="2:9" x14ac:dyDescent="0.2">
      <c r="B58" s="107" t="s">
        <v>168</v>
      </c>
      <c r="C58" s="246"/>
      <c r="D58" s="246"/>
      <c r="E58" s="246"/>
      <c r="F58" s="246"/>
      <c r="G58" s="246"/>
      <c r="H58" s="246"/>
      <c r="I58" s="246"/>
    </row>
    <row r="59" spans="2:9" x14ac:dyDescent="0.2">
      <c r="B59" s="91" t="s">
        <v>169</v>
      </c>
      <c r="C59" s="246"/>
      <c r="D59" s="246"/>
      <c r="E59" s="246"/>
      <c r="F59" s="246"/>
      <c r="G59" s="246"/>
      <c r="H59" s="246"/>
      <c r="I59" s="246"/>
    </row>
    <row r="60" spans="2:9" x14ac:dyDescent="0.2">
      <c r="B60" s="91" t="s">
        <v>170</v>
      </c>
      <c r="C60" s="246"/>
      <c r="D60" s="246"/>
      <c r="E60" s="246"/>
      <c r="F60" s="246"/>
      <c r="G60" s="246"/>
      <c r="H60" s="246"/>
      <c r="I60" s="246"/>
    </row>
    <row r="61" spans="2:9" x14ac:dyDescent="0.2">
      <c r="B61" s="260" t="s">
        <v>171</v>
      </c>
      <c r="C61" s="246"/>
      <c r="D61" s="246"/>
      <c r="E61" s="246"/>
      <c r="F61" s="246"/>
      <c r="G61" s="246"/>
      <c r="H61" s="246"/>
      <c r="I61" s="246"/>
    </row>
  </sheetData>
  <pageMargins left="0.7" right="0.7" top="0.75" bottom="0.75" header="0.3" footer="0.3"/>
  <pageSetup paperSize="9" orientation="portrait" verticalDpi="0"/>
  <ignoredErrors>
    <ignoredError sqref="B5:B24 B36:B5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showGridLines="0" workbookViewId="0"/>
  </sheetViews>
  <sheetFormatPr defaultRowHeight="12.75" x14ac:dyDescent="0.2"/>
  <cols>
    <col min="1" max="1" width="4.28515625" style="194" customWidth="1"/>
    <col min="2" max="2" width="36.42578125" style="194" customWidth="1"/>
    <col min="3" max="3" width="16.28515625" style="194" customWidth="1"/>
    <col min="4" max="4" width="13.42578125" style="194" customWidth="1"/>
    <col min="5" max="5" width="12.140625" style="194" customWidth="1"/>
    <col min="6" max="6" width="15" style="194" customWidth="1"/>
    <col min="7" max="7" width="17.85546875" style="194" customWidth="1"/>
    <col min="8" max="8" width="12.5703125" style="194" customWidth="1"/>
    <col min="9" max="16384" width="9.140625" style="194"/>
  </cols>
  <sheetData>
    <row r="1" spans="1:10" x14ac:dyDescent="0.2">
      <c r="A1" s="90"/>
    </row>
    <row r="2" spans="1:10" ht="18.75" x14ac:dyDescent="0.2">
      <c r="B2" s="92" t="s">
        <v>245</v>
      </c>
      <c r="C2" s="91"/>
      <c r="D2" s="91"/>
      <c r="E2" s="91"/>
      <c r="F2" s="91"/>
      <c r="G2" s="91"/>
      <c r="H2" s="91"/>
      <c r="I2" s="91"/>
    </row>
    <row r="3" spans="1:10" x14ac:dyDescent="0.2">
      <c r="B3" s="91"/>
      <c r="C3" s="91"/>
      <c r="D3" s="91"/>
      <c r="E3" s="91"/>
      <c r="F3" s="91"/>
      <c r="G3" s="91"/>
      <c r="H3" s="91"/>
      <c r="I3" s="91"/>
    </row>
    <row r="4" spans="1:10" ht="36" customHeight="1" x14ac:dyDescent="0.2">
      <c r="B4" s="39" t="s">
        <v>172</v>
      </c>
      <c r="C4" s="23" t="s">
        <v>57</v>
      </c>
      <c r="D4" s="35" t="s">
        <v>58</v>
      </c>
      <c r="E4" s="35" t="s">
        <v>59</v>
      </c>
      <c r="F4" s="35" t="s">
        <v>60</v>
      </c>
      <c r="G4" s="36" t="s">
        <v>61</v>
      </c>
      <c r="H4" s="34" t="s">
        <v>72</v>
      </c>
      <c r="I4" s="91"/>
    </row>
    <row r="5" spans="1:10" x14ac:dyDescent="0.2">
      <c r="B5" s="271" t="s">
        <v>173</v>
      </c>
      <c r="C5" s="273">
        <v>33799.977999999996</v>
      </c>
      <c r="D5" s="274">
        <v>17335.18</v>
      </c>
      <c r="E5" s="274">
        <v>0.8</v>
      </c>
      <c r="F5" s="274" t="s">
        <v>213</v>
      </c>
      <c r="G5" s="274" t="s">
        <v>213</v>
      </c>
      <c r="H5" s="275">
        <f>SUM(C5:G5)</f>
        <v>51135.957999999999</v>
      </c>
      <c r="I5" s="91"/>
    </row>
    <row r="6" spans="1:10" x14ac:dyDescent="0.2">
      <c r="B6" s="288" t="s">
        <v>174</v>
      </c>
      <c r="C6" s="274" t="s">
        <v>213</v>
      </c>
      <c r="D6" s="274">
        <v>5.47</v>
      </c>
      <c r="E6" s="274" t="s">
        <v>213</v>
      </c>
      <c r="F6" s="274" t="s">
        <v>213</v>
      </c>
      <c r="G6" s="274" t="s">
        <v>213</v>
      </c>
      <c r="H6" s="275">
        <f>SUM(C6:G6)</f>
        <v>5.47</v>
      </c>
      <c r="I6" s="91"/>
    </row>
    <row r="7" spans="1:10" x14ac:dyDescent="0.2">
      <c r="B7" s="272" t="s">
        <v>175</v>
      </c>
      <c r="C7" s="273">
        <v>8670.1880000000001</v>
      </c>
      <c r="D7" s="274">
        <v>8449.2350000000006</v>
      </c>
      <c r="E7" s="274" t="s">
        <v>213</v>
      </c>
      <c r="F7" s="274">
        <v>131991.36000000002</v>
      </c>
      <c r="G7" s="274" t="s">
        <v>213</v>
      </c>
      <c r="H7" s="275">
        <f>SUM(C7:G7)</f>
        <v>149110.78300000002</v>
      </c>
      <c r="I7" s="91"/>
    </row>
    <row r="8" spans="1:10" x14ac:dyDescent="0.2">
      <c r="B8" s="272" t="s">
        <v>176</v>
      </c>
      <c r="C8" s="273" t="s">
        <v>213</v>
      </c>
      <c r="D8" s="274" t="s">
        <v>213</v>
      </c>
      <c r="E8" s="274" t="s">
        <v>213</v>
      </c>
      <c r="F8" s="274" t="s">
        <v>213</v>
      </c>
      <c r="G8" s="244" t="s">
        <v>213</v>
      </c>
      <c r="H8" s="275">
        <f t="shared" ref="H8:H14" si="0">SUM(C8:G8)</f>
        <v>0</v>
      </c>
      <c r="I8" s="91"/>
    </row>
    <row r="9" spans="1:10" x14ac:dyDescent="0.2">
      <c r="B9" s="272" t="s">
        <v>177</v>
      </c>
      <c r="C9" s="273" t="s">
        <v>213</v>
      </c>
      <c r="D9" s="274" t="s">
        <v>213</v>
      </c>
      <c r="E9" s="274" t="s">
        <v>213</v>
      </c>
      <c r="F9" s="274" t="s">
        <v>213</v>
      </c>
      <c r="G9" s="274">
        <v>0.3</v>
      </c>
      <c r="H9" s="275">
        <f t="shared" si="0"/>
        <v>0.3</v>
      </c>
      <c r="I9" s="175"/>
    </row>
    <row r="10" spans="1:10" x14ac:dyDescent="0.2">
      <c r="B10" s="272" t="s">
        <v>178</v>
      </c>
      <c r="C10" s="273">
        <v>127994.35009999991</v>
      </c>
      <c r="D10" s="274">
        <v>13978.355530000003</v>
      </c>
      <c r="E10" s="274">
        <v>44304.147500000006</v>
      </c>
      <c r="F10" s="274">
        <v>11502.669240000001</v>
      </c>
      <c r="G10" s="244">
        <v>56153.115509999996</v>
      </c>
      <c r="H10" s="275">
        <f t="shared" si="0"/>
        <v>253932.63787999994</v>
      </c>
      <c r="I10" s="91"/>
      <c r="J10" s="276"/>
    </row>
    <row r="11" spans="1:10" x14ac:dyDescent="0.2">
      <c r="B11" s="272" t="s">
        <v>179</v>
      </c>
      <c r="C11" s="273">
        <v>287.78000000000003</v>
      </c>
      <c r="D11" s="274" t="s">
        <v>213</v>
      </c>
      <c r="E11" s="274">
        <v>9.1000000000000004E-3</v>
      </c>
      <c r="F11" s="274">
        <v>610.42750000000012</v>
      </c>
      <c r="G11" s="244">
        <v>7.5</v>
      </c>
      <c r="H11" s="275">
        <f t="shared" si="0"/>
        <v>905.7166000000002</v>
      </c>
      <c r="I11" s="175"/>
      <c r="J11" s="277"/>
    </row>
    <row r="12" spans="1:10" x14ac:dyDescent="0.2">
      <c r="B12" s="272" t="s">
        <v>180</v>
      </c>
      <c r="C12" s="273">
        <v>5242.1744499999995</v>
      </c>
      <c r="D12" s="274">
        <v>2674.122910000001</v>
      </c>
      <c r="E12" s="274">
        <v>572.92499999999995</v>
      </c>
      <c r="F12" s="274">
        <v>33287.579960000025</v>
      </c>
      <c r="G12" s="244">
        <v>3210.8933000000006</v>
      </c>
      <c r="H12" s="275">
        <f t="shared" si="0"/>
        <v>44987.695620000028</v>
      </c>
      <c r="I12" s="175"/>
      <c r="J12" s="278"/>
    </row>
    <row r="13" spans="1:10" x14ac:dyDescent="0.2">
      <c r="B13" s="272" t="s">
        <v>181</v>
      </c>
      <c r="C13" s="273">
        <v>8251.7321900000061</v>
      </c>
      <c r="D13" s="274">
        <v>4756.16921</v>
      </c>
      <c r="E13" s="274">
        <v>26024.002270000019</v>
      </c>
      <c r="F13" s="274">
        <v>64570.683949999948</v>
      </c>
      <c r="G13" s="244">
        <v>12152.506350000001</v>
      </c>
      <c r="H13" s="275">
        <f t="shared" si="0"/>
        <v>115755.09396999997</v>
      </c>
      <c r="I13" s="175"/>
      <c r="J13" s="278"/>
    </row>
    <row r="14" spans="1:10" x14ac:dyDescent="0.2">
      <c r="B14" s="272" t="s">
        <v>107</v>
      </c>
      <c r="C14" s="279">
        <v>77924.376899999988</v>
      </c>
      <c r="D14" s="274" t="s">
        <v>213</v>
      </c>
      <c r="E14" s="280">
        <v>63.455000000000013</v>
      </c>
      <c r="F14" s="280">
        <v>80920.17</v>
      </c>
      <c r="G14" s="281">
        <v>1311.6182999999999</v>
      </c>
      <c r="H14" s="275">
        <f t="shared" si="0"/>
        <v>160219.62019999998</v>
      </c>
      <c r="I14" s="91"/>
    </row>
    <row r="15" spans="1:10" ht="20.100000000000001" customHeight="1" x14ac:dyDescent="0.2">
      <c r="B15" s="282" t="s">
        <v>167</v>
      </c>
      <c r="C15" s="283">
        <f t="shared" ref="C15:H15" si="1">SUM(C5:C14)</f>
        <v>262170.57963999989</v>
      </c>
      <c r="D15" s="284">
        <f t="shared" si="1"/>
        <v>47198.532650000001</v>
      </c>
      <c r="E15" s="284">
        <f t="shared" si="1"/>
        <v>70965.338870000036</v>
      </c>
      <c r="F15" s="284">
        <f t="shared" si="1"/>
        <v>322882.89064999996</v>
      </c>
      <c r="G15" s="285">
        <f t="shared" si="1"/>
        <v>72835.93346</v>
      </c>
      <c r="H15" s="286">
        <f t="shared" si="1"/>
        <v>776053.27526999987</v>
      </c>
      <c r="I15" s="91"/>
    </row>
    <row r="16" spans="1:10" x14ac:dyDescent="0.2">
      <c r="B16" s="91"/>
      <c r="C16" s="91"/>
      <c r="D16" s="91"/>
      <c r="E16" s="91"/>
      <c r="F16" s="91"/>
      <c r="G16" s="91"/>
      <c r="H16" s="91"/>
      <c r="I16" s="91"/>
    </row>
    <row r="17" spans="2:9" x14ac:dyDescent="0.2">
      <c r="B17" s="107" t="s">
        <v>168</v>
      </c>
      <c r="C17" s="274"/>
      <c r="D17" s="91"/>
      <c r="E17" s="91"/>
      <c r="F17" s="91"/>
      <c r="G17" s="91"/>
      <c r="H17" s="91"/>
      <c r="I17" s="91"/>
    </row>
    <row r="18" spans="2:9" x14ac:dyDescent="0.2">
      <c r="B18" s="91" t="s">
        <v>169</v>
      </c>
      <c r="C18" s="91"/>
      <c r="D18" s="91"/>
      <c r="E18" s="91"/>
      <c r="F18" s="91"/>
      <c r="G18" s="91"/>
      <c r="H18" s="91"/>
      <c r="I18" s="91"/>
    </row>
    <row r="19" spans="2:9" x14ac:dyDescent="0.2">
      <c r="B19" s="91" t="s">
        <v>170</v>
      </c>
      <c r="C19" s="91"/>
      <c r="D19" s="91"/>
      <c r="E19" s="91"/>
      <c r="F19" s="91"/>
      <c r="G19" s="91"/>
      <c r="H19" s="91"/>
      <c r="I19" s="91"/>
    </row>
    <row r="20" spans="2:9" x14ac:dyDescent="0.2">
      <c r="B20" s="287" t="s">
        <v>182</v>
      </c>
      <c r="C20" s="91"/>
      <c r="D20" s="91"/>
      <c r="E20" s="91"/>
      <c r="F20" s="91"/>
      <c r="G20" s="91"/>
      <c r="H20" s="91"/>
      <c r="I20" s="91"/>
    </row>
    <row r="21" spans="2:9" x14ac:dyDescent="0.2">
      <c r="B21" s="287" t="s">
        <v>183</v>
      </c>
      <c r="C21" s="91"/>
      <c r="D21" s="91"/>
      <c r="E21" s="91"/>
      <c r="F21" s="91"/>
      <c r="G21" s="91"/>
      <c r="H21" s="91"/>
      <c r="I21" s="91"/>
    </row>
    <row r="22" spans="2:9" x14ac:dyDescent="0.2">
      <c r="B22" s="287" t="s">
        <v>184</v>
      </c>
      <c r="C22" s="91"/>
      <c r="D22" s="91"/>
      <c r="E22" s="91"/>
      <c r="F22" s="91"/>
      <c r="G22" s="91"/>
      <c r="H22" s="91"/>
      <c r="I22" s="9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86"/>
  <sheetViews>
    <sheetView showGridLines="0" workbookViewId="0"/>
  </sheetViews>
  <sheetFormatPr defaultRowHeight="12.75" x14ac:dyDescent="0.2"/>
  <cols>
    <col min="1" max="1" width="5.42578125" style="91" customWidth="1"/>
    <col min="2" max="2" width="9" style="91" customWidth="1"/>
    <col min="3" max="3" width="21" style="91" customWidth="1"/>
    <col min="4" max="4" width="9.85546875" style="91" customWidth="1"/>
    <col min="5" max="5" width="10.7109375" style="91" bestFit="1" customWidth="1"/>
    <col min="6" max="8" width="9.140625" style="91"/>
    <col min="9" max="9" width="9.85546875" style="91" bestFit="1" customWidth="1"/>
    <col min="10" max="10" width="9.140625" style="91"/>
    <col min="11" max="11" width="10" style="91" customWidth="1"/>
    <col min="12" max="17" width="9.140625" style="91"/>
    <col min="18" max="18" width="9.5703125" style="91" customWidth="1"/>
    <col min="19" max="16384" width="9.140625" style="91"/>
  </cols>
  <sheetData>
    <row r="1" spans="1:20" x14ac:dyDescent="0.2">
      <c r="A1" s="90"/>
    </row>
    <row r="2" spans="1:20" ht="18.75" x14ac:dyDescent="0.2">
      <c r="B2" s="92" t="s">
        <v>249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20" ht="4.5" customHeight="1" x14ac:dyDescent="0.2">
      <c r="B3" s="92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20" x14ac:dyDescent="0.2">
      <c r="B4" s="91" t="s">
        <v>169</v>
      </c>
      <c r="C4" s="290"/>
      <c r="D4" s="290"/>
      <c r="E4" s="290"/>
      <c r="F4" s="290"/>
      <c r="G4" s="290"/>
      <c r="H4" s="290"/>
      <c r="I4" s="290"/>
      <c r="J4" s="290"/>
      <c r="K4" s="290"/>
      <c r="L4" s="289"/>
      <c r="M4" s="289"/>
      <c r="N4" s="289"/>
      <c r="O4" s="289"/>
      <c r="P4" s="289"/>
      <c r="Q4" s="289"/>
    </row>
    <row r="5" spans="1:20" x14ac:dyDescent="0.2">
      <c r="B5" s="91" t="s">
        <v>170</v>
      </c>
      <c r="C5" s="290"/>
      <c r="D5" s="290"/>
      <c r="E5" s="290"/>
      <c r="F5" s="290"/>
      <c r="G5" s="290"/>
      <c r="H5" s="290"/>
      <c r="I5" s="290"/>
      <c r="J5" s="290"/>
      <c r="K5" s="290"/>
      <c r="L5" s="289"/>
      <c r="M5" s="289"/>
      <c r="N5" s="289"/>
      <c r="O5" s="289"/>
      <c r="P5" s="289"/>
      <c r="Q5" s="289"/>
    </row>
    <row r="6" spans="1:20" x14ac:dyDescent="0.2">
      <c r="B6" s="291" t="s">
        <v>171</v>
      </c>
      <c r="C6" s="290"/>
      <c r="D6" s="290"/>
      <c r="E6" s="290"/>
      <c r="F6" s="290"/>
      <c r="G6" s="290"/>
      <c r="H6" s="290"/>
      <c r="I6" s="290"/>
      <c r="J6" s="290"/>
      <c r="K6" s="290"/>
      <c r="L6" s="289"/>
      <c r="M6" s="289"/>
      <c r="N6" s="289"/>
      <c r="O6" s="289"/>
      <c r="P6" s="289"/>
      <c r="Q6" s="289"/>
    </row>
    <row r="7" spans="1:20" x14ac:dyDescent="0.2">
      <c r="B7" s="292" t="s">
        <v>189</v>
      </c>
      <c r="C7" s="290"/>
      <c r="D7" s="290"/>
      <c r="E7" s="290"/>
      <c r="F7" s="290"/>
      <c r="G7" s="290"/>
      <c r="H7" s="290"/>
      <c r="I7" s="290"/>
      <c r="J7" s="290"/>
      <c r="K7" s="290"/>
      <c r="L7" s="289"/>
      <c r="M7" s="289"/>
      <c r="N7" s="289"/>
      <c r="O7" s="289"/>
      <c r="P7" s="289"/>
      <c r="Q7" s="289"/>
    </row>
    <row r="8" spans="1:20" x14ac:dyDescent="0.2">
      <c r="B8" s="291" t="s">
        <v>190</v>
      </c>
      <c r="C8" s="290"/>
      <c r="D8" s="290"/>
      <c r="E8" s="290"/>
      <c r="F8" s="290"/>
      <c r="G8" s="290"/>
      <c r="H8" s="290"/>
      <c r="I8" s="290"/>
      <c r="J8" s="290"/>
      <c r="K8" s="290"/>
      <c r="L8" s="289"/>
      <c r="M8" s="289"/>
      <c r="N8" s="289"/>
      <c r="O8" s="289"/>
      <c r="P8" s="289"/>
      <c r="Q8" s="289"/>
    </row>
    <row r="9" spans="1:20" x14ac:dyDescent="0.2">
      <c r="B9" s="287" t="s">
        <v>183</v>
      </c>
      <c r="C9" s="290"/>
      <c r="D9" s="290"/>
      <c r="E9" s="290"/>
      <c r="F9" s="290"/>
      <c r="G9" s="290"/>
      <c r="H9" s="290"/>
      <c r="I9" s="290"/>
      <c r="J9" s="290"/>
      <c r="K9" s="290"/>
      <c r="L9" s="289"/>
      <c r="M9" s="289"/>
      <c r="N9" s="289"/>
      <c r="O9" s="289"/>
      <c r="P9" s="289"/>
      <c r="Q9" s="289"/>
    </row>
    <row r="10" spans="1:20" x14ac:dyDescent="0.2">
      <c r="B10" s="287" t="s">
        <v>184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89"/>
      <c r="M10" s="289"/>
      <c r="N10" s="289"/>
      <c r="O10" s="289"/>
      <c r="P10" s="289"/>
      <c r="Q10" s="289"/>
    </row>
    <row r="11" spans="1:20" ht="9.75" customHeight="1" x14ac:dyDescent="0.2">
      <c r="B11" s="92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</row>
    <row r="12" spans="1:20" ht="18.75" x14ac:dyDescent="0.2">
      <c r="B12" s="92" t="s">
        <v>246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</row>
    <row r="13" spans="1:20" x14ac:dyDescent="0.2"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</row>
    <row r="14" spans="1:20" ht="36" customHeight="1" x14ac:dyDescent="0.2">
      <c r="B14" s="49" t="s">
        <v>185</v>
      </c>
      <c r="C14" s="50" t="s">
        <v>126</v>
      </c>
      <c r="D14" s="49" t="s">
        <v>186</v>
      </c>
      <c r="E14" s="50">
        <v>2000</v>
      </c>
      <c r="F14" s="50">
        <v>2001</v>
      </c>
      <c r="G14" s="50">
        <v>2002</v>
      </c>
      <c r="H14" s="50">
        <v>2003</v>
      </c>
      <c r="I14" s="50">
        <v>2004</v>
      </c>
      <c r="J14" s="50">
        <v>2006</v>
      </c>
      <c r="K14" s="50">
        <v>2007</v>
      </c>
      <c r="L14" s="50">
        <v>2008</v>
      </c>
      <c r="M14" s="50">
        <v>2009</v>
      </c>
      <c r="N14" s="50">
        <v>2010</v>
      </c>
      <c r="O14" s="51">
        <v>2011</v>
      </c>
      <c r="P14" s="51">
        <v>2012</v>
      </c>
      <c r="Q14" s="51">
        <v>2013</v>
      </c>
      <c r="R14" s="52">
        <v>2014</v>
      </c>
      <c r="S14" s="52">
        <v>2015</v>
      </c>
      <c r="T14" s="52">
        <v>2016</v>
      </c>
    </row>
    <row r="15" spans="1:20" x14ac:dyDescent="0.2">
      <c r="B15" s="293" t="s">
        <v>127</v>
      </c>
      <c r="C15" s="294" t="s">
        <v>128</v>
      </c>
      <c r="D15" s="295">
        <v>1.2625</v>
      </c>
      <c r="E15" s="295">
        <v>5.7399997711181641</v>
      </c>
      <c r="F15" s="295">
        <v>12.960000038146973</v>
      </c>
      <c r="G15" s="295">
        <v>71.335499197244644</v>
      </c>
      <c r="H15" s="295">
        <v>1177.9465000000002</v>
      </c>
      <c r="I15" s="295">
        <v>771.48001372814178</v>
      </c>
      <c r="J15" s="296">
        <v>13.44</v>
      </c>
      <c r="K15" s="297">
        <v>123.74618000000001</v>
      </c>
      <c r="L15" s="298">
        <v>14.520039999999998</v>
      </c>
      <c r="M15" s="299">
        <v>117.68899999999999</v>
      </c>
      <c r="N15" s="299">
        <v>28.48</v>
      </c>
      <c r="O15" s="300">
        <v>31.43</v>
      </c>
      <c r="P15" s="301">
        <v>397.07</v>
      </c>
      <c r="Q15" s="302">
        <v>27.132000000000001</v>
      </c>
      <c r="R15" s="371">
        <v>167.68459999999999</v>
      </c>
      <c r="S15" s="303">
        <v>8.2782</v>
      </c>
      <c r="T15" s="304">
        <v>1267.251</v>
      </c>
    </row>
    <row r="16" spans="1:20" ht="24" x14ac:dyDescent="0.2">
      <c r="B16" s="305" t="s">
        <v>129</v>
      </c>
      <c r="C16" s="306" t="s">
        <v>130</v>
      </c>
      <c r="D16" s="295">
        <v>704.59474</v>
      </c>
      <c r="E16" s="295">
        <v>279.55364795587957</v>
      </c>
      <c r="F16" s="295">
        <v>539.5732190804556</v>
      </c>
      <c r="G16" s="295">
        <v>180.67109253152739</v>
      </c>
      <c r="H16" s="295">
        <v>489.24173999999999</v>
      </c>
      <c r="I16" s="295">
        <v>479.50361367338337</v>
      </c>
      <c r="J16" s="295">
        <v>39.677999999999997</v>
      </c>
      <c r="K16" s="297">
        <v>49.370999999999995</v>
      </c>
      <c r="L16" s="307">
        <v>79.772449999999992</v>
      </c>
      <c r="M16" s="300">
        <v>149.72925000000001</v>
      </c>
      <c r="N16" s="300">
        <v>93.42777000000001</v>
      </c>
      <c r="O16" s="300">
        <v>176.37442999999999</v>
      </c>
      <c r="P16" s="301">
        <v>99.588920000000016</v>
      </c>
      <c r="Q16" s="302">
        <v>100.52800000000001</v>
      </c>
      <c r="R16" s="372">
        <v>133.38549999999998</v>
      </c>
      <c r="S16" s="308">
        <v>165.74292999999997</v>
      </c>
      <c r="T16" s="309">
        <v>189.81340000000006</v>
      </c>
    </row>
    <row r="17" spans="2:20" ht="24" x14ac:dyDescent="0.2">
      <c r="B17" s="305" t="s">
        <v>131</v>
      </c>
      <c r="C17" s="306" t="s">
        <v>132</v>
      </c>
      <c r="D17" s="295">
        <v>56.507209999999986</v>
      </c>
      <c r="E17" s="295">
        <v>155.22808021306992</v>
      </c>
      <c r="F17" s="295">
        <v>405.07089986279607</v>
      </c>
      <c r="G17" s="295">
        <v>265.83864853903651</v>
      </c>
      <c r="H17" s="295">
        <v>173.79</v>
      </c>
      <c r="I17" s="295">
        <v>316.12290562689304</v>
      </c>
      <c r="J17" s="295">
        <v>484.44200000000012</v>
      </c>
      <c r="K17" s="297">
        <v>217.26</v>
      </c>
      <c r="L17" s="307">
        <v>143.54599999999999</v>
      </c>
      <c r="M17" s="300">
        <v>245.79</v>
      </c>
      <c r="N17" s="300">
        <v>28.378900000000002</v>
      </c>
      <c r="O17" s="300">
        <v>75.127930000000006</v>
      </c>
      <c r="P17" s="301">
        <v>5.0599999999999996</v>
      </c>
      <c r="Q17" s="302">
        <v>47.06</v>
      </c>
      <c r="R17" s="372">
        <v>62.78</v>
      </c>
      <c r="S17" s="308">
        <v>9.14</v>
      </c>
      <c r="T17" s="309">
        <v>71.594999999999999</v>
      </c>
    </row>
    <row r="18" spans="2:20" ht="24" x14ac:dyDescent="0.2">
      <c r="B18" s="305" t="s">
        <v>133</v>
      </c>
      <c r="C18" s="306" t="s">
        <v>134</v>
      </c>
      <c r="D18" s="295">
        <v>272.60584999999998</v>
      </c>
      <c r="E18" s="295">
        <v>137.77542024850845</v>
      </c>
      <c r="F18" s="295">
        <v>164.41801830939949</v>
      </c>
      <c r="G18" s="295">
        <v>74.984200716018677</v>
      </c>
      <c r="H18" s="295">
        <v>155.81909999999999</v>
      </c>
      <c r="I18" s="295">
        <v>272.6131030805409</v>
      </c>
      <c r="J18" s="295">
        <v>86.1</v>
      </c>
      <c r="K18" s="297">
        <v>165.721</v>
      </c>
      <c r="L18" s="307">
        <v>160.184</v>
      </c>
      <c r="M18" s="300">
        <v>147.39600000000002</v>
      </c>
      <c r="N18" s="300">
        <v>204.60510000000002</v>
      </c>
      <c r="O18" s="300">
        <v>174.643</v>
      </c>
      <c r="P18" s="301">
        <v>150.82599999999999</v>
      </c>
      <c r="Q18" s="302">
        <v>176.01600000000002</v>
      </c>
      <c r="R18" s="372">
        <v>156.73075</v>
      </c>
      <c r="S18" s="308">
        <v>104.18653</v>
      </c>
      <c r="T18" s="309">
        <v>101.73</v>
      </c>
    </row>
    <row r="19" spans="2:20" ht="24" x14ac:dyDescent="0.2">
      <c r="B19" s="305" t="s">
        <v>135</v>
      </c>
      <c r="C19" s="306" t="s">
        <v>136</v>
      </c>
      <c r="D19" s="295">
        <v>2789.3441800000001</v>
      </c>
      <c r="E19" s="295">
        <v>2579.7999113947153</v>
      </c>
      <c r="F19" s="295">
        <v>1736.010593380779</v>
      </c>
      <c r="G19" s="295">
        <v>6703.1568374782801</v>
      </c>
      <c r="H19" s="295">
        <v>4704.3617600000007</v>
      </c>
      <c r="I19" s="295">
        <v>625.38949176110327</v>
      </c>
      <c r="J19" s="295">
        <v>458.262</v>
      </c>
      <c r="K19" s="297">
        <v>177.57664999999997</v>
      </c>
      <c r="L19" s="307">
        <v>66.637749999999997</v>
      </c>
      <c r="M19" s="300">
        <v>203.65024999999997</v>
      </c>
      <c r="N19" s="300">
        <v>68.956999999999994</v>
      </c>
      <c r="O19" s="300">
        <v>99.301050000000004</v>
      </c>
      <c r="P19" s="301">
        <v>255.24700999999999</v>
      </c>
      <c r="Q19" s="302">
        <v>593.53200000000004</v>
      </c>
      <c r="R19" s="372">
        <v>136.40539999999999</v>
      </c>
      <c r="S19" s="308">
        <v>169.8295</v>
      </c>
      <c r="T19" s="309">
        <v>143.54049999999992</v>
      </c>
    </row>
    <row r="20" spans="2:20" ht="24" x14ac:dyDescent="0.2">
      <c r="B20" s="305" t="s">
        <v>137</v>
      </c>
      <c r="C20" s="306" t="s">
        <v>138</v>
      </c>
      <c r="D20" s="295">
        <v>13480.785990000004</v>
      </c>
      <c r="E20" s="295">
        <v>11884.130829242273</v>
      </c>
      <c r="F20" s="295">
        <v>9569.2028609870504</v>
      </c>
      <c r="G20" s="295">
        <v>7862.4238130859303</v>
      </c>
      <c r="H20" s="295">
        <v>7198.2096199999987</v>
      </c>
      <c r="I20" s="295">
        <v>5349.0993086802409</v>
      </c>
      <c r="J20" s="295">
        <v>7782.9676600000021</v>
      </c>
      <c r="K20" s="297">
        <v>4128.2786500000002</v>
      </c>
      <c r="L20" s="307">
        <v>5836.8809600000004</v>
      </c>
      <c r="M20" s="300">
        <v>4652.1039599999995</v>
      </c>
      <c r="N20" s="300">
        <v>4953.2924900000007</v>
      </c>
      <c r="O20" s="300">
        <v>6105.7771399999992</v>
      </c>
      <c r="P20" s="301">
        <v>5232.2414400000007</v>
      </c>
      <c r="Q20" s="302">
        <v>4214.4405400000005</v>
      </c>
      <c r="R20" s="372">
        <v>3281.5873799999999</v>
      </c>
      <c r="S20" s="308">
        <v>3086.6502399999999</v>
      </c>
      <c r="T20" s="309">
        <v>4009.0021000000006</v>
      </c>
    </row>
    <row r="21" spans="2:20" ht="24" x14ac:dyDescent="0.2">
      <c r="B21" s="305" t="s">
        <v>139</v>
      </c>
      <c r="C21" s="306" t="s">
        <v>140</v>
      </c>
      <c r="D21" s="295">
        <v>21889.561730000001</v>
      </c>
      <c r="E21" s="295">
        <v>20995.377511831757</v>
      </c>
      <c r="F21" s="295">
        <v>21007.451239211237</v>
      </c>
      <c r="G21" s="295">
        <v>17858.497425227484</v>
      </c>
      <c r="H21" s="295">
        <v>16200.199339999994</v>
      </c>
      <c r="I21" s="295">
        <v>14301.855516429274</v>
      </c>
      <c r="J21" s="295">
        <v>8729.8212499999972</v>
      </c>
      <c r="K21" s="297">
        <v>8495.5149600000004</v>
      </c>
      <c r="L21" s="307">
        <v>8044.6916999999985</v>
      </c>
      <c r="M21" s="300">
        <v>5904.9859499999993</v>
      </c>
      <c r="N21" s="300">
        <v>11352.1759</v>
      </c>
      <c r="O21" s="300">
        <v>12729.816299999999</v>
      </c>
      <c r="P21" s="301">
        <v>10583.470490000002</v>
      </c>
      <c r="Q21" s="302">
        <v>5073.5568800000001</v>
      </c>
      <c r="R21" s="372">
        <v>4808.7629700000007</v>
      </c>
      <c r="S21" s="308">
        <v>5503.2643800000005</v>
      </c>
      <c r="T21" s="309">
        <v>5932.6173799999997</v>
      </c>
    </row>
    <row r="22" spans="2:20" ht="24" x14ac:dyDescent="0.2">
      <c r="B22" s="305" t="s">
        <v>141</v>
      </c>
      <c r="C22" s="306" t="s">
        <v>142</v>
      </c>
      <c r="D22" s="295">
        <v>9149.5057799999868</v>
      </c>
      <c r="E22" s="295">
        <v>13024.230215519528</v>
      </c>
      <c r="F22" s="295">
        <v>13087.069926740718</v>
      </c>
      <c r="G22" s="295">
        <v>10806.510270590894</v>
      </c>
      <c r="H22" s="295">
        <v>10897.818959999999</v>
      </c>
      <c r="I22" s="295">
        <v>11516.760074354301</v>
      </c>
      <c r="J22" s="295">
        <v>32116.35937000002</v>
      </c>
      <c r="K22" s="297">
        <v>12465.891850000002</v>
      </c>
      <c r="L22" s="307">
        <v>11680.071250000003</v>
      </c>
      <c r="M22" s="300">
        <v>9393.1914300000062</v>
      </c>
      <c r="N22" s="300">
        <v>8835.932950000004</v>
      </c>
      <c r="O22" s="300">
        <v>8804.2131200000022</v>
      </c>
      <c r="P22" s="301">
        <v>8033.6939900000007</v>
      </c>
      <c r="Q22" s="302">
        <v>8022.3959099999993</v>
      </c>
      <c r="R22" s="372">
        <v>7588.7234800000006</v>
      </c>
      <c r="S22" s="308">
        <v>8227.0541000000012</v>
      </c>
      <c r="T22" s="309">
        <v>8298.1941600000009</v>
      </c>
    </row>
    <row r="23" spans="2:20" x14ac:dyDescent="0.2">
      <c r="B23" s="305" t="s">
        <v>143</v>
      </c>
      <c r="C23" s="306" t="s">
        <v>144</v>
      </c>
      <c r="D23" s="295">
        <v>546.28294000000005</v>
      </c>
      <c r="E23" s="295">
        <v>1018.2664007076528</v>
      </c>
      <c r="F23" s="295">
        <v>431.26524690911174</v>
      </c>
      <c r="G23" s="295">
        <v>949.2883795326743</v>
      </c>
      <c r="H23" s="295">
        <v>955.66539999999975</v>
      </c>
      <c r="I23" s="295">
        <v>951.66201982647181</v>
      </c>
      <c r="J23" s="295">
        <v>1309.8572900000004</v>
      </c>
      <c r="K23" s="297">
        <v>1044.5584900000001</v>
      </c>
      <c r="L23" s="307">
        <v>973.14756999999986</v>
      </c>
      <c r="M23" s="300">
        <v>876.99958000000015</v>
      </c>
      <c r="N23" s="300">
        <v>722.28475000000003</v>
      </c>
      <c r="O23" s="300">
        <v>672.88324999999998</v>
      </c>
      <c r="P23" s="301">
        <v>550.43540000000007</v>
      </c>
      <c r="Q23" s="302">
        <v>451.10449999999997</v>
      </c>
      <c r="R23" s="372">
        <v>482.18899999999996</v>
      </c>
      <c r="S23" s="308">
        <v>518.44629999999995</v>
      </c>
      <c r="T23" s="309">
        <v>375.08940000000007</v>
      </c>
    </row>
    <row r="24" spans="2:20" ht="24" x14ac:dyDescent="0.2">
      <c r="B24" s="305" t="s">
        <v>145</v>
      </c>
      <c r="C24" s="306" t="s">
        <v>146</v>
      </c>
      <c r="D24" s="295">
        <v>20465.290530000006</v>
      </c>
      <c r="E24" s="295">
        <v>19771.847118034959</v>
      </c>
      <c r="F24" s="295">
        <v>52157.545380041003</v>
      </c>
      <c r="G24" s="295">
        <v>23193.425180680119</v>
      </c>
      <c r="H24" s="295">
        <v>25044.246789999994</v>
      </c>
      <c r="I24" s="295">
        <v>23389.007776221726</v>
      </c>
      <c r="J24" s="295">
        <v>22282.781139999996</v>
      </c>
      <c r="K24" s="297">
        <v>22158.584899999998</v>
      </c>
      <c r="L24" s="307">
        <v>18247.523999999998</v>
      </c>
      <c r="M24" s="300">
        <v>9206.4069999999992</v>
      </c>
      <c r="N24" s="300">
        <v>9292.073089999998</v>
      </c>
      <c r="O24" s="300">
        <v>6787.3980000000001</v>
      </c>
      <c r="P24" s="301">
        <v>9448.3235499999992</v>
      </c>
      <c r="Q24" s="302">
        <v>9009.5773599999993</v>
      </c>
      <c r="R24" s="372">
        <v>5924.5068700000011</v>
      </c>
      <c r="S24" s="308">
        <v>5845.352539999999</v>
      </c>
      <c r="T24" s="309">
        <v>10595.99588</v>
      </c>
    </row>
    <row r="25" spans="2:20" ht="24" x14ac:dyDescent="0.2">
      <c r="B25" s="305" t="s">
        <v>147</v>
      </c>
      <c r="C25" s="306" t="s">
        <v>148</v>
      </c>
      <c r="D25" s="295">
        <v>10476.862119999996</v>
      </c>
      <c r="E25" s="295">
        <v>11008.95696439594</v>
      </c>
      <c r="F25" s="295">
        <v>11888.807719571516</v>
      </c>
      <c r="G25" s="295">
        <v>13175.001424080692</v>
      </c>
      <c r="H25" s="295">
        <v>11113.188379999996</v>
      </c>
      <c r="I25" s="295">
        <v>10266.444600705057</v>
      </c>
      <c r="J25" s="295">
        <v>9850.39516</v>
      </c>
      <c r="K25" s="297">
        <v>10445.192139999999</v>
      </c>
      <c r="L25" s="307">
        <v>12468.792400000002</v>
      </c>
      <c r="M25" s="300">
        <v>10108.591189999999</v>
      </c>
      <c r="N25" s="300">
        <v>9895.2230999999992</v>
      </c>
      <c r="O25" s="300">
        <v>11744.065400000001</v>
      </c>
      <c r="P25" s="301">
        <v>9283.3989999999994</v>
      </c>
      <c r="Q25" s="302">
        <v>9092.1432000000004</v>
      </c>
      <c r="R25" s="372">
        <v>9281.0532899999998</v>
      </c>
      <c r="S25" s="308">
        <v>8866.8348099999985</v>
      </c>
      <c r="T25" s="309">
        <v>10351.215789999995</v>
      </c>
    </row>
    <row r="26" spans="2:20" ht="24" x14ac:dyDescent="0.2">
      <c r="B26" s="305" t="s">
        <v>149</v>
      </c>
      <c r="C26" s="306" t="s">
        <v>150</v>
      </c>
      <c r="D26" s="295">
        <v>12048.83648</v>
      </c>
      <c r="E26" s="295">
        <v>14039.602683596313</v>
      </c>
      <c r="F26" s="295">
        <v>14908.646892568097</v>
      </c>
      <c r="G26" s="295">
        <v>13829.832082509995</v>
      </c>
      <c r="H26" s="295">
        <v>12036.994759999992</v>
      </c>
      <c r="I26" s="295">
        <v>13922.571457386017</v>
      </c>
      <c r="J26" s="295">
        <v>8965.0644000000011</v>
      </c>
      <c r="K26" s="297">
        <v>10615.1175</v>
      </c>
      <c r="L26" s="307">
        <v>14803.887900000003</v>
      </c>
      <c r="M26" s="300">
        <v>10833.778749999999</v>
      </c>
      <c r="N26" s="300">
        <v>11348.393400000003</v>
      </c>
      <c r="O26" s="300">
        <v>13044.264830000002</v>
      </c>
      <c r="P26" s="301">
        <v>14132.05026</v>
      </c>
      <c r="Q26" s="302">
        <v>12931.262000000001</v>
      </c>
      <c r="R26" s="372">
        <v>13963.416850000003</v>
      </c>
      <c r="S26" s="308">
        <v>13690.11152</v>
      </c>
      <c r="T26" s="309">
        <v>12110.49041</v>
      </c>
    </row>
    <row r="27" spans="2:20" ht="24" x14ac:dyDescent="0.2">
      <c r="B27" s="305" t="s">
        <v>151</v>
      </c>
      <c r="C27" s="306" t="s">
        <v>152</v>
      </c>
      <c r="D27" s="295">
        <v>60667.675140000101</v>
      </c>
      <c r="E27" s="295">
        <v>34852.929523123312</v>
      </c>
      <c r="F27" s="295">
        <v>46684.926811684389</v>
      </c>
      <c r="G27" s="295">
        <v>35207.037760229548</v>
      </c>
      <c r="H27" s="295">
        <v>32752.318259999967</v>
      </c>
      <c r="I27" s="295">
        <v>29255.995788714848</v>
      </c>
      <c r="J27" s="295">
        <v>71491.05654000002</v>
      </c>
      <c r="K27" s="297">
        <v>66966.429370000013</v>
      </c>
      <c r="L27" s="307">
        <v>73162.298610000042</v>
      </c>
      <c r="M27" s="300">
        <v>40447.413359999991</v>
      </c>
      <c r="N27" s="300">
        <v>48119.665460000018</v>
      </c>
      <c r="O27" s="300">
        <v>51930.200030000022</v>
      </c>
      <c r="P27" s="301">
        <v>71382.912899999996</v>
      </c>
      <c r="Q27" s="302">
        <v>55796.010150000016</v>
      </c>
      <c r="R27" s="372">
        <v>75949.141350000005</v>
      </c>
      <c r="S27" s="308">
        <v>84695.382860000012</v>
      </c>
      <c r="T27" s="309">
        <v>60160.466010000055</v>
      </c>
    </row>
    <row r="28" spans="2:20" x14ac:dyDescent="0.2">
      <c r="B28" s="305" t="s">
        <v>153</v>
      </c>
      <c r="C28" s="306" t="s">
        <v>154</v>
      </c>
      <c r="D28" s="295">
        <v>29360.086249999968</v>
      </c>
      <c r="E28" s="295">
        <v>3165.8188528947067</v>
      </c>
      <c r="F28" s="295">
        <v>3187.793662768323</v>
      </c>
      <c r="G28" s="295">
        <v>2615.0791563715466</v>
      </c>
      <c r="H28" s="295">
        <v>2090.95804</v>
      </c>
      <c r="I28" s="295">
        <v>4887.2055526273325</v>
      </c>
      <c r="J28" s="295">
        <v>2886.0329299999994</v>
      </c>
      <c r="K28" s="297">
        <v>3031.1247300000009</v>
      </c>
      <c r="L28" s="307">
        <v>2467.0722500000002</v>
      </c>
      <c r="M28" s="300">
        <v>1961.6525100000003</v>
      </c>
      <c r="N28" s="300">
        <v>1857.2798499999994</v>
      </c>
      <c r="O28" s="300">
        <v>2148.2385799999997</v>
      </c>
      <c r="P28" s="301">
        <v>2504.7098999999998</v>
      </c>
      <c r="Q28" s="302">
        <v>3454.9925000000003</v>
      </c>
      <c r="R28" s="372">
        <v>3874.5844500000003</v>
      </c>
      <c r="S28" s="308">
        <v>2032.6236300000005</v>
      </c>
      <c r="T28" s="309">
        <v>2675.3401699999999</v>
      </c>
    </row>
    <row r="29" spans="2:20" ht="24" x14ac:dyDescent="0.2">
      <c r="B29" s="305" t="s">
        <v>155</v>
      </c>
      <c r="C29" s="306" t="s">
        <v>156</v>
      </c>
      <c r="D29" s="295">
        <v>2322.9997400000002</v>
      </c>
      <c r="E29" s="295">
        <v>3002.3549329137604</v>
      </c>
      <c r="F29" s="295">
        <v>2814.590238568373</v>
      </c>
      <c r="G29" s="295">
        <v>1838.3557400726531</v>
      </c>
      <c r="H29" s="295">
        <v>2843.7420000000011</v>
      </c>
      <c r="I29" s="295">
        <v>6422.4197499812581</v>
      </c>
      <c r="J29" s="295">
        <v>5537.2507599999999</v>
      </c>
      <c r="K29" s="297">
        <v>5672.2277999999988</v>
      </c>
      <c r="L29" s="307">
        <v>5484.2704999999969</v>
      </c>
      <c r="M29" s="300">
        <v>5468.801660000001</v>
      </c>
      <c r="N29" s="300">
        <v>5620.6125300000003</v>
      </c>
      <c r="O29" s="300">
        <v>6310.043200000001</v>
      </c>
      <c r="P29" s="301">
        <v>6426.4793800000007</v>
      </c>
      <c r="Q29" s="302">
        <v>6671.1748299999999</v>
      </c>
      <c r="R29" s="372">
        <v>9849.8842899999981</v>
      </c>
      <c r="S29" s="308">
        <v>10891.839089999998</v>
      </c>
      <c r="T29" s="309">
        <v>12637.746480000002</v>
      </c>
    </row>
    <row r="30" spans="2:20" x14ac:dyDescent="0.2">
      <c r="B30" s="305" t="s">
        <v>157</v>
      </c>
      <c r="C30" s="306" t="s">
        <v>158</v>
      </c>
      <c r="D30" s="295">
        <v>18633.069719999996</v>
      </c>
      <c r="E30" s="295">
        <v>11755.458872641306</v>
      </c>
      <c r="F30" s="295">
        <v>12210.735833739051</v>
      </c>
      <c r="G30" s="295">
        <v>10829.194670209537</v>
      </c>
      <c r="H30" s="295">
        <v>10441.333389999993</v>
      </c>
      <c r="I30" s="295">
        <v>12486.12131530005</v>
      </c>
      <c r="J30" s="295">
        <v>31082.425959999997</v>
      </c>
      <c r="K30" s="297">
        <v>41871.356179999988</v>
      </c>
      <c r="L30" s="307">
        <v>46587.366050000011</v>
      </c>
      <c r="M30" s="300">
        <v>37837.436610000019</v>
      </c>
      <c r="N30" s="300">
        <v>42851.86179000001</v>
      </c>
      <c r="O30" s="300">
        <v>43198.396930000046</v>
      </c>
      <c r="P30" s="301">
        <v>50536.241310000012</v>
      </c>
      <c r="Q30" s="302">
        <v>53103.00326000002</v>
      </c>
      <c r="R30" s="372">
        <v>47960.656640000001</v>
      </c>
      <c r="S30" s="308">
        <v>47183.440660000007</v>
      </c>
      <c r="T30" s="309">
        <v>53352.240700000009</v>
      </c>
    </row>
    <row r="31" spans="2:20" x14ac:dyDescent="0.2">
      <c r="B31" s="305" t="s">
        <v>159</v>
      </c>
      <c r="C31" s="306" t="s">
        <v>160</v>
      </c>
      <c r="D31" s="295">
        <v>34526.87816</v>
      </c>
      <c r="E31" s="295">
        <v>73332.0081325598</v>
      </c>
      <c r="F31" s="295">
        <v>97469.5193346655</v>
      </c>
      <c r="G31" s="295">
        <v>48803.324499362483</v>
      </c>
      <c r="H31" s="295">
        <v>71369.01462000006</v>
      </c>
      <c r="I31" s="295">
        <v>102153.72615818397</v>
      </c>
      <c r="J31" s="295">
        <v>38885.465030000028</v>
      </c>
      <c r="K31" s="297">
        <v>54934.237229999999</v>
      </c>
      <c r="L31" s="307">
        <v>42608.012310000013</v>
      </c>
      <c r="M31" s="300">
        <v>34506.138050000009</v>
      </c>
      <c r="N31" s="300">
        <v>43276.604880000021</v>
      </c>
      <c r="O31" s="300">
        <v>45933.585640000019</v>
      </c>
      <c r="P31" s="301">
        <v>68527.156170000002</v>
      </c>
      <c r="Q31" s="302">
        <v>55232.691690000021</v>
      </c>
      <c r="R31" s="372">
        <v>89730.727279999992</v>
      </c>
      <c r="S31" s="308">
        <v>90335.054830000008</v>
      </c>
      <c r="T31" s="309">
        <v>61596.157710000007</v>
      </c>
    </row>
    <row r="32" spans="2:20" x14ac:dyDescent="0.2">
      <c r="B32" s="305" t="s">
        <v>161</v>
      </c>
      <c r="C32" s="306" t="s">
        <v>162</v>
      </c>
      <c r="D32" s="295">
        <v>1673.998250000001</v>
      </c>
      <c r="E32" s="295">
        <v>1649.1370317546534</v>
      </c>
      <c r="F32" s="295">
        <v>1739.7606976361712</v>
      </c>
      <c r="G32" s="295">
        <v>1278.4358901838459</v>
      </c>
      <c r="H32" s="295">
        <v>849.47780999999964</v>
      </c>
      <c r="I32" s="295">
        <v>1065.8482809947454</v>
      </c>
      <c r="J32" s="295">
        <v>9154.5260999999991</v>
      </c>
      <c r="K32" s="297">
        <v>10806.141030000001</v>
      </c>
      <c r="L32" s="307">
        <v>12038.747890000001</v>
      </c>
      <c r="M32" s="300">
        <v>12503.169110000003</v>
      </c>
      <c r="N32" s="300">
        <v>11658.938860000006</v>
      </c>
      <c r="O32" s="300">
        <v>12761.225789999999</v>
      </c>
      <c r="P32" s="301">
        <v>12378.112409999991</v>
      </c>
      <c r="Q32" s="302">
        <v>13511.060260000002</v>
      </c>
      <c r="R32" s="372">
        <v>12488.090290000011</v>
      </c>
      <c r="S32" s="308">
        <v>12641.657290000001</v>
      </c>
      <c r="T32" s="309">
        <v>14061.597689999995</v>
      </c>
    </row>
    <row r="33" spans="2:20" ht="24" x14ac:dyDescent="0.2">
      <c r="B33" s="305" t="s">
        <v>163</v>
      </c>
      <c r="C33" s="306" t="s">
        <v>164</v>
      </c>
      <c r="D33" s="295">
        <v>25007.294010000001</v>
      </c>
      <c r="E33" s="295">
        <v>32013.251748551847</v>
      </c>
      <c r="F33" s="295">
        <v>43106.000014103949</v>
      </c>
      <c r="G33" s="295">
        <v>47174.28735916689</v>
      </c>
      <c r="H33" s="295">
        <v>47346.100039999998</v>
      </c>
      <c r="I33" s="295">
        <v>50829.111204978079</v>
      </c>
      <c r="J33" s="295">
        <v>83361.302789999987</v>
      </c>
      <c r="K33" s="297">
        <v>87050.394569999975</v>
      </c>
      <c r="L33" s="307">
        <v>72012.779320000031</v>
      </c>
      <c r="M33" s="300">
        <v>23325.920019999994</v>
      </c>
      <c r="N33" s="300">
        <v>48861.168000000005</v>
      </c>
      <c r="O33" s="300">
        <v>59806.502480000003</v>
      </c>
      <c r="P33" s="301">
        <v>86384.469789999988</v>
      </c>
      <c r="Q33" s="302">
        <v>184225.37474</v>
      </c>
      <c r="R33" s="372">
        <v>151889.86248000001</v>
      </c>
      <c r="S33" s="308">
        <v>182482.04051000002</v>
      </c>
      <c r="T33" s="309">
        <v>169567.91699000003</v>
      </c>
    </row>
    <row r="34" spans="2:20" ht="24" x14ac:dyDescent="0.2">
      <c r="B34" s="305" t="s">
        <v>165</v>
      </c>
      <c r="C34" s="306" t="s">
        <v>166</v>
      </c>
      <c r="D34" s="295">
        <v>2856.8374600000002</v>
      </c>
      <c r="E34" s="295">
        <v>2493.1401511281729</v>
      </c>
      <c r="F34" s="295">
        <v>4440.7602182512637</v>
      </c>
      <c r="G34" s="295">
        <v>6197.2114301263682</v>
      </c>
      <c r="H34" s="295">
        <v>3752.6630800000003</v>
      </c>
      <c r="I34" s="295">
        <v>1360.8810630135486</v>
      </c>
      <c r="J34" s="295">
        <v>18498.472430000002</v>
      </c>
      <c r="K34" s="297">
        <v>22290.784250000004</v>
      </c>
      <c r="L34" s="307">
        <v>26094.703430000005</v>
      </c>
      <c r="M34" s="300">
        <v>18389.458910000008</v>
      </c>
      <c r="N34" s="300">
        <v>18809.293560000002</v>
      </c>
      <c r="O34" s="300">
        <v>24148.763540000011</v>
      </c>
      <c r="P34" s="301">
        <v>14936.83642</v>
      </c>
      <c r="Q34" s="302">
        <v>11430.842120000001</v>
      </c>
      <c r="R34" s="372">
        <v>29857.2552</v>
      </c>
      <c r="S34" s="308">
        <v>37877.531460000006</v>
      </c>
      <c r="T34" s="309">
        <v>34164.860390000002</v>
      </c>
    </row>
    <row r="35" spans="2:20" x14ac:dyDescent="0.2">
      <c r="B35" s="310" t="s">
        <v>187</v>
      </c>
      <c r="C35" s="311" t="s">
        <v>188</v>
      </c>
      <c r="D35" s="312">
        <v>3546.7784500000012</v>
      </c>
      <c r="E35" s="312">
        <v>2849.3553596884012</v>
      </c>
      <c r="F35" s="312">
        <v>3333.3756147567183</v>
      </c>
      <c r="G35" s="312">
        <v>4403.5546282321848</v>
      </c>
      <c r="H35" s="312">
        <v>6356.7330800000018</v>
      </c>
      <c r="I35" s="312">
        <v>1873.0423654448241</v>
      </c>
      <c r="J35" s="313">
        <v>0</v>
      </c>
      <c r="K35" s="297">
        <v>0</v>
      </c>
      <c r="L35" s="313">
        <v>0</v>
      </c>
      <c r="M35" s="313">
        <v>0</v>
      </c>
      <c r="N35" s="313">
        <v>0</v>
      </c>
      <c r="O35" s="313">
        <v>0</v>
      </c>
      <c r="P35" s="313">
        <v>0</v>
      </c>
      <c r="Q35" s="313">
        <v>0</v>
      </c>
      <c r="R35" s="373">
        <v>0</v>
      </c>
      <c r="S35" s="374">
        <v>0</v>
      </c>
      <c r="T35" s="374">
        <v>0</v>
      </c>
    </row>
    <row r="36" spans="2:20" ht="20.100000000000001" customHeight="1" x14ac:dyDescent="0.2">
      <c r="B36" s="314"/>
      <c r="C36" s="315" t="s">
        <v>167</v>
      </c>
      <c r="D36" s="316">
        <f t="shared" ref="D36:I36" si="0">SUM(D15:D35)</f>
        <v>270477.05723000003</v>
      </c>
      <c r="E36" s="316">
        <f t="shared" si="0"/>
        <v>260013.9633881677</v>
      </c>
      <c r="F36" s="316">
        <f t="shared" si="0"/>
        <v>340895.48442287405</v>
      </c>
      <c r="G36" s="316">
        <f t="shared" si="0"/>
        <v>253317.44598812493</v>
      </c>
      <c r="H36" s="316">
        <f t="shared" si="0"/>
        <v>267949.82266999997</v>
      </c>
      <c r="I36" s="316">
        <f t="shared" si="0"/>
        <v>292496.86136071186</v>
      </c>
      <c r="J36" s="317">
        <f t="shared" ref="J36:R36" si="1">SUM(J15:J35)</f>
        <v>353015.70081000001</v>
      </c>
      <c r="K36" s="317">
        <f t="shared" si="1"/>
        <v>362709.50848000002</v>
      </c>
      <c r="L36" s="317">
        <f t="shared" si="1"/>
        <v>352974.90638000006</v>
      </c>
      <c r="M36" s="317">
        <f t="shared" si="1"/>
        <v>226280.30259000004</v>
      </c>
      <c r="N36" s="317">
        <f t="shared" si="1"/>
        <v>277878.64938000008</v>
      </c>
      <c r="O36" s="317">
        <f t="shared" si="1"/>
        <v>306682.2506400001</v>
      </c>
      <c r="P36" s="317">
        <f t="shared" si="1"/>
        <v>371248.32433999999</v>
      </c>
      <c r="Q36" s="317">
        <f t="shared" ref="Q36" si="2">SUM(Q15:Q35)</f>
        <v>433163.89794000005</v>
      </c>
      <c r="R36" s="318">
        <f t="shared" si="1"/>
        <v>467587.42807000002</v>
      </c>
      <c r="S36" s="318">
        <f t="shared" ref="S36:T36" si="3">SUM(S15:S35)</f>
        <v>514334.46138000011</v>
      </c>
      <c r="T36" s="319">
        <f t="shared" si="3"/>
        <v>461662.86116000003</v>
      </c>
    </row>
    <row r="37" spans="2:20" x14ac:dyDescent="0.2">
      <c r="B37" s="320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</row>
    <row r="38" spans="2:20" x14ac:dyDescent="0.2">
      <c r="B38" s="321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</row>
    <row r="39" spans="2:20" ht="18.75" x14ac:dyDescent="0.2">
      <c r="B39" s="92" t="s">
        <v>247</v>
      </c>
      <c r="C39" s="322"/>
      <c r="D39" s="322"/>
      <c r="E39" s="322"/>
      <c r="F39" s="322"/>
      <c r="G39" s="322"/>
      <c r="H39" s="322"/>
      <c r="I39" s="322"/>
      <c r="J39" s="322"/>
      <c r="K39" s="322"/>
      <c r="L39" s="289"/>
      <c r="M39" s="289"/>
      <c r="N39" s="289"/>
      <c r="O39" s="289"/>
      <c r="P39" s="289"/>
      <c r="Q39" s="289"/>
    </row>
    <row r="40" spans="2:20" x14ac:dyDescent="0.2"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289"/>
      <c r="M40" s="289"/>
      <c r="N40" s="289"/>
      <c r="O40" s="289"/>
      <c r="P40" s="289"/>
      <c r="Q40" s="289"/>
    </row>
    <row r="41" spans="2:20" ht="36" customHeight="1" x14ac:dyDescent="0.2">
      <c r="B41" s="53" t="s">
        <v>185</v>
      </c>
      <c r="C41" s="54" t="s">
        <v>191</v>
      </c>
      <c r="D41" s="53" t="s">
        <v>186</v>
      </c>
      <c r="E41" s="55">
        <v>2000</v>
      </c>
      <c r="F41" s="55">
        <v>2001</v>
      </c>
      <c r="G41" s="55">
        <v>2002</v>
      </c>
      <c r="H41" s="55">
        <v>2003</v>
      </c>
      <c r="I41" s="55">
        <v>2004</v>
      </c>
      <c r="J41" s="55">
        <v>2006</v>
      </c>
      <c r="K41" s="55">
        <v>2007</v>
      </c>
      <c r="L41" s="56">
        <v>2008</v>
      </c>
      <c r="M41" s="50">
        <v>2009</v>
      </c>
      <c r="N41" s="50">
        <v>2010</v>
      </c>
      <c r="O41" s="51">
        <v>2011</v>
      </c>
      <c r="P41" s="51">
        <v>2012</v>
      </c>
      <c r="Q41" s="51">
        <v>2013</v>
      </c>
      <c r="R41" s="52">
        <v>2014</v>
      </c>
      <c r="S41" s="52">
        <v>2015</v>
      </c>
      <c r="T41" s="52">
        <v>2016</v>
      </c>
    </row>
    <row r="42" spans="2:20" x14ac:dyDescent="0.2">
      <c r="B42" s="323" t="s">
        <v>127</v>
      </c>
      <c r="C42" s="324" t="s">
        <v>128</v>
      </c>
      <c r="D42" s="295">
        <v>1.2625</v>
      </c>
      <c r="E42" s="295">
        <v>5.7399997711181641</v>
      </c>
      <c r="F42" s="295">
        <v>12.960000038146973</v>
      </c>
      <c r="G42" s="295">
        <v>71.335499197244644</v>
      </c>
      <c r="H42" s="295">
        <v>1177.9465000000002</v>
      </c>
      <c r="I42" s="295">
        <v>771.48001372814178</v>
      </c>
      <c r="J42" s="296">
        <v>32.31</v>
      </c>
      <c r="K42" s="297">
        <v>47.57</v>
      </c>
      <c r="L42" s="325">
        <v>14.430039999999998</v>
      </c>
      <c r="M42" s="299">
        <v>499.67349999999999</v>
      </c>
      <c r="N42" s="299">
        <v>2.9</v>
      </c>
      <c r="O42" s="300">
        <v>1</v>
      </c>
      <c r="P42" s="301">
        <v>6.5350000000000001</v>
      </c>
      <c r="Q42" s="302">
        <v>63.91</v>
      </c>
      <c r="R42" s="375">
        <v>317.56</v>
      </c>
      <c r="S42" s="326">
        <v>0.04</v>
      </c>
      <c r="T42" s="327">
        <v>144.22</v>
      </c>
    </row>
    <row r="43" spans="2:20" x14ac:dyDescent="0.2">
      <c r="B43" s="328" t="s">
        <v>129</v>
      </c>
      <c r="C43" s="329" t="s">
        <v>130</v>
      </c>
      <c r="D43" s="295">
        <v>704.59474</v>
      </c>
      <c r="E43" s="295">
        <v>279.55364795587957</v>
      </c>
      <c r="F43" s="295">
        <v>539.5732190804556</v>
      </c>
      <c r="G43" s="295">
        <v>180.67109253152739</v>
      </c>
      <c r="H43" s="295">
        <v>489.24173999999999</v>
      </c>
      <c r="I43" s="295">
        <v>479.50361367338337</v>
      </c>
      <c r="J43" s="295">
        <v>43.228999999999999</v>
      </c>
      <c r="K43" s="297">
        <v>16.293530000000001</v>
      </c>
      <c r="L43" s="330">
        <v>10.530199999999999</v>
      </c>
      <c r="M43" s="300">
        <v>83.724899999999991</v>
      </c>
      <c r="N43" s="300">
        <v>485.75199999999995</v>
      </c>
      <c r="O43" s="300">
        <v>228.27599999999998</v>
      </c>
      <c r="P43" s="301">
        <v>124.64049999999999</v>
      </c>
      <c r="Q43" s="302">
        <v>351.45299999999997</v>
      </c>
      <c r="R43" s="179">
        <v>5.2860000000000005</v>
      </c>
      <c r="S43" s="331">
        <v>15.473699999999997</v>
      </c>
      <c r="T43" s="332">
        <v>1.4499700000000002</v>
      </c>
    </row>
    <row r="44" spans="2:20" x14ac:dyDescent="0.2">
      <c r="B44" s="328" t="s">
        <v>131</v>
      </c>
      <c r="C44" s="329" t="s">
        <v>132</v>
      </c>
      <c r="D44" s="295">
        <v>56.507209999999986</v>
      </c>
      <c r="E44" s="295">
        <v>155.22808021306992</v>
      </c>
      <c r="F44" s="295">
        <v>405.07089986279607</v>
      </c>
      <c r="G44" s="295">
        <v>265.83864853903651</v>
      </c>
      <c r="H44" s="295">
        <v>173.79</v>
      </c>
      <c r="I44" s="295">
        <v>316.12290562689304</v>
      </c>
      <c r="J44" s="295">
        <v>166.267</v>
      </c>
      <c r="K44" s="297">
        <v>2.41</v>
      </c>
      <c r="L44" s="330">
        <v>6.6550000000000002</v>
      </c>
      <c r="M44" s="300">
        <v>12.84</v>
      </c>
      <c r="N44" s="333">
        <v>0</v>
      </c>
      <c r="O44" s="300">
        <v>11.300929999999999</v>
      </c>
      <c r="P44" s="301">
        <v>0.40500000000000003</v>
      </c>
      <c r="Q44" s="302">
        <v>0</v>
      </c>
      <c r="R44" s="179">
        <v>0</v>
      </c>
      <c r="S44" s="331">
        <v>0.20300000000000001</v>
      </c>
      <c r="T44" s="332">
        <v>1.135</v>
      </c>
    </row>
    <row r="45" spans="2:20" x14ac:dyDescent="0.2">
      <c r="B45" s="328" t="s">
        <v>133</v>
      </c>
      <c r="C45" s="329" t="s">
        <v>134</v>
      </c>
      <c r="D45" s="295">
        <v>272.60584999999998</v>
      </c>
      <c r="E45" s="295">
        <v>137.77542024850845</v>
      </c>
      <c r="F45" s="295">
        <v>164.41801830939949</v>
      </c>
      <c r="G45" s="295">
        <v>74.984200716018677</v>
      </c>
      <c r="H45" s="295">
        <v>155.81909999999999</v>
      </c>
      <c r="I45" s="295">
        <v>272.6131030805409</v>
      </c>
      <c r="J45" s="295">
        <v>1.5129999999999999</v>
      </c>
      <c r="K45" s="297">
        <v>7.5019999999999998</v>
      </c>
      <c r="L45" s="330">
        <v>4.7552300000000001</v>
      </c>
      <c r="M45" s="300">
        <v>2.4449999999999998</v>
      </c>
      <c r="N45" s="300">
        <v>0.93</v>
      </c>
      <c r="O45" s="300">
        <v>0.03</v>
      </c>
      <c r="P45" s="301">
        <v>0</v>
      </c>
      <c r="Q45" s="302">
        <v>20.9</v>
      </c>
      <c r="R45" s="179">
        <v>0.56174999999999997</v>
      </c>
      <c r="S45" s="376" t="s">
        <v>213</v>
      </c>
      <c r="T45" s="334">
        <v>3.4869999999999997</v>
      </c>
    </row>
    <row r="46" spans="2:20" x14ac:dyDescent="0.2">
      <c r="B46" s="328" t="s">
        <v>135</v>
      </c>
      <c r="C46" s="329" t="s">
        <v>136</v>
      </c>
      <c r="D46" s="335">
        <v>2789.3441800000001</v>
      </c>
      <c r="E46" s="295">
        <v>2579.7999113947153</v>
      </c>
      <c r="F46" s="295">
        <v>1736.010593380779</v>
      </c>
      <c r="G46" s="295">
        <v>6703.1568374782801</v>
      </c>
      <c r="H46" s="295">
        <v>4704.3617600000007</v>
      </c>
      <c r="I46" s="295">
        <v>625.38949176110327</v>
      </c>
      <c r="J46" s="295">
        <v>3676.7847499999998</v>
      </c>
      <c r="K46" s="297">
        <v>463.37539999999996</v>
      </c>
      <c r="L46" s="330">
        <v>507.31020000000001</v>
      </c>
      <c r="M46" s="300">
        <v>1056.30125</v>
      </c>
      <c r="N46" s="300">
        <v>1137.3599999999999</v>
      </c>
      <c r="O46" s="300">
        <v>1299.885</v>
      </c>
      <c r="P46" s="301">
        <v>1169.2</v>
      </c>
      <c r="Q46" s="302">
        <v>2890.8</v>
      </c>
      <c r="R46" s="179">
        <v>948.26189999999997</v>
      </c>
      <c r="S46" s="331">
        <v>670.399</v>
      </c>
      <c r="T46" s="332">
        <v>468.06</v>
      </c>
    </row>
    <row r="47" spans="2:20" x14ac:dyDescent="0.2">
      <c r="B47" s="328" t="s">
        <v>137</v>
      </c>
      <c r="C47" s="329" t="s">
        <v>138</v>
      </c>
      <c r="D47" s="335">
        <v>13480.785990000004</v>
      </c>
      <c r="E47" s="295">
        <v>11884.130829242273</v>
      </c>
      <c r="F47" s="295">
        <v>9569.2028609870504</v>
      </c>
      <c r="G47" s="295">
        <v>7862.4238130859303</v>
      </c>
      <c r="H47" s="295">
        <v>7198.2096199999987</v>
      </c>
      <c r="I47" s="295">
        <v>5349.0993086802409</v>
      </c>
      <c r="J47" s="295">
        <v>3090.9704000000006</v>
      </c>
      <c r="K47" s="297">
        <v>2822.8964000000019</v>
      </c>
      <c r="L47" s="330">
        <v>3895.025180000001</v>
      </c>
      <c r="M47" s="300">
        <v>3411.395410000001</v>
      </c>
      <c r="N47" s="300">
        <v>3856.662580000002</v>
      </c>
      <c r="O47" s="300">
        <v>4196.8278099999998</v>
      </c>
      <c r="P47" s="301">
        <v>3729.29666</v>
      </c>
      <c r="Q47" s="302">
        <v>2673.3495400000002</v>
      </c>
      <c r="R47" s="179">
        <v>2432.2631200000001</v>
      </c>
      <c r="S47" s="331">
        <v>2955.2134100000007</v>
      </c>
      <c r="T47" s="332">
        <v>5483.6108600000025</v>
      </c>
    </row>
    <row r="48" spans="2:20" x14ac:dyDescent="0.2">
      <c r="B48" s="328" t="s">
        <v>139</v>
      </c>
      <c r="C48" s="329" t="s">
        <v>140</v>
      </c>
      <c r="D48" s="335">
        <v>21889.561730000001</v>
      </c>
      <c r="E48" s="295">
        <v>20995.377511831757</v>
      </c>
      <c r="F48" s="295">
        <v>21007.451239211237</v>
      </c>
      <c r="G48" s="295">
        <v>17858.497425227484</v>
      </c>
      <c r="H48" s="295">
        <v>16200.199339999994</v>
      </c>
      <c r="I48" s="295">
        <v>14301.855516429274</v>
      </c>
      <c r="J48" s="295">
        <v>47167.870299999995</v>
      </c>
      <c r="K48" s="297">
        <v>51045.235970000002</v>
      </c>
      <c r="L48" s="330">
        <v>39355.253819999998</v>
      </c>
      <c r="M48" s="300">
        <v>25934.131800000003</v>
      </c>
      <c r="N48" s="300">
        <v>32998.669500000004</v>
      </c>
      <c r="O48" s="300">
        <v>39162.540299999986</v>
      </c>
      <c r="P48" s="301">
        <v>40154.476999999999</v>
      </c>
      <c r="Q48" s="302">
        <v>33661.207399999999</v>
      </c>
      <c r="R48" s="179">
        <v>38620.517850000004</v>
      </c>
      <c r="S48" s="331">
        <v>44296.571599999981</v>
      </c>
      <c r="T48" s="332">
        <v>40516.08128999998</v>
      </c>
    </row>
    <row r="49" spans="2:20" x14ac:dyDescent="0.2">
      <c r="B49" s="328" t="s">
        <v>141</v>
      </c>
      <c r="C49" s="329" t="s">
        <v>142</v>
      </c>
      <c r="D49" s="335">
        <v>9149.5057799999868</v>
      </c>
      <c r="E49" s="295">
        <v>13024.230215519528</v>
      </c>
      <c r="F49" s="295">
        <v>13087.069926740718</v>
      </c>
      <c r="G49" s="295">
        <v>10806.510270590894</v>
      </c>
      <c r="H49" s="295">
        <v>10897.818959999999</v>
      </c>
      <c r="I49" s="295">
        <v>11516.760074354301</v>
      </c>
      <c r="J49" s="295">
        <v>8853.6691099999989</v>
      </c>
      <c r="K49" s="297">
        <v>9092.4431299999997</v>
      </c>
      <c r="L49" s="330">
        <v>7197.4691699999967</v>
      </c>
      <c r="M49" s="300">
        <v>5391.7502700000023</v>
      </c>
      <c r="N49" s="300">
        <v>5082.710769999996</v>
      </c>
      <c r="O49" s="300">
        <v>5569.3715299999967</v>
      </c>
      <c r="P49" s="301">
        <v>5027.4070700000002</v>
      </c>
      <c r="Q49" s="302">
        <v>4748.48909</v>
      </c>
      <c r="R49" s="179">
        <v>4167.014909999999</v>
      </c>
      <c r="S49" s="331">
        <v>3957.8373000000006</v>
      </c>
      <c r="T49" s="332">
        <v>4507.8658300000034</v>
      </c>
    </row>
    <row r="50" spans="2:20" x14ac:dyDescent="0.2">
      <c r="B50" s="328" t="s">
        <v>143</v>
      </c>
      <c r="C50" s="329" t="s">
        <v>144</v>
      </c>
      <c r="D50" s="295">
        <v>546.28294000000005</v>
      </c>
      <c r="E50" s="295">
        <v>1018.2664007076528</v>
      </c>
      <c r="F50" s="295">
        <v>431.26524690911174</v>
      </c>
      <c r="G50" s="295">
        <v>949.2883795326743</v>
      </c>
      <c r="H50" s="295">
        <v>955.66539999999975</v>
      </c>
      <c r="I50" s="295">
        <v>951.66201982647181</v>
      </c>
      <c r="J50" s="295">
        <v>1452.6709000000001</v>
      </c>
      <c r="K50" s="297">
        <v>1480.3336500000005</v>
      </c>
      <c r="L50" s="330">
        <v>1323.8980099999999</v>
      </c>
      <c r="M50" s="300">
        <v>1218.2547300000003</v>
      </c>
      <c r="N50" s="300">
        <v>702.94727000000034</v>
      </c>
      <c r="O50" s="300">
        <v>87.217400000000012</v>
      </c>
      <c r="P50" s="301">
        <v>43.442900000000002</v>
      </c>
      <c r="Q50" s="302">
        <v>56.610500000000002</v>
      </c>
      <c r="R50" s="179">
        <v>64.431750000000008</v>
      </c>
      <c r="S50" s="331">
        <v>43.990859999999998</v>
      </c>
      <c r="T50" s="332">
        <v>53.580400000000004</v>
      </c>
    </row>
    <row r="51" spans="2:20" x14ac:dyDescent="0.2">
      <c r="B51" s="328" t="s">
        <v>145</v>
      </c>
      <c r="C51" s="329" t="s">
        <v>146</v>
      </c>
      <c r="D51" s="295">
        <v>20465.290530000006</v>
      </c>
      <c r="E51" s="295">
        <v>19771.847118034959</v>
      </c>
      <c r="F51" s="295">
        <v>52157.545380041003</v>
      </c>
      <c r="G51" s="295">
        <v>23193.425180680119</v>
      </c>
      <c r="H51" s="295">
        <v>25044.246789999994</v>
      </c>
      <c r="I51" s="295">
        <v>23389.007776221726</v>
      </c>
      <c r="J51" s="295">
        <v>10319.395999999999</v>
      </c>
      <c r="K51" s="297">
        <v>10070.365</v>
      </c>
      <c r="L51" s="330">
        <v>8192.0884999999998</v>
      </c>
      <c r="M51" s="300">
        <v>8100.570999999999</v>
      </c>
      <c r="N51" s="300">
        <v>16392.024959999999</v>
      </c>
      <c r="O51" s="300">
        <v>20842.830040000001</v>
      </c>
      <c r="P51" s="301">
        <v>19666.04247</v>
      </c>
      <c r="Q51" s="302">
        <v>13362.984999999999</v>
      </c>
      <c r="R51" s="179">
        <v>8581.1949999999997</v>
      </c>
      <c r="S51" s="331">
        <v>21712.332000000009</v>
      </c>
      <c r="T51" s="332">
        <v>31512.353000000003</v>
      </c>
    </row>
    <row r="52" spans="2:20" x14ac:dyDescent="0.2">
      <c r="B52" s="328" t="s">
        <v>147</v>
      </c>
      <c r="C52" s="329" t="s">
        <v>148</v>
      </c>
      <c r="D52" s="295">
        <v>10476.862119999996</v>
      </c>
      <c r="E52" s="295">
        <v>11008.95696439594</v>
      </c>
      <c r="F52" s="295">
        <v>11888.807719571516</v>
      </c>
      <c r="G52" s="295">
        <v>13175.001424080692</v>
      </c>
      <c r="H52" s="295">
        <v>11113.188379999996</v>
      </c>
      <c r="I52" s="295">
        <v>10266.444600705057</v>
      </c>
      <c r="J52" s="295">
        <v>2730.1156199999996</v>
      </c>
      <c r="K52" s="297">
        <v>3866.48</v>
      </c>
      <c r="L52" s="330">
        <v>4540.8391999999994</v>
      </c>
      <c r="M52" s="300">
        <v>3371.0946299999991</v>
      </c>
      <c r="N52" s="300">
        <v>3051.8028500000005</v>
      </c>
      <c r="O52" s="300">
        <v>3808.9175799999989</v>
      </c>
      <c r="P52" s="301">
        <v>3401.8499000000002</v>
      </c>
      <c r="Q52" s="302">
        <v>3554.3219199999999</v>
      </c>
      <c r="R52" s="179">
        <v>3465.16725</v>
      </c>
      <c r="S52" s="331">
        <v>2804.0596700000001</v>
      </c>
      <c r="T52" s="332">
        <v>3068.914929999999</v>
      </c>
    </row>
    <row r="53" spans="2:20" x14ac:dyDescent="0.2">
      <c r="B53" s="328" t="s">
        <v>149</v>
      </c>
      <c r="C53" s="329" t="s">
        <v>150</v>
      </c>
      <c r="D53" s="295">
        <v>12048.83648</v>
      </c>
      <c r="E53" s="295">
        <v>14039.602683596313</v>
      </c>
      <c r="F53" s="295">
        <v>14908.646892568097</v>
      </c>
      <c r="G53" s="295">
        <v>13829.832082509995</v>
      </c>
      <c r="H53" s="295">
        <v>12036.994759999992</v>
      </c>
      <c r="I53" s="295">
        <v>13922.571457386017</v>
      </c>
      <c r="J53" s="295">
        <v>3631.2379999999998</v>
      </c>
      <c r="K53" s="297">
        <v>2296.0701000000004</v>
      </c>
      <c r="L53" s="330">
        <v>1964.4637500000003</v>
      </c>
      <c r="M53" s="300">
        <v>1539.27727</v>
      </c>
      <c r="N53" s="300">
        <v>2614.2198800000006</v>
      </c>
      <c r="O53" s="300">
        <v>3725.8598000000011</v>
      </c>
      <c r="P53" s="301">
        <v>3632.54495</v>
      </c>
      <c r="Q53" s="302">
        <v>2930.0839999999998</v>
      </c>
      <c r="R53" s="179">
        <v>3799.96866</v>
      </c>
      <c r="S53" s="331">
        <v>3321.9772500000013</v>
      </c>
      <c r="T53" s="332">
        <v>4240.9707499999968</v>
      </c>
    </row>
    <row r="54" spans="2:20" x14ac:dyDescent="0.2">
      <c r="B54" s="328" t="s">
        <v>151</v>
      </c>
      <c r="C54" s="329" t="s">
        <v>152</v>
      </c>
      <c r="D54" s="295">
        <v>60667.675140000101</v>
      </c>
      <c r="E54" s="295">
        <v>34852.929523123312</v>
      </c>
      <c r="F54" s="295">
        <v>46684.926811684389</v>
      </c>
      <c r="G54" s="295">
        <v>35207.037760229548</v>
      </c>
      <c r="H54" s="295">
        <v>32752.318259999967</v>
      </c>
      <c r="I54" s="295">
        <v>29255.995788714848</v>
      </c>
      <c r="J54" s="336">
        <v>57508.483119999961</v>
      </c>
      <c r="K54" s="297">
        <v>62928.040309999895</v>
      </c>
      <c r="L54" s="330">
        <v>72187.639309999853</v>
      </c>
      <c r="M54" s="300">
        <v>49625.330214999973</v>
      </c>
      <c r="N54" s="300">
        <v>48580.04806999999</v>
      </c>
      <c r="O54" s="300">
        <v>51178.706599999699</v>
      </c>
      <c r="P54" s="301">
        <v>65537.403069999797</v>
      </c>
      <c r="Q54" s="302">
        <v>48747.486969999998</v>
      </c>
      <c r="R54" s="179">
        <v>65702.410100000008</v>
      </c>
      <c r="S54" s="331">
        <v>73582.712619999977</v>
      </c>
      <c r="T54" s="332">
        <v>52855.321190000024</v>
      </c>
    </row>
    <row r="55" spans="2:20" x14ac:dyDescent="0.2">
      <c r="B55" s="328" t="s">
        <v>153</v>
      </c>
      <c r="C55" s="329" t="s">
        <v>154</v>
      </c>
      <c r="D55" s="295">
        <v>29360.086249999968</v>
      </c>
      <c r="E55" s="295">
        <v>3165.8188528947067</v>
      </c>
      <c r="F55" s="295">
        <v>3187.793662768323</v>
      </c>
      <c r="G55" s="295">
        <v>2615.0791563715466</v>
      </c>
      <c r="H55" s="295">
        <v>2090.95804</v>
      </c>
      <c r="I55" s="295">
        <v>4887.2055526273325</v>
      </c>
      <c r="J55" s="336">
        <v>2565.9709400000002</v>
      </c>
      <c r="K55" s="297">
        <v>2553.0980300000006</v>
      </c>
      <c r="L55" s="330">
        <v>2574.2966999999985</v>
      </c>
      <c r="M55" s="300">
        <v>1665.61637</v>
      </c>
      <c r="N55" s="300">
        <v>1558.009059999999</v>
      </c>
      <c r="O55" s="300">
        <v>2630.3427000000006</v>
      </c>
      <c r="P55" s="301">
        <v>2536.7315699999995</v>
      </c>
      <c r="Q55" s="302">
        <v>3148.47874</v>
      </c>
      <c r="R55" s="179">
        <v>2766.7542199999998</v>
      </c>
      <c r="S55" s="331">
        <v>3135.61006</v>
      </c>
      <c r="T55" s="332">
        <v>2401.709449999998</v>
      </c>
    </row>
    <row r="56" spans="2:20" x14ac:dyDescent="0.2">
      <c r="B56" s="328" t="s">
        <v>155</v>
      </c>
      <c r="C56" s="329" t="s">
        <v>156</v>
      </c>
      <c r="D56" s="295">
        <v>2322.9997400000002</v>
      </c>
      <c r="E56" s="295">
        <v>3002.3549329137604</v>
      </c>
      <c r="F56" s="295">
        <v>2814.590238568373</v>
      </c>
      <c r="G56" s="295">
        <v>1838.3557400726531</v>
      </c>
      <c r="H56" s="295">
        <v>2843.7420000000011</v>
      </c>
      <c r="I56" s="295">
        <v>6422.4197499812581</v>
      </c>
      <c r="J56" s="336">
        <v>4890.3471400000008</v>
      </c>
      <c r="K56" s="297">
        <v>4410.6951800000061</v>
      </c>
      <c r="L56" s="330">
        <v>4672.4321799999989</v>
      </c>
      <c r="M56" s="300">
        <v>5204.2277299999969</v>
      </c>
      <c r="N56" s="300">
        <v>4337.0686999999898</v>
      </c>
      <c r="O56" s="300">
        <v>4091.1309100000062</v>
      </c>
      <c r="P56" s="301">
        <v>4457.4475000000002</v>
      </c>
      <c r="Q56" s="302">
        <v>4641.2236599999997</v>
      </c>
      <c r="R56" s="179">
        <v>6010.8124499999994</v>
      </c>
      <c r="S56" s="331">
        <v>6749.2804599999963</v>
      </c>
      <c r="T56" s="332">
        <v>8907.4700100000009</v>
      </c>
    </row>
    <row r="57" spans="2:20" x14ac:dyDescent="0.2">
      <c r="B57" s="328" t="s">
        <v>157</v>
      </c>
      <c r="C57" s="306" t="s">
        <v>158</v>
      </c>
      <c r="D57" s="295">
        <v>18633.069719999996</v>
      </c>
      <c r="E57" s="295">
        <v>11755.458872641306</v>
      </c>
      <c r="F57" s="295">
        <v>12210.735833739051</v>
      </c>
      <c r="G57" s="295">
        <v>10829.194670209537</v>
      </c>
      <c r="H57" s="295">
        <v>10441.333389999993</v>
      </c>
      <c r="I57" s="295">
        <v>12486.12131530005</v>
      </c>
      <c r="J57" s="336">
        <v>139666.83713999999</v>
      </c>
      <c r="K57" s="297">
        <v>169384.41264999978</v>
      </c>
      <c r="L57" s="330">
        <v>153998.80210999982</v>
      </c>
      <c r="M57" s="300">
        <v>118799.56627499993</v>
      </c>
      <c r="N57" s="300">
        <v>128767.60354999991</v>
      </c>
      <c r="O57" s="300">
        <v>128931.9801</v>
      </c>
      <c r="P57" s="301">
        <v>121146.72837</v>
      </c>
      <c r="Q57" s="302">
        <v>128975.57816999998</v>
      </c>
      <c r="R57" s="179">
        <v>121515.59727999999</v>
      </c>
      <c r="S57" s="331">
        <v>120314.44679</v>
      </c>
      <c r="T57" s="332">
        <v>135006.85627000011</v>
      </c>
    </row>
    <row r="58" spans="2:20" x14ac:dyDescent="0.2">
      <c r="B58" s="328" t="s">
        <v>159</v>
      </c>
      <c r="C58" s="329" t="s">
        <v>160</v>
      </c>
      <c r="D58" s="295">
        <v>34526.87816</v>
      </c>
      <c r="E58" s="295">
        <v>73332.0081325598</v>
      </c>
      <c r="F58" s="295">
        <v>97469.5193346655</v>
      </c>
      <c r="G58" s="295">
        <v>48803.324499362483</v>
      </c>
      <c r="H58" s="295">
        <v>71369.01462000006</v>
      </c>
      <c r="I58" s="295">
        <v>102153.72615818397</v>
      </c>
      <c r="J58" s="336">
        <v>83679.466780000017</v>
      </c>
      <c r="K58" s="297">
        <v>114075.51677999995</v>
      </c>
      <c r="L58" s="330">
        <v>80854.588170000003</v>
      </c>
      <c r="M58" s="300">
        <v>62256.602100000004</v>
      </c>
      <c r="N58" s="300">
        <v>125038.21743</v>
      </c>
      <c r="O58" s="300">
        <v>139200.83299</v>
      </c>
      <c r="P58" s="301">
        <v>97088.44853999991</v>
      </c>
      <c r="Q58" s="302">
        <v>90973.096160000016</v>
      </c>
      <c r="R58" s="179">
        <v>127405.87094999998</v>
      </c>
      <c r="S58" s="331">
        <v>160222.61653000003</v>
      </c>
      <c r="T58" s="332">
        <v>125538.01123000002</v>
      </c>
    </row>
    <row r="59" spans="2:20" x14ac:dyDescent="0.2">
      <c r="B59" s="328" t="s">
        <v>161</v>
      </c>
      <c r="C59" s="329" t="s">
        <v>162</v>
      </c>
      <c r="D59" s="295">
        <v>1673.998250000001</v>
      </c>
      <c r="E59" s="295">
        <v>1649.1370317546534</v>
      </c>
      <c r="F59" s="295">
        <v>1739.7606976361712</v>
      </c>
      <c r="G59" s="295">
        <v>1278.4358901838459</v>
      </c>
      <c r="H59" s="295">
        <v>849.47780999999964</v>
      </c>
      <c r="I59" s="295">
        <v>1065.8482809947454</v>
      </c>
      <c r="J59" s="336">
        <v>4274.60329</v>
      </c>
      <c r="K59" s="297">
        <v>5300.7439599999989</v>
      </c>
      <c r="L59" s="330">
        <v>7365.3588700000091</v>
      </c>
      <c r="M59" s="300">
        <v>9367.2945200000031</v>
      </c>
      <c r="N59" s="300">
        <v>7175.8778799999991</v>
      </c>
      <c r="O59" s="300">
        <v>9101.4021799999919</v>
      </c>
      <c r="P59" s="301">
        <v>9241.7148200000101</v>
      </c>
      <c r="Q59" s="302">
        <v>10567.049879999991</v>
      </c>
      <c r="R59" s="179">
        <v>9324.2062500000102</v>
      </c>
      <c r="S59" s="331">
        <v>9288.4327899999989</v>
      </c>
      <c r="T59" s="332">
        <v>9656.405509999995</v>
      </c>
    </row>
    <row r="60" spans="2:20" x14ac:dyDescent="0.2">
      <c r="B60" s="328" t="s">
        <v>163</v>
      </c>
      <c r="C60" s="329" t="s">
        <v>164</v>
      </c>
      <c r="D60" s="295">
        <v>25007.294010000001</v>
      </c>
      <c r="E60" s="295">
        <v>32013.251748551847</v>
      </c>
      <c r="F60" s="295">
        <v>43106.000014103949</v>
      </c>
      <c r="G60" s="295">
        <v>47174.28735916689</v>
      </c>
      <c r="H60" s="295">
        <v>47346.100039999998</v>
      </c>
      <c r="I60" s="295">
        <v>50829.111204978079</v>
      </c>
      <c r="J60" s="336">
        <v>116041.26098000002</v>
      </c>
      <c r="K60" s="297">
        <v>126305.73931000005</v>
      </c>
      <c r="L60" s="330">
        <v>230900.88766000004</v>
      </c>
      <c r="M60" s="300">
        <v>147075.15310000003</v>
      </c>
      <c r="N60" s="300">
        <v>159095.47710000002</v>
      </c>
      <c r="O60" s="300">
        <v>148418.30677</v>
      </c>
      <c r="P60" s="301">
        <v>200432.24470000001</v>
      </c>
      <c r="Q60" s="302">
        <v>301996.91521000001</v>
      </c>
      <c r="R60" s="179">
        <v>263117.77050000004</v>
      </c>
      <c r="S60" s="331">
        <v>290868.9488999999</v>
      </c>
      <c r="T60" s="332">
        <v>290884.71399999992</v>
      </c>
    </row>
    <row r="61" spans="2:20" x14ac:dyDescent="0.2">
      <c r="B61" s="328" t="s">
        <v>165</v>
      </c>
      <c r="C61" s="329" t="s">
        <v>166</v>
      </c>
      <c r="D61" s="295">
        <v>2856.8374600000002</v>
      </c>
      <c r="E61" s="295">
        <v>2493.1401511281729</v>
      </c>
      <c r="F61" s="295">
        <v>4440.7602182512637</v>
      </c>
      <c r="G61" s="295">
        <v>6197.2114301263682</v>
      </c>
      <c r="H61" s="295">
        <v>3752.6630800000003</v>
      </c>
      <c r="I61" s="295">
        <v>1360.8810630135486</v>
      </c>
      <c r="J61" s="336">
        <v>18227.697810000005</v>
      </c>
      <c r="K61" s="297">
        <v>26133.085620000002</v>
      </c>
      <c r="L61" s="330">
        <v>23118.31725</v>
      </c>
      <c r="M61" s="300">
        <v>17932.699099999998</v>
      </c>
      <c r="N61" s="300">
        <v>16636.08943</v>
      </c>
      <c r="O61" s="300">
        <v>20156.367160000005</v>
      </c>
      <c r="P61" s="301">
        <v>11415.880020000001</v>
      </c>
      <c r="Q61" s="302">
        <v>13375.452609999998</v>
      </c>
      <c r="R61" s="179">
        <v>30322.826260000002</v>
      </c>
      <c r="S61" s="331">
        <v>56042.415069999988</v>
      </c>
      <c r="T61" s="332">
        <v>60801.05857999999</v>
      </c>
    </row>
    <row r="62" spans="2:20" x14ac:dyDescent="0.2">
      <c r="B62" s="337" t="s">
        <v>187</v>
      </c>
      <c r="C62" s="338" t="s">
        <v>188</v>
      </c>
      <c r="D62" s="312">
        <v>3546.7784500000012</v>
      </c>
      <c r="E62" s="312">
        <v>2849.3553596884012</v>
      </c>
      <c r="F62" s="312">
        <v>3333.3756147567183</v>
      </c>
      <c r="G62" s="312">
        <v>4403.5546282321848</v>
      </c>
      <c r="H62" s="312">
        <v>6356.7330800000018</v>
      </c>
      <c r="I62" s="312">
        <v>1873.0423654448241</v>
      </c>
      <c r="J62" s="297">
        <v>0</v>
      </c>
      <c r="K62" s="31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448">
        <v>0</v>
      </c>
      <c r="S62" s="449">
        <v>0</v>
      </c>
      <c r="T62" s="449">
        <v>0</v>
      </c>
    </row>
    <row r="63" spans="2:20" ht="20.100000000000001" customHeight="1" x14ac:dyDescent="0.2">
      <c r="B63" s="339"/>
      <c r="C63" s="340" t="s">
        <v>34</v>
      </c>
      <c r="D63" s="341">
        <v>270477.05723000003</v>
      </c>
      <c r="E63" s="316">
        <v>260013.9633881677</v>
      </c>
      <c r="F63" s="316">
        <v>340895.48442287405</v>
      </c>
      <c r="G63" s="316">
        <v>253317.44598812493</v>
      </c>
      <c r="H63" s="316">
        <v>267949.82266999997</v>
      </c>
      <c r="I63" s="316">
        <v>292496.86136071186</v>
      </c>
      <c r="J63" s="317">
        <f t="shared" ref="J63:R63" si="4">SUM(J42:J62)</f>
        <v>508020.70127999998</v>
      </c>
      <c r="K63" s="317">
        <f t="shared" si="4"/>
        <v>592302.30701999972</v>
      </c>
      <c r="L63" s="317">
        <f t="shared" si="4"/>
        <v>642685.04054999969</v>
      </c>
      <c r="M63" s="317">
        <f t="shared" si="4"/>
        <v>462547.94916999992</v>
      </c>
      <c r="N63" s="317">
        <f t="shared" si="4"/>
        <v>557514.37102999992</v>
      </c>
      <c r="O63" s="317">
        <f t="shared" si="4"/>
        <v>582643.12579999969</v>
      </c>
      <c r="P63" s="317">
        <f t="shared" si="4"/>
        <v>588812.44003999978</v>
      </c>
      <c r="Q63" s="342">
        <f t="shared" si="4"/>
        <v>666739.39185000001</v>
      </c>
      <c r="R63" s="318">
        <f t="shared" si="4"/>
        <v>688568.47620000003</v>
      </c>
      <c r="S63" s="450">
        <f t="shared" ref="S63:T63" si="5">SUM(S42:S62)</f>
        <v>799982.56100999995</v>
      </c>
      <c r="T63" s="450">
        <f t="shared" si="5"/>
        <v>776053.27526999998</v>
      </c>
    </row>
    <row r="64" spans="2:20" x14ac:dyDescent="0.2">
      <c r="B64" s="320"/>
      <c r="C64" s="322"/>
      <c r="D64" s="322"/>
      <c r="E64" s="322"/>
      <c r="F64" s="322"/>
      <c r="G64" s="322"/>
      <c r="H64" s="322"/>
      <c r="I64" s="322"/>
      <c r="J64" s="322"/>
      <c r="K64" s="322"/>
      <c r="L64" s="289"/>
      <c r="M64" s="289"/>
      <c r="N64" s="289"/>
      <c r="O64" s="289"/>
      <c r="P64" s="289"/>
      <c r="Q64" s="289"/>
    </row>
    <row r="66" spans="2:11" ht="18.75" x14ac:dyDescent="0.2">
      <c r="B66" s="92" t="s">
        <v>248</v>
      </c>
      <c r="C66" s="289"/>
      <c r="D66" s="289"/>
      <c r="E66" s="289"/>
      <c r="F66" s="289"/>
      <c r="G66" s="289"/>
      <c r="H66" s="289"/>
      <c r="I66" s="289"/>
      <c r="J66" s="289"/>
      <c r="K66" s="289"/>
    </row>
    <row r="67" spans="2:11" x14ac:dyDescent="0.2">
      <c r="B67" s="289"/>
      <c r="C67" s="289"/>
      <c r="D67" s="289"/>
      <c r="E67" s="289"/>
      <c r="F67" s="289"/>
      <c r="G67" s="289"/>
      <c r="H67" s="289"/>
      <c r="I67" s="289"/>
      <c r="J67" s="289"/>
      <c r="K67" s="289"/>
    </row>
    <row r="68" spans="2:11" ht="48" x14ac:dyDescent="0.2">
      <c r="B68" s="60" t="s">
        <v>95</v>
      </c>
      <c r="C68" s="61" t="s">
        <v>173</v>
      </c>
      <c r="D68" s="61" t="s">
        <v>174</v>
      </c>
      <c r="E68" s="61" t="s">
        <v>175</v>
      </c>
      <c r="F68" s="61" t="s">
        <v>176</v>
      </c>
      <c r="G68" s="61" t="s">
        <v>214</v>
      </c>
      <c r="H68" s="61" t="s">
        <v>178</v>
      </c>
      <c r="I68" s="61" t="s">
        <v>192</v>
      </c>
      <c r="J68" s="61" t="s">
        <v>107</v>
      </c>
      <c r="K68" s="62" t="s">
        <v>34</v>
      </c>
    </row>
    <row r="69" spans="2:11" x14ac:dyDescent="0.2">
      <c r="B69" s="343" t="s">
        <v>186</v>
      </c>
      <c r="C69" s="344">
        <v>25412.429660000005</v>
      </c>
      <c r="D69" s="344">
        <v>335.26989999999989</v>
      </c>
      <c r="E69" s="344">
        <v>198620.02289000043</v>
      </c>
      <c r="F69" s="344">
        <v>0</v>
      </c>
      <c r="G69" s="344">
        <v>409.31371000000007</v>
      </c>
      <c r="H69" s="344">
        <v>74944.286070000016</v>
      </c>
      <c r="I69" s="344">
        <v>8605.5942200000354</v>
      </c>
      <c r="J69" s="344">
        <v>96327.930229999591</v>
      </c>
      <c r="K69" s="345">
        <f t="shared" ref="K69:K74" si="6">SUM(C69:J69)</f>
        <v>404654.84668000008</v>
      </c>
    </row>
    <row r="70" spans="2:11" x14ac:dyDescent="0.2">
      <c r="B70" s="346">
        <v>2000</v>
      </c>
      <c r="C70" s="347">
        <v>28820.477609549649</v>
      </c>
      <c r="D70" s="347">
        <v>0</v>
      </c>
      <c r="E70" s="347">
        <v>140493.61930776713</v>
      </c>
      <c r="F70" s="347">
        <v>0</v>
      </c>
      <c r="G70" s="347">
        <v>0</v>
      </c>
      <c r="H70" s="347">
        <v>71189.884609550703</v>
      </c>
      <c r="I70" s="347">
        <v>11971.232091861613</v>
      </c>
      <c r="J70" s="347">
        <v>73309.826121399208</v>
      </c>
      <c r="K70" s="348">
        <f t="shared" si="6"/>
        <v>325785.03974012833</v>
      </c>
    </row>
    <row r="71" spans="2:11" x14ac:dyDescent="0.2">
      <c r="B71" s="346">
        <v>2001</v>
      </c>
      <c r="C71" s="347">
        <v>28720.964312997763</v>
      </c>
      <c r="D71" s="347">
        <v>0</v>
      </c>
      <c r="E71" s="347">
        <v>216198.34707868285</v>
      </c>
      <c r="F71" s="347">
        <v>0</v>
      </c>
      <c r="G71" s="347">
        <v>0</v>
      </c>
      <c r="H71" s="347">
        <v>85945.821029666811</v>
      </c>
      <c r="I71" s="347">
        <v>18374.016131823581</v>
      </c>
      <c r="J71" s="347">
        <v>85444.33014126058</v>
      </c>
      <c r="K71" s="348">
        <f t="shared" si="6"/>
        <v>434683.4786944316</v>
      </c>
    </row>
    <row r="72" spans="2:11" x14ac:dyDescent="0.2">
      <c r="B72" s="346">
        <v>2002</v>
      </c>
      <c r="C72" s="347">
        <v>52991.275273905252</v>
      </c>
      <c r="D72" s="297">
        <v>0</v>
      </c>
      <c r="E72" s="347">
        <v>150701.20075561141</v>
      </c>
      <c r="F72" s="297">
        <v>0</v>
      </c>
      <c r="G72" s="297">
        <v>0</v>
      </c>
      <c r="H72" s="347">
        <v>93958.865433644271</v>
      </c>
      <c r="I72" s="347">
        <v>19519.302241409576</v>
      </c>
      <c r="J72" s="347">
        <v>83249.930178895433</v>
      </c>
      <c r="K72" s="348">
        <f t="shared" si="6"/>
        <v>400420.5738834659</v>
      </c>
    </row>
    <row r="73" spans="2:11" x14ac:dyDescent="0.2">
      <c r="B73" s="346">
        <v>2003</v>
      </c>
      <c r="C73" s="347">
        <v>45479.109449999996</v>
      </c>
      <c r="D73" s="347">
        <v>0</v>
      </c>
      <c r="E73" s="347">
        <v>269808.5657700001</v>
      </c>
      <c r="F73" s="347">
        <v>0</v>
      </c>
      <c r="G73" s="347">
        <v>0</v>
      </c>
      <c r="H73" s="347">
        <v>116389.71742000003</v>
      </c>
      <c r="I73" s="347">
        <v>34217.179770000163</v>
      </c>
      <c r="J73" s="347">
        <v>65492.864200000084</v>
      </c>
      <c r="K73" s="348">
        <f t="shared" si="6"/>
        <v>531387.43661000032</v>
      </c>
    </row>
    <row r="74" spans="2:11" x14ac:dyDescent="0.2">
      <c r="B74" s="349">
        <v>2004</v>
      </c>
      <c r="C74" s="350">
        <v>47725.682332436088</v>
      </c>
      <c r="D74" s="350">
        <v>0</v>
      </c>
      <c r="E74" s="351">
        <v>433513.61354115419</v>
      </c>
      <c r="F74" s="350">
        <v>0</v>
      </c>
      <c r="G74" s="350">
        <v>0</v>
      </c>
      <c r="H74" s="350">
        <v>150508.10453941301</v>
      </c>
      <c r="I74" s="350">
        <v>20484.744817741637</v>
      </c>
      <c r="J74" s="350">
        <v>90262.759007863991</v>
      </c>
      <c r="K74" s="352">
        <f t="shared" si="6"/>
        <v>742494.9042386089</v>
      </c>
    </row>
    <row r="75" spans="2:11" x14ac:dyDescent="0.2">
      <c r="B75" s="353"/>
      <c r="C75" s="297"/>
      <c r="D75" s="297"/>
      <c r="E75" s="354"/>
      <c r="F75" s="297"/>
      <c r="G75" s="297"/>
      <c r="H75" s="297"/>
      <c r="I75" s="297"/>
      <c r="J75" s="297"/>
      <c r="K75" s="355"/>
    </row>
    <row r="76" spans="2:11" x14ac:dyDescent="0.2">
      <c r="B76" s="343">
        <v>2006</v>
      </c>
      <c r="C76" s="296">
        <v>66477.259000000005</v>
      </c>
      <c r="D76" s="296">
        <v>3702.9848099999999</v>
      </c>
      <c r="E76" s="356">
        <v>125811.22885999996</v>
      </c>
      <c r="F76" s="296">
        <v>1.1638899999999999</v>
      </c>
      <c r="G76" s="296">
        <v>403.48</v>
      </c>
      <c r="H76" s="296">
        <v>213227.71449999983</v>
      </c>
      <c r="I76" s="296">
        <v>35633.885930000004</v>
      </c>
      <c r="J76" s="296">
        <v>62762.984290000022</v>
      </c>
      <c r="K76" s="345">
        <f t="shared" ref="K76:K84" si="7">SUM(C76:J76)</f>
        <v>508020.7012799998</v>
      </c>
    </row>
    <row r="77" spans="2:11" x14ac:dyDescent="0.2">
      <c r="B77" s="346">
        <v>2007</v>
      </c>
      <c r="C77" s="336">
        <v>71052.389110000062</v>
      </c>
      <c r="D77" s="336">
        <v>4574.7823199999975</v>
      </c>
      <c r="E77" s="336">
        <v>154949.14475999994</v>
      </c>
      <c r="F77" s="336">
        <v>1.1739999999999999</v>
      </c>
      <c r="G77" s="336">
        <v>1006.55384</v>
      </c>
      <c r="H77" s="336">
        <v>246098.03277999989</v>
      </c>
      <c r="I77" s="336">
        <v>47433.748500000031</v>
      </c>
      <c r="J77" s="336">
        <v>67186.481710000124</v>
      </c>
      <c r="K77" s="348">
        <f t="shared" si="7"/>
        <v>592302.30701999995</v>
      </c>
    </row>
    <row r="78" spans="2:11" x14ac:dyDescent="0.2">
      <c r="B78" s="346">
        <v>2008</v>
      </c>
      <c r="C78" s="307">
        <v>63020.723500000015</v>
      </c>
      <c r="D78" s="307">
        <v>3341.8049000000019</v>
      </c>
      <c r="E78" s="307">
        <v>131042.94085999994</v>
      </c>
      <c r="F78" s="347">
        <v>0</v>
      </c>
      <c r="G78" s="347">
        <v>605.05939999999998</v>
      </c>
      <c r="H78" s="307">
        <v>250951.87052999964</v>
      </c>
      <c r="I78" s="336">
        <v>60111.937909999964</v>
      </c>
      <c r="J78" s="307">
        <v>133610.70345000003</v>
      </c>
      <c r="K78" s="348">
        <f t="shared" si="7"/>
        <v>642685.04054999957</v>
      </c>
    </row>
    <row r="79" spans="2:11" x14ac:dyDescent="0.2">
      <c r="B79" s="357">
        <v>2009</v>
      </c>
      <c r="C79" s="358">
        <v>45886.186499999996</v>
      </c>
      <c r="D79" s="307">
        <v>4407.4723200000017</v>
      </c>
      <c r="E79" s="307">
        <v>84562.735020000022</v>
      </c>
      <c r="F79" s="347">
        <v>0</v>
      </c>
      <c r="G79" s="347">
        <v>531.83000000000004</v>
      </c>
      <c r="H79" s="307">
        <v>184400.27269999994</v>
      </c>
      <c r="I79" s="336">
        <v>59334.213019999996</v>
      </c>
      <c r="J79" s="307">
        <v>83425.239610000004</v>
      </c>
      <c r="K79" s="348">
        <f t="shared" si="7"/>
        <v>462547.94916999998</v>
      </c>
    </row>
    <row r="80" spans="2:11" x14ac:dyDescent="0.2">
      <c r="B80" s="357">
        <v>2010</v>
      </c>
      <c r="C80" s="358">
        <v>52657.138999999966</v>
      </c>
      <c r="D80" s="307">
        <v>3021.8588499999996</v>
      </c>
      <c r="E80" s="307">
        <v>89283.01</v>
      </c>
      <c r="F80" s="347">
        <v>0</v>
      </c>
      <c r="G80" s="347">
        <v>354.74</v>
      </c>
      <c r="H80" s="307">
        <v>193494.91267000005</v>
      </c>
      <c r="I80" s="336">
        <v>49752.914519999991</v>
      </c>
      <c r="J80" s="307">
        <v>168949.79599000001</v>
      </c>
      <c r="K80" s="348">
        <f t="shared" si="7"/>
        <v>557514.37103000004</v>
      </c>
    </row>
    <row r="81" spans="2:11" x14ac:dyDescent="0.2">
      <c r="B81" s="357">
        <v>2011</v>
      </c>
      <c r="C81" s="359">
        <v>35252.522770000003</v>
      </c>
      <c r="D81" s="297">
        <v>5056.627219999993</v>
      </c>
      <c r="E81" s="297">
        <v>105491.526</v>
      </c>
      <c r="F81" s="347">
        <v>0</v>
      </c>
      <c r="G81" s="297">
        <v>330.40310000000005</v>
      </c>
      <c r="H81" s="297">
        <v>208087.74062999969</v>
      </c>
      <c r="I81" s="297">
        <v>58532.978230000001</v>
      </c>
      <c r="J81" s="297">
        <v>169891.32785</v>
      </c>
      <c r="K81" s="348">
        <f t="shared" si="7"/>
        <v>582643.12579999969</v>
      </c>
    </row>
    <row r="82" spans="2:11" x14ac:dyDescent="0.2">
      <c r="B82" s="357">
        <v>2012</v>
      </c>
      <c r="C82" s="360">
        <v>47485.044999999998</v>
      </c>
      <c r="D82" s="361">
        <v>5051.00838999999</v>
      </c>
      <c r="E82" s="361">
        <v>94453.215100000001</v>
      </c>
      <c r="F82" s="297">
        <v>0</v>
      </c>
      <c r="G82" s="361">
        <v>259.62900000000002</v>
      </c>
      <c r="H82" s="361">
        <v>208881.88394000003</v>
      </c>
      <c r="I82" s="361">
        <v>129326.57788000013</v>
      </c>
      <c r="J82" s="361">
        <v>103355.08072999999</v>
      </c>
      <c r="K82" s="348">
        <f t="shared" si="7"/>
        <v>588812.44004000002</v>
      </c>
    </row>
    <row r="83" spans="2:11" x14ac:dyDescent="0.2">
      <c r="B83" s="346">
        <v>2013</v>
      </c>
      <c r="C83" s="362">
        <v>50283.248</v>
      </c>
      <c r="D83" s="362">
        <v>6373.51242000001</v>
      </c>
      <c r="E83" s="362">
        <v>171647.13858000009</v>
      </c>
      <c r="F83" s="297">
        <v>0</v>
      </c>
      <c r="G83" s="363">
        <v>548.30399999999997</v>
      </c>
      <c r="H83" s="362">
        <v>227100.04538999996</v>
      </c>
      <c r="I83" s="363">
        <v>86658.544250000006</v>
      </c>
      <c r="J83" s="363">
        <v>124128.59921000001</v>
      </c>
      <c r="K83" s="348">
        <f t="shared" si="7"/>
        <v>666739.39185000013</v>
      </c>
    </row>
    <row r="84" spans="2:11" x14ac:dyDescent="0.2">
      <c r="B84" s="377">
        <v>2014</v>
      </c>
      <c r="C84" s="378">
        <v>42263.44</v>
      </c>
      <c r="D84" s="379">
        <v>6462.2834400000102</v>
      </c>
      <c r="E84" s="379">
        <v>163575.37300000002</v>
      </c>
      <c r="F84" s="297">
        <v>0</v>
      </c>
      <c r="G84" s="379">
        <v>744.36800000000005</v>
      </c>
      <c r="H84" s="379">
        <v>249190.77572999999</v>
      </c>
      <c r="I84" s="379">
        <v>103929.25882999999</v>
      </c>
      <c r="J84" s="379">
        <v>122402.97719999999</v>
      </c>
      <c r="K84" s="348">
        <f t="shared" si="7"/>
        <v>688568.47619999992</v>
      </c>
    </row>
    <row r="85" spans="2:11" x14ac:dyDescent="0.2">
      <c r="B85" s="364">
        <v>2015</v>
      </c>
      <c r="C85" s="365">
        <v>56487.883999999998</v>
      </c>
      <c r="D85" s="366">
        <v>6421.390809999999</v>
      </c>
      <c r="E85" s="366">
        <v>179330.40600000002</v>
      </c>
      <c r="F85" s="313">
        <v>0</v>
      </c>
      <c r="G85" s="366">
        <v>1133.8854000000001</v>
      </c>
      <c r="H85" s="366">
        <v>263588.1261799999</v>
      </c>
      <c r="I85" s="366">
        <v>155526.12101999996</v>
      </c>
      <c r="J85" s="366">
        <v>137494.74760000003</v>
      </c>
      <c r="K85" s="352">
        <f t="shared" ref="K85" si="8">SUM(C85:J85)</f>
        <v>799982.56100999995</v>
      </c>
    </row>
    <row r="86" spans="2:11" x14ac:dyDescent="0.2">
      <c r="B86" s="367">
        <v>2016</v>
      </c>
      <c r="C86" s="368">
        <v>51135.957999999999</v>
      </c>
      <c r="D86" s="369">
        <v>5.47</v>
      </c>
      <c r="E86" s="369">
        <v>149110.78300000002</v>
      </c>
      <c r="F86" s="370">
        <v>0</v>
      </c>
      <c r="G86" s="369">
        <v>905.71660000000008</v>
      </c>
      <c r="H86" s="369">
        <v>253932.63787999973</v>
      </c>
      <c r="I86" s="369">
        <v>160742.78959</v>
      </c>
      <c r="J86" s="369">
        <v>160219.62020000003</v>
      </c>
      <c r="K86" s="352">
        <f>SUM(C86:J86)</f>
        <v>776052.97526999982</v>
      </c>
    </row>
  </sheetData>
  <pageMargins left="0.7" right="0.7" top="0.75" bottom="0.75" header="0.3" footer="0.3"/>
  <pageSetup paperSize="9" orientation="portrait" verticalDpi="0"/>
  <ignoredErrors>
    <ignoredError sqref="R36 K70:K85 D63:P63 E36:P36" formulaRange="1"/>
    <ignoredError sqref="B15:B35 B42:B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A20"/>
  <sheetViews>
    <sheetView showGridLines="0" workbookViewId="0"/>
  </sheetViews>
  <sheetFormatPr defaultRowHeight="12.75" x14ac:dyDescent="0.2"/>
  <cols>
    <col min="1" max="1" width="5.7109375" style="91" customWidth="1"/>
    <col min="2" max="2" width="33.5703125" style="91" customWidth="1"/>
    <col min="3" max="3" width="16.85546875" style="91" customWidth="1"/>
    <col min="4" max="4" width="16" style="91" customWidth="1"/>
    <col min="5" max="5" width="15.42578125" style="91" customWidth="1"/>
    <col min="6" max="6" width="18.140625" style="91" customWidth="1"/>
    <col min="7" max="7" width="17" style="91" customWidth="1"/>
    <col min="8" max="8" width="15.7109375" style="91" customWidth="1"/>
    <col min="9" max="9" width="15" style="91" customWidth="1"/>
    <col min="10" max="10" width="11.42578125" style="91" customWidth="1"/>
    <col min="11" max="11" width="9.140625" style="91"/>
    <col min="12" max="12" width="14.42578125" style="91" customWidth="1"/>
    <col min="13" max="13" width="12.5703125" style="91" customWidth="1"/>
    <col min="14" max="17" width="12" style="91" customWidth="1"/>
    <col min="18" max="18" width="14.28515625" style="91" customWidth="1"/>
    <col min="19" max="19" width="12" style="91" customWidth="1"/>
    <col min="20" max="16384" width="9.140625" style="91"/>
  </cols>
  <sheetData>
    <row r="1" spans="1:105" x14ac:dyDescent="0.2">
      <c r="A1" s="90"/>
    </row>
    <row r="2" spans="1:105" ht="18.75" x14ac:dyDescent="0.2">
      <c r="B2" s="92" t="s">
        <v>229</v>
      </c>
      <c r="D2" s="93"/>
    </row>
    <row r="3" spans="1:105" ht="18.75" x14ac:dyDescent="0.2">
      <c r="B3" s="94" t="s">
        <v>17</v>
      </c>
    </row>
    <row r="4" spans="1:105" ht="15.75" x14ac:dyDescent="0.2">
      <c r="B4" s="95"/>
    </row>
    <row r="5" spans="1:105" ht="12.75" customHeight="1" x14ac:dyDescent="0.2">
      <c r="B5" s="453" t="s">
        <v>23</v>
      </c>
      <c r="C5" s="457" t="s">
        <v>13</v>
      </c>
      <c r="D5" s="458"/>
      <c r="E5" s="458"/>
      <c r="F5" s="458"/>
      <c r="G5" s="459"/>
      <c r="H5" s="460" t="s">
        <v>72</v>
      </c>
    </row>
    <row r="6" spans="1:105" s="17" customFormat="1" ht="37.5" customHeight="1" x14ac:dyDescent="0.2">
      <c r="A6" s="15"/>
      <c r="B6" s="454"/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46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6"/>
    </row>
    <row r="7" spans="1:105" ht="24.95" customHeight="1" x14ac:dyDescent="0.2">
      <c r="B7" s="174" t="s">
        <v>25</v>
      </c>
      <c r="C7" s="81" t="s">
        <v>213</v>
      </c>
      <c r="D7" s="81" t="s">
        <v>213</v>
      </c>
      <c r="E7" s="81" t="s">
        <v>213</v>
      </c>
      <c r="F7" s="63">
        <v>131.77367900000002</v>
      </c>
      <c r="G7" s="81" t="s">
        <v>213</v>
      </c>
      <c r="H7" s="389">
        <f t="shared" ref="H7:H12" si="0">SUM(C7:G7)</f>
        <v>131.77367900000002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</row>
    <row r="8" spans="1:105" ht="24.95" customHeight="1" x14ac:dyDescent="0.2">
      <c r="B8" s="99" t="s">
        <v>26</v>
      </c>
      <c r="C8" s="81" t="s">
        <v>213</v>
      </c>
      <c r="D8" s="81" t="s">
        <v>213</v>
      </c>
      <c r="E8" s="81" t="s">
        <v>213</v>
      </c>
      <c r="F8" s="81" t="s">
        <v>213</v>
      </c>
      <c r="G8" s="398" t="s">
        <v>213</v>
      </c>
      <c r="H8" s="391">
        <f t="shared" si="0"/>
        <v>0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</row>
    <row r="9" spans="1:105" ht="24.95" customHeight="1" x14ac:dyDescent="0.2">
      <c r="B9" s="99" t="s">
        <v>27</v>
      </c>
      <c r="C9" s="63">
        <v>304.89655999999968</v>
      </c>
      <c r="D9" s="63">
        <v>250.85438199999993</v>
      </c>
      <c r="E9" s="81" t="s">
        <v>213</v>
      </c>
      <c r="F9" s="63">
        <v>68.444600000000008</v>
      </c>
      <c r="G9" s="81" t="s">
        <v>213</v>
      </c>
      <c r="H9" s="392">
        <f t="shared" si="0"/>
        <v>624.1955419999997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</row>
    <row r="10" spans="1:105" ht="24.95" customHeight="1" x14ac:dyDescent="0.2">
      <c r="B10" s="99" t="s">
        <v>28</v>
      </c>
      <c r="C10" s="63">
        <v>177.21208099999996</v>
      </c>
      <c r="D10" s="63">
        <v>212.03420899999998</v>
      </c>
      <c r="E10" s="63">
        <v>156.97591</v>
      </c>
      <c r="F10" s="63">
        <v>290.18098999999995</v>
      </c>
      <c r="G10" s="393">
        <v>300.41771000000011</v>
      </c>
      <c r="H10" s="392">
        <f t="shared" si="0"/>
        <v>1136.8208999999999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</row>
    <row r="11" spans="1:105" ht="24.95" customHeight="1" x14ac:dyDescent="0.2">
      <c r="B11" s="101" t="s">
        <v>29</v>
      </c>
      <c r="C11" s="81" t="s">
        <v>213</v>
      </c>
      <c r="D11" s="63">
        <v>4.8500000000000005</v>
      </c>
      <c r="E11" s="81" t="s">
        <v>213</v>
      </c>
      <c r="F11" s="81" t="s">
        <v>213</v>
      </c>
      <c r="G11" s="393">
        <v>53.334000000000003</v>
      </c>
      <c r="H11" s="392">
        <f t="shared" si="0"/>
        <v>58.184000000000005</v>
      </c>
    </row>
    <row r="12" spans="1:105" ht="24.95" customHeight="1" x14ac:dyDescent="0.2">
      <c r="B12" s="102" t="s">
        <v>14</v>
      </c>
      <c r="C12" s="63">
        <v>79.078999999999994</v>
      </c>
      <c r="D12" s="63">
        <v>912.11481900000001</v>
      </c>
      <c r="E12" s="63">
        <v>100.17815900000001</v>
      </c>
      <c r="F12" s="111">
        <v>922.63894099999993</v>
      </c>
      <c r="G12" s="393">
        <v>208.01306599999998</v>
      </c>
      <c r="H12" s="392">
        <f t="shared" si="0"/>
        <v>2222.0239849999998</v>
      </c>
    </row>
    <row r="13" spans="1:105" ht="21.75" customHeight="1" x14ac:dyDescent="0.2">
      <c r="B13" s="103" t="s">
        <v>34</v>
      </c>
      <c r="C13" s="394">
        <f>SUM(C7:C12)</f>
        <v>561.18764099999964</v>
      </c>
      <c r="D13" s="395">
        <f t="shared" ref="D13:H13" si="1">SUM(D7:D12)</f>
        <v>1379.8534099999999</v>
      </c>
      <c r="E13" s="395">
        <f t="shared" si="1"/>
        <v>257.15406899999999</v>
      </c>
      <c r="F13" s="396">
        <f t="shared" si="1"/>
        <v>1413.0382099999999</v>
      </c>
      <c r="G13" s="395">
        <f t="shared" si="1"/>
        <v>561.7647760000001</v>
      </c>
      <c r="H13" s="397">
        <f t="shared" si="1"/>
        <v>4172.9981059999991</v>
      </c>
    </row>
    <row r="14" spans="1:105" ht="17.25" customHeight="1" x14ac:dyDescent="0.2"/>
    <row r="15" spans="1:105" ht="17.25" customHeight="1" x14ac:dyDescent="0.2">
      <c r="B15" s="107" t="s">
        <v>32</v>
      </c>
      <c r="C15" s="108"/>
      <c r="D15" s="108"/>
      <c r="E15" s="108"/>
      <c r="F15" s="108"/>
      <c r="G15" s="108"/>
      <c r="H15" s="108"/>
      <c r="I15" s="109"/>
    </row>
    <row r="16" spans="1:105" ht="15" customHeight="1" x14ac:dyDescent="0.2">
      <c r="B16" s="109" t="s">
        <v>39</v>
      </c>
      <c r="C16" s="109"/>
      <c r="D16" s="109"/>
      <c r="E16" s="109"/>
      <c r="F16" s="109"/>
      <c r="G16" s="109"/>
      <c r="H16" s="109"/>
      <c r="I16" s="109"/>
    </row>
    <row r="17" spans="2:10" ht="15" customHeight="1" x14ac:dyDescent="0.2">
      <c r="B17" s="91" t="s">
        <v>30</v>
      </c>
    </row>
    <row r="18" spans="2:10" ht="15" customHeight="1" x14ac:dyDescent="0.2">
      <c r="B18" s="455" t="s">
        <v>40</v>
      </c>
      <c r="C18" s="455"/>
      <c r="D18" s="455"/>
      <c r="E18" s="455"/>
      <c r="F18" s="455"/>
      <c r="G18" s="455"/>
      <c r="H18" s="455"/>
      <c r="I18" s="455"/>
      <c r="J18" s="456"/>
    </row>
    <row r="19" spans="2:10" ht="15" customHeight="1" x14ac:dyDescent="0.2">
      <c r="B19" s="504" t="s">
        <v>251</v>
      </c>
      <c r="C19" s="504"/>
      <c r="D19" s="504"/>
      <c r="E19" s="504"/>
      <c r="F19" s="504"/>
      <c r="G19" s="504"/>
      <c r="H19" s="504"/>
      <c r="I19" s="504"/>
    </row>
    <row r="20" spans="2:10" ht="15" customHeight="1" x14ac:dyDescent="0.2">
      <c r="B20" s="110"/>
      <c r="C20" s="110"/>
      <c r="D20" s="110"/>
      <c r="E20" s="110"/>
      <c r="F20" s="110"/>
      <c r="G20" s="110"/>
      <c r="H20" s="110"/>
      <c r="I20" s="110"/>
    </row>
  </sheetData>
  <mergeCells count="5">
    <mergeCell ref="B5:B6"/>
    <mergeCell ref="B18:J18"/>
    <mergeCell ref="C5:G5"/>
    <mergeCell ref="H5:H6"/>
    <mergeCell ref="B19:I19"/>
  </mergeCells>
  <phoneticPr fontId="2" type="noConversion"/>
  <pageMargins left="0.75" right="0.75" top="1" bottom="1" header="0.5" footer="0.5"/>
  <pageSetup paperSize="9" scale="83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0"/>
  <sheetViews>
    <sheetView showGridLines="0" zoomScaleNormal="100" workbookViewId="0"/>
  </sheetViews>
  <sheetFormatPr defaultRowHeight="12.75" x14ac:dyDescent="0.2"/>
  <cols>
    <col min="1" max="1" width="6.85546875" style="91" customWidth="1"/>
    <col min="2" max="2" width="12.7109375" style="91" customWidth="1"/>
    <col min="3" max="3" width="21.85546875" style="91" customWidth="1"/>
    <col min="4" max="4" width="13.42578125" style="91" customWidth="1"/>
    <col min="5" max="5" width="13.28515625" style="91" customWidth="1"/>
    <col min="6" max="6" width="13.85546875" style="91" customWidth="1"/>
    <col min="7" max="7" width="14" style="91" customWidth="1"/>
    <col min="8" max="8" width="17" style="91" customWidth="1"/>
    <col min="9" max="9" width="20" style="91" customWidth="1"/>
    <col min="10" max="10" width="16.85546875" style="91" customWidth="1"/>
    <col min="11" max="16384" width="9.140625" style="91"/>
  </cols>
  <sheetData>
    <row r="1" spans="1:10" x14ac:dyDescent="0.2">
      <c r="A1" s="90"/>
    </row>
    <row r="2" spans="1:10" ht="18.75" x14ac:dyDescent="0.2">
      <c r="B2" s="112" t="s">
        <v>230</v>
      </c>
    </row>
    <row r="3" spans="1:10" ht="18.75" x14ac:dyDescent="0.2">
      <c r="B3" s="94" t="s">
        <v>31</v>
      </c>
    </row>
    <row r="5" spans="1:10" x14ac:dyDescent="0.2">
      <c r="B5" s="88"/>
      <c r="C5" s="87"/>
      <c r="D5" s="458" t="s">
        <v>87</v>
      </c>
      <c r="E5" s="458"/>
      <c r="F5" s="458"/>
      <c r="G5" s="458"/>
      <c r="H5" s="458"/>
      <c r="I5" s="458"/>
      <c r="J5" s="85"/>
    </row>
    <row r="6" spans="1:10" ht="24.75" customHeight="1" x14ac:dyDescent="0.2">
      <c r="B6" s="42" t="s">
        <v>95</v>
      </c>
      <c r="C6" s="57" t="s">
        <v>12</v>
      </c>
      <c r="D6" s="58" t="s">
        <v>193</v>
      </c>
      <c r="E6" s="12" t="s">
        <v>57</v>
      </c>
      <c r="F6" s="12" t="s">
        <v>58</v>
      </c>
      <c r="G6" s="12" t="s">
        <v>59</v>
      </c>
      <c r="H6" s="12" t="s">
        <v>60</v>
      </c>
      <c r="I6" s="13" t="s">
        <v>61</v>
      </c>
      <c r="J6" s="45" t="s">
        <v>72</v>
      </c>
    </row>
    <row r="7" spans="1:10" x14ac:dyDescent="0.2">
      <c r="B7" s="462" t="s">
        <v>104</v>
      </c>
      <c r="C7" s="476" t="s">
        <v>194</v>
      </c>
      <c r="D7" s="113" t="s">
        <v>195</v>
      </c>
      <c r="E7" s="114">
        <v>90</v>
      </c>
      <c r="F7" s="114">
        <v>286</v>
      </c>
      <c r="G7" s="114">
        <v>52</v>
      </c>
      <c r="H7" s="114">
        <v>271</v>
      </c>
      <c r="I7" s="114">
        <v>168</v>
      </c>
      <c r="J7" s="115">
        <f>SUM(E7:I7)</f>
        <v>867</v>
      </c>
    </row>
    <row r="8" spans="1:10" x14ac:dyDescent="0.2">
      <c r="B8" s="463"/>
      <c r="C8" s="477"/>
      <c r="D8" s="116" t="s">
        <v>196</v>
      </c>
      <c r="E8" s="114">
        <v>519</v>
      </c>
      <c r="F8" s="114">
        <v>501</v>
      </c>
      <c r="G8" s="114">
        <v>436</v>
      </c>
      <c r="H8" s="114">
        <v>1014</v>
      </c>
      <c r="I8" s="114">
        <v>725</v>
      </c>
      <c r="J8" s="117">
        <f t="shared" ref="J8:J55" si="0">SUM(E8:I8)</f>
        <v>3195</v>
      </c>
    </row>
    <row r="9" spans="1:10" x14ac:dyDescent="0.2">
      <c r="B9" s="463"/>
      <c r="C9" s="478"/>
      <c r="D9" s="118" t="s">
        <v>197</v>
      </c>
      <c r="E9" s="114">
        <v>26</v>
      </c>
      <c r="F9" s="114">
        <v>14</v>
      </c>
      <c r="G9" s="114">
        <v>7</v>
      </c>
      <c r="H9" s="114">
        <v>60</v>
      </c>
      <c r="I9" s="114">
        <v>28</v>
      </c>
      <c r="J9" s="117">
        <f t="shared" si="0"/>
        <v>135</v>
      </c>
    </row>
    <row r="10" spans="1:10" x14ac:dyDescent="0.2">
      <c r="B10" s="463"/>
      <c r="C10" s="68" t="s">
        <v>198</v>
      </c>
      <c r="D10" s="119"/>
      <c r="E10" s="120">
        <f t="shared" ref="E10:J10" si="1">SUBTOTAL(9,E7:E9)</f>
        <v>635</v>
      </c>
      <c r="F10" s="120">
        <f t="shared" si="1"/>
        <v>801</v>
      </c>
      <c r="G10" s="120">
        <f t="shared" si="1"/>
        <v>495</v>
      </c>
      <c r="H10" s="120">
        <f t="shared" si="1"/>
        <v>1345</v>
      </c>
      <c r="I10" s="120">
        <f t="shared" si="1"/>
        <v>921</v>
      </c>
      <c r="J10" s="121">
        <f t="shared" si="1"/>
        <v>4197</v>
      </c>
    </row>
    <row r="11" spans="1:10" x14ac:dyDescent="0.2">
      <c r="B11" s="463"/>
      <c r="C11" s="471" t="s">
        <v>199</v>
      </c>
      <c r="D11" s="122" t="s">
        <v>195</v>
      </c>
      <c r="E11" s="123">
        <v>411</v>
      </c>
      <c r="F11" s="124">
        <v>262</v>
      </c>
      <c r="G11" s="124">
        <v>3</v>
      </c>
      <c r="H11" s="124">
        <v>62</v>
      </c>
      <c r="I11" s="124">
        <v>147</v>
      </c>
      <c r="J11" s="117">
        <f t="shared" si="0"/>
        <v>885</v>
      </c>
    </row>
    <row r="12" spans="1:10" x14ac:dyDescent="0.2">
      <c r="B12" s="463"/>
      <c r="C12" s="467"/>
      <c r="D12" s="122" t="s">
        <v>196</v>
      </c>
      <c r="E12" s="123">
        <v>146</v>
      </c>
      <c r="F12" s="124">
        <v>136</v>
      </c>
      <c r="G12" s="124">
        <v>70</v>
      </c>
      <c r="H12" s="124">
        <v>72</v>
      </c>
      <c r="I12" s="124">
        <v>81</v>
      </c>
      <c r="J12" s="117">
        <f t="shared" si="0"/>
        <v>505</v>
      </c>
    </row>
    <row r="13" spans="1:10" x14ac:dyDescent="0.2">
      <c r="B13" s="463"/>
      <c r="C13" s="472"/>
      <c r="D13" s="122" t="s">
        <v>197</v>
      </c>
      <c r="E13" s="123">
        <v>0</v>
      </c>
      <c r="F13" s="124">
        <v>0</v>
      </c>
      <c r="G13" s="124">
        <v>0</v>
      </c>
      <c r="H13" s="124">
        <v>0</v>
      </c>
      <c r="I13" s="124">
        <v>1</v>
      </c>
      <c r="J13" s="117">
        <f t="shared" si="0"/>
        <v>1</v>
      </c>
    </row>
    <row r="14" spans="1:10" x14ac:dyDescent="0.2">
      <c r="B14" s="463"/>
      <c r="C14" s="66" t="s">
        <v>200</v>
      </c>
      <c r="D14" s="119"/>
      <c r="E14" s="120">
        <f t="shared" ref="E14:J14" si="2">SUBTOTAL(9,E11:E13)</f>
        <v>557</v>
      </c>
      <c r="F14" s="120">
        <f t="shared" si="2"/>
        <v>398</v>
      </c>
      <c r="G14" s="120">
        <f t="shared" si="2"/>
        <v>73</v>
      </c>
      <c r="H14" s="120">
        <f t="shared" si="2"/>
        <v>134</v>
      </c>
      <c r="I14" s="120">
        <f t="shared" si="2"/>
        <v>229</v>
      </c>
      <c r="J14" s="121">
        <f t="shared" si="2"/>
        <v>1391</v>
      </c>
    </row>
    <row r="15" spans="1:10" x14ac:dyDescent="0.2">
      <c r="B15" s="463"/>
      <c r="C15" s="473" t="s">
        <v>201</v>
      </c>
      <c r="D15" s="122" t="s">
        <v>195</v>
      </c>
      <c r="E15" s="123">
        <v>552</v>
      </c>
      <c r="F15" s="124">
        <v>869</v>
      </c>
      <c r="G15" s="124">
        <v>282</v>
      </c>
      <c r="H15" s="124">
        <v>861</v>
      </c>
      <c r="I15" s="124">
        <v>542</v>
      </c>
      <c r="J15" s="117">
        <f t="shared" si="0"/>
        <v>3106</v>
      </c>
    </row>
    <row r="16" spans="1:10" x14ac:dyDescent="0.2">
      <c r="B16" s="463"/>
      <c r="C16" s="474"/>
      <c r="D16" s="122" t="s">
        <v>196</v>
      </c>
      <c r="E16" s="123">
        <v>0</v>
      </c>
      <c r="F16" s="124">
        <v>0</v>
      </c>
      <c r="G16" s="124">
        <v>0</v>
      </c>
      <c r="H16" s="124">
        <v>0</v>
      </c>
      <c r="I16" s="124">
        <v>0</v>
      </c>
      <c r="J16" s="117">
        <f t="shared" si="0"/>
        <v>0</v>
      </c>
    </row>
    <row r="17" spans="2:10" x14ac:dyDescent="0.2">
      <c r="B17" s="463"/>
      <c r="C17" s="475"/>
      <c r="D17" s="122" t="s">
        <v>197</v>
      </c>
      <c r="E17" s="123">
        <v>0</v>
      </c>
      <c r="F17" s="124">
        <v>0</v>
      </c>
      <c r="G17" s="124">
        <v>0</v>
      </c>
      <c r="H17" s="124">
        <v>0</v>
      </c>
      <c r="I17" s="124">
        <v>0</v>
      </c>
      <c r="J17" s="117">
        <f t="shared" si="0"/>
        <v>0</v>
      </c>
    </row>
    <row r="18" spans="2:10" x14ac:dyDescent="0.2">
      <c r="B18" s="463"/>
      <c r="C18" s="69" t="s">
        <v>202</v>
      </c>
      <c r="D18" s="119"/>
      <c r="E18" s="120">
        <f t="shared" ref="E18:J18" si="3">SUBTOTAL(9,E15:E17)</f>
        <v>552</v>
      </c>
      <c r="F18" s="120">
        <f t="shared" si="3"/>
        <v>869</v>
      </c>
      <c r="G18" s="120">
        <f t="shared" si="3"/>
        <v>282</v>
      </c>
      <c r="H18" s="120">
        <f t="shared" si="3"/>
        <v>861</v>
      </c>
      <c r="I18" s="120">
        <f t="shared" si="3"/>
        <v>542</v>
      </c>
      <c r="J18" s="121">
        <f t="shared" si="3"/>
        <v>3106</v>
      </c>
    </row>
    <row r="19" spans="2:10" x14ac:dyDescent="0.2">
      <c r="B19" s="463"/>
      <c r="C19" s="471" t="s">
        <v>203</v>
      </c>
      <c r="D19" s="122" t="s">
        <v>195</v>
      </c>
      <c r="E19" s="123">
        <v>32</v>
      </c>
      <c r="F19" s="124">
        <v>18</v>
      </c>
      <c r="G19" s="124">
        <v>57</v>
      </c>
      <c r="H19" s="124">
        <v>0</v>
      </c>
      <c r="I19" s="124">
        <v>0</v>
      </c>
      <c r="J19" s="117">
        <f t="shared" si="0"/>
        <v>107</v>
      </c>
    </row>
    <row r="20" spans="2:10" x14ac:dyDescent="0.2">
      <c r="B20" s="463"/>
      <c r="C20" s="467"/>
      <c r="D20" s="122" t="s">
        <v>196</v>
      </c>
      <c r="E20" s="123">
        <v>58</v>
      </c>
      <c r="F20" s="124">
        <v>9</v>
      </c>
      <c r="G20" s="124">
        <v>0</v>
      </c>
      <c r="H20" s="124">
        <v>36</v>
      </c>
      <c r="I20" s="124">
        <v>405</v>
      </c>
      <c r="J20" s="117">
        <f t="shared" si="0"/>
        <v>508</v>
      </c>
    </row>
    <row r="21" spans="2:10" x14ac:dyDescent="0.2">
      <c r="B21" s="463"/>
      <c r="C21" s="472"/>
      <c r="D21" s="122" t="s">
        <v>197</v>
      </c>
      <c r="E21" s="123">
        <v>0</v>
      </c>
      <c r="F21" s="124">
        <v>0</v>
      </c>
      <c r="G21" s="124">
        <v>0</v>
      </c>
      <c r="H21" s="124">
        <v>0</v>
      </c>
      <c r="I21" s="124">
        <v>0</v>
      </c>
      <c r="J21" s="117">
        <f t="shared" si="0"/>
        <v>0</v>
      </c>
    </row>
    <row r="22" spans="2:10" x14ac:dyDescent="0.2">
      <c r="B22" s="464"/>
      <c r="C22" s="67" t="s">
        <v>204</v>
      </c>
      <c r="D22" s="119"/>
      <c r="E22" s="125">
        <f t="shared" ref="E22:J22" si="4">SUBTOTAL(9,E19:E21)</f>
        <v>90</v>
      </c>
      <c r="F22" s="125">
        <f t="shared" si="4"/>
        <v>27</v>
      </c>
      <c r="G22" s="125">
        <f t="shared" si="4"/>
        <v>57</v>
      </c>
      <c r="H22" s="125">
        <f t="shared" si="4"/>
        <v>36</v>
      </c>
      <c r="I22" s="125">
        <f t="shared" si="4"/>
        <v>405</v>
      </c>
      <c r="J22" s="115">
        <f t="shared" si="4"/>
        <v>615</v>
      </c>
    </row>
    <row r="23" spans="2:10" ht="26.25" customHeight="1" x14ac:dyDescent="0.2">
      <c r="B23" s="59" t="s">
        <v>111</v>
      </c>
      <c r="C23" s="47"/>
      <c r="D23" s="126"/>
      <c r="E23" s="104">
        <f t="shared" ref="E23:J23" si="5">SUBTOTAL(9,E7:E21)</f>
        <v>1834</v>
      </c>
      <c r="F23" s="104">
        <f t="shared" si="5"/>
        <v>2095</v>
      </c>
      <c r="G23" s="104">
        <f t="shared" si="5"/>
        <v>907</v>
      </c>
      <c r="H23" s="104">
        <f t="shared" si="5"/>
        <v>2376</v>
      </c>
      <c r="I23" s="104">
        <f t="shared" si="5"/>
        <v>2097</v>
      </c>
      <c r="J23" s="127">
        <f t="shared" si="5"/>
        <v>9309</v>
      </c>
    </row>
    <row r="24" spans="2:10" x14ac:dyDescent="0.2">
      <c r="B24" s="462" t="s">
        <v>112</v>
      </c>
      <c r="C24" s="465" t="s">
        <v>194</v>
      </c>
      <c r="D24" s="128" t="s">
        <v>195</v>
      </c>
      <c r="E24" s="129">
        <v>172.584</v>
      </c>
      <c r="F24" s="130">
        <v>99.278999999999996</v>
      </c>
      <c r="G24" s="130">
        <v>42.25</v>
      </c>
      <c r="H24" s="130">
        <v>416.75799999999998</v>
      </c>
      <c r="I24" s="130">
        <v>891.51900000000001</v>
      </c>
      <c r="J24" s="131">
        <f t="shared" si="0"/>
        <v>1622.3899999999999</v>
      </c>
    </row>
    <row r="25" spans="2:10" x14ac:dyDescent="0.2">
      <c r="B25" s="463"/>
      <c r="C25" s="466"/>
      <c r="D25" s="128" t="s">
        <v>196</v>
      </c>
      <c r="E25" s="129">
        <v>456.238</v>
      </c>
      <c r="F25" s="130">
        <v>456.75099999999998</v>
      </c>
      <c r="G25" s="130">
        <v>481.85399999999998</v>
      </c>
      <c r="H25" s="130">
        <v>472.73200000000003</v>
      </c>
      <c r="I25" s="130">
        <v>469.37299999999999</v>
      </c>
      <c r="J25" s="131">
        <f t="shared" si="0"/>
        <v>2336.9479999999999</v>
      </c>
    </row>
    <row r="26" spans="2:10" x14ac:dyDescent="0.2">
      <c r="B26" s="463"/>
      <c r="C26" s="466"/>
      <c r="D26" s="128" t="s">
        <v>197</v>
      </c>
      <c r="E26" s="129">
        <v>44.088999999999999</v>
      </c>
      <c r="F26" s="130">
        <v>15.894</v>
      </c>
      <c r="G26" s="130">
        <v>1.8819999999999999</v>
      </c>
      <c r="H26" s="130">
        <v>21.933</v>
      </c>
      <c r="I26" s="130">
        <v>15.302</v>
      </c>
      <c r="J26" s="131">
        <f t="shared" si="0"/>
        <v>99.1</v>
      </c>
    </row>
    <row r="27" spans="2:10" x14ac:dyDescent="0.2">
      <c r="B27" s="463"/>
      <c r="C27" s="70" t="s">
        <v>198</v>
      </c>
      <c r="D27" s="119"/>
      <c r="E27" s="120">
        <f t="shared" ref="E27:J27" si="6">SUBTOTAL(9,E24:E26)</f>
        <v>672.91100000000006</v>
      </c>
      <c r="F27" s="120">
        <f t="shared" si="6"/>
        <v>571.92399999999998</v>
      </c>
      <c r="G27" s="120">
        <f t="shared" si="6"/>
        <v>525.98599999999999</v>
      </c>
      <c r="H27" s="120">
        <f t="shared" si="6"/>
        <v>911.423</v>
      </c>
      <c r="I27" s="120">
        <f t="shared" si="6"/>
        <v>1376.194</v>
      </c>
      <c r="J27" s="121">
        <f t="shared" si="6"/>
        <v>4058.4379999999996</v>
      </c>
    </row>
    <row r="28" spans="2:10" x14ac:dyDescent="0.2">
      <c r="B28" s="463"/>
      <c r="C28" s="471" t="s">
        <v>199</v>
      </c>
      <c r="D28" s="122" t="s">
        <v>195</v>
      </c>
      <c r="E28" s="123">
        <v>330.78699999999998</v>
      </c>
      <c r="F28" s="124">
        <v>270.952</v>
      </c>
      <c r="G28" s="124">
        <v>19.684000000000001</v>
      </c>
      <c r="H28" s="124">
        <v>92.308000000000007</v>
      </c>
      <c r="I28" s="124">
        <v>131.334</v>
      </c>
      <c r="J28" s="117">
        <f t="shared" si="0"/>
        <v>845.06500000000005</v>
      </c>
    </row>
    <row r="29" spans="2:10" x14ac:dyDescent="0.2">
      <c r="B29" s="463"/>
      <c r="C29" s="467"/>
      <c r="D29" s="122" t="s">
        <v>196</v>
      </c>
      <c r="E29" s="123">
        <v>69.266999999999996</v>
      </c>
      <c r="F29" s="124">
        <v>0</v>
      </c>
      <c r="G29" s="124">
        <v>66.034000000000006</v>
      </c>
      <c r="H29" s="124">
        <v>298.94799999999998</v>
      </c>
      <c r="I29" s="124">
        <v>8.5210000000000008</v>
      </c>
      <c r="J29" s="117">
        <f t="shared" si="0"/>
        <v>442.77</v>
      </c>
    </row>
    <row r="30" spans="2:10" x14ac:dyDescent="0.2">
      <c r="B30" s="463"/>
      <c r="C30" s="472"/>
      <c r="D30" s="122" t="s">
        <v>197</v>
      </c>
      <c r="E30" s="123">
        <v>0</v>
      </c>
      <c r="F30" s="124">
        <v>0</v>
      </c>
      <c r="G30" s="124">
        <v>0</v>
      </c>
      <c r="H30" s="124">
        <v>0</v>
      </c>
      <c r="I30" s="124">
        <v>0</v>
      </c>
      <c r="J30" s="117">
        <f t="shared" si="0"/>
        <v>0</v>
      </c>
    </row>
    <row r="31" spans="2:10" x14ac:dyDescent="0.2">
      <c r="B31" s="463"/>
      <c r="C31" s="66" t="s">
        <v>200</v>
      </c>
      <c r="D31" s="119"/>
      <c r="E31" s="120">
        <f t="shared" ref="E31:J31" si="7">SUBTOTAL(9,E28:E30)</f>
        <v>400.05399999999997</v>
      </c>
      <c r="F31" s="120">
        <f t="shared" si="7"/>
        <v>270.952</v>
      </c>
      <c r="G31" s="120">
        <f t="shared" si="7"/>
        <v>85.718000000000004</v>
      </c>
      <c r="H31" s="120">
        <f t="shared" si="7"/>
        <v>391.25599999999997</v>
      </c>
      <c r="I31" s="120">
        <f t="shared" si="7"/>
        <v>139.85500000000002</v>
      </c>
      <c r="J31" s="121">
        <f t="shared" si="7"/>
        <v>1287.835</v>
      </c>
    </row>
    <row r="32" spans="2:10" x14ac:dyDescent="0.2">
      <c r="B32" s="463"/>
      <c r="C32" s="473" t="s">
        <v>201</v>
      </c>
      <c r="D32" s="122" t="s">
        <v>195</v>
      </c>
      <c r="E32" s="123">
        <v>128.93600000000001</v>
      </c>
      <c r="F32" s="124">
        <v>549.01599999999996</v>
      </c>
      <c r="G32" s="124">
        <v>225.91499999999999</v>
      </c>
      <c r="H32" s="124">
        <v>439.65300000000002</v>
      </c>
      <c r="I32" s="124">
        <v>280.27</v>
      </c>
      <c r="J32" s="117">
        <f t="shared" si="0"/>
        <v>1623.79</v>
      </c>
    </row>
    <row r="33" spans="2:10" x14ac:dyDescent="0.2">
      <c r="B33" s="463"/>
      <c r="C33" s="474"/>
      <c r="D33" s="122" t="s">
        <v>196</v>
      </c>
      <c r="E33" s="123">
        <v>3.02</v>
      </c>
      <c r="F33" s="124">
        <v>0</v>
      </c>
      <c r="G33" s="124">
        <v>5</v>
      </c>
      <c r="H33" s="124">
        <v>0</v>
      </c>
      <c r="I33" s="124">
        <v>232.66</v>
      </c>
      <c r="J33" s="117">
        <f t="shared" si="0"/>
        <v>240.68</v>
      </c>
    </row>
    <row r="34" spans="2:10" x14ac:dyDescent="0.2">
      <c r="B34" s="463"/>
      <c r="C34" s="475"/>
      <c r="D34" s="122" t="s">
        <v>197</v>
      </c>
      <c r="E34" s="123">
        <v>0</v>
      </c>
      <c r="F34" s="124">
        <v>0</v>
      </c>
      <c r="G34" s="124">
        <v>0</v>
      </c>
      <c r="H34" s="124">
        <v>0</v>
      </c>
      <c r="I34" s="124">
        <v>0</v>
      </c>
      <c r="J34" s="117">
        <f t="shared" si="0"/>
        <v>0</v>
      </c>
    </row>
    <row r="35" spans="2:10" x14ac:dyDescent="0.2">
      <c r="B35" s="463"/>
      <c r="C35" s="69" t="s">
        <v>202</v>
      </c>
      <c r="D35" s="119"/>
      <c r="E35" s="120">
        <f t="shared" ref="E35:J35" si="8">SUBTOTAL(9,E32:E34)</f>
        <v>131.95600000000002</v>
      </c>
      <c r="F35" s="120">
        <f t="shared" si="8"/>
        <v>549.01599999999996</v>
      </c>
      <c r="G35" s="120">
        <f t="shared" si="8"/>
        <v>230.91499999999999</v>
      </c>
      <c r="H35" s="120">
        <f t="shared" si="8"/>
        <v>439.65300000000002</v>
      </c>
      <c r="I35" s="120">
        <f t="shared" si="8"/>
        <v>512.92999999999995</v>
      </c>
      <c r="J35" s="121">
        <f t="shared" si="8"/>
        <v>1864.47</v>
      </c>
    </row>
    <row r="36" spans="2:10" x14ac:dyDescent="0.2">
      <c r="B36" s="463"/>
      <c r="C36" s="471" t="s">
        <v>203</v>
      </c>
      <c r="D36" s="122" t="s">
        <v>195</v>
      </c>
      <c r="E36" s="123">
        <v>59.347000000000001</v>
      </c>
      <c r="F36" s="124">
        <v>16.361000000000001</v>
      </c>
      <c r="G36" s="124">
        <v>48.597999999999999</v>
      </c>
      <c r="H36" s="124">
        <v>5.944</v>
      </c>
      <c r="I36" s="124">
        <v>331.21699999999998</v>
      </c>
      <c r="J36" s="117">
        <f t="shared" si="0"/>
        <v>461.46699999999998</v>
      </c>
    </row>
    <row r="37" spans="2:10" x14ac:dyDescent="0.2">
      <c r="B37" s="463"/>
      <c r="C37" s="467"/>
      <c r="D37" s="122" t="s">
        <v>196</v>
      </c>
      <c r="E37" s="123">
        <v>11.257</v>
      </c>
      <c r="F37" s="124">
        <v>2.0659999999999998</v>
      </c>
      <c r="G37" s="124">
        <v>0</v>
      </c>
      <c r="H37" s="124">
        <v>0</v>
      </c>
      <c r="I37" s="124">
        <v>99.328999999999994</v>
      </c>
      <c r="J37" s="117">
        <f t="shared" si="0"/>
        <v>112.65199999999999</v>
      </c>
    </row>
    <row r="38" spans="2:10" x14ac:dyDescent="0.2">
      <c r="B38" s="463"/>
      <c r="C38" s="472"/>
      <c r="D38" s="122" t="s">
        <v>197</v>
      </c>
      <c r="E38" s="123">
        <v>0</v>
      </c>
      <c r="F38" s="124">
        <v>0</v>
      </c>
      <c r="G38" s="124">
        <v>0</v>
      </c>
      <c r="H38" s="124">
        <v>0.56299999999999994</v>
      </c>
      <c r="I38" s="124">
        <v>0</v>
      </c>
      <c r="J38" s="117">
        <f t="shared" si="0"/>
        <v>0.56299999999999994</v>
      </c>
    </row>
    <row r="39" spans="2:10" x14ac:dyDescent="0.2">
      <c r="B39" s="463"/>
      <c r="C39" s="67" t="s">
        <v>204</v>
      </c>
      <c r="D39" s="119"/>
      <c r="E39" s="125">
        <f t="shared" ref="E39:J39" si="9">SUBTOTAL(9,E36:E38)</f>
        <v>70.603999999999999</v>
      </c>
      <c r="F39" s="125">
        <f t="shared" si="9"/>
        <v>18.427</v>
      </c>
      <c r="G39" s="125">
        <f t="shared" si="9"/>
        <v>48.597999999999999</v>
      </c>
      <c r="H39" s="125">
        <f t="shared" si="9"/>
        <v>6.5069999999999997</v>
      </c>
      <c r="I39" s="125">
        <f t="shared" si="9"/>
        <v>430.54599999999999</v>
      </c>
      <c r="J39" s="115">
        <f t="shared" si="9"/>
        <v>574.6819999999999</v>
      </c>
    </row>
    <row r="40" spans="2:10" ht="24.75" customHeight="1" x14ac:dyDescent="0.2">
      <c r="B40" s="33" t="s">
        <v>113</v>
      </c>
      <c r="C40" s="47"/>
      <c r="D40" s="126"/>
      <c r="E40" s="104">
        <f t="shared" ref="E40:J40" si="10">SUBTOTAL(9,E24:E38)</f>
        <v>1275.5250000000001</v>
      </c>
      <c r="F40" s="104">
        <f t="shared" si="10"/>
        <v>1410.319</v>
      </c>
      <c r="G40" s="104">
        <f t="shared" si="10"/>
        <v>891.21699999999987</v>
      </c>
      <c r="H40" s="104">
        <f t="shared" si="10"/>
        <v>1748.8390000000002</v>
      </c>
      <c r="I40" s="104">
        <f t="shared" si="10"/>
        <v>2459.5250000000001</v>
      </c>
      <c r="J40" s="127">
        <f t="shared" si="10"/>
        <v>7785.4249999999993</v>
      </c>
    </row>
    <row r="41" spans="2:10" x14ac:dyDescent="0.2">
      <c r="B41" s="462" t="s">
        <v>114</v>
      </c>
      <c r="C41" s="466" t="s">
        <v>197</v>
      </c>
      <c r="D41" s="128" t="s">
        <v>195</v>
      </c>
      <c r="E41" s="129">
        <v>40.74679962851107</v>
      </c>
      <c r="F41" s="130">
        <v>28.422399719238282</v>
      </c>
      <c r="G41" s="130">
        <v>5.583839975833893</v>
      </c>
      <c r="H41" s="130">
        <v>16.493390187740324</v>
      </c>
      <c r="I41" s="130">
        <v>0</v>
      </c>
      <c r="J41" s="131">
        <f t="shared" si="0"/>
        <v>91.246429511323583</v>
      </c>
    </row>
    <row r="42" spans="2:10" x14ac:dyDescent="0.2">
      <c r="B42" s="463"/>
      <c r="C42" s="466"/>
      <c r="D42" s="128" t="s">
        <v>196</v>
      </c>
      <c r="E42" s="129">
        <v>149.39003862565755</v>
      </c>
      <c r="F42" s="130">
        <v>265.24376410087945</v>
      </c>
      <c r="G42" s="130">
        <v>82.009999759852889</v>
      </c>
      <c r="H42" s="130">
        <v>21.026839948266744</v>
      </c>
      <c r="I42" s="130">
        <v>0</v>
      </c>
      <c r="J42" s="131">
        <f t="shared" si="0"/>
        <v>517.67064243465666</v>
      </c>
    </row>
    <row r="43" spans="2:10" x14ac:dyDescent="0.2">
      <c r="B43" s="463"/>
      <c r="C43" s="466"/>
      <c r="D43" s="128" t="s">
        <v>197</v>
      </c>
      <c r="E43" s="129">
        <v>46.734779955506326</v>
      </c>
      <c r="F43" s="130">
        <v>3.5510000610351562</v>
      </c>
      <c r="G43" s="130">
        <v>3.5380001068115237E-2</v>
      </c>
      <c r="H43" s="130">
        <v>134.95540076978506</v>
      </c>
      <c r="I43" s="130">
        <v>0</v>
      </c>
      <c r="J43" s="131">
        <f t="shared" si="0"/>
        <v>185.27656078739466</v>
      </c>
    </row>
    <row r="44" spans="2:10" x14ac:dyDescent="0.2">
      <c r="B44" s="463"/>
      <c r="C44" s="70" t="s">
        <v>205</v>
      </c>
      <c r="D44" s="119"/>
      <c r="E44" s="120">
        <f t="shared" ref="E44:J44" si="11">SUBTOTAL(9,E41:E43)</f>
        <v>236.87161820967495</v>
      </c>
      <c r="F44" s="120">
        <f t="shared" si="11"/>
        <v>297.21716388115289</v>
      </c>
      <c r="G44" s="120">
        <f t="shared" si="11"/>
        <v>87.629219736754905</v>
      </c>
      <c r="H44" s="120">
        <f t="shared" si="11"/>
        <v>172.47563090579212</v>
      </c>
      <c r="I44" s="120">
        <f t="shared" si="11"/>
        <v>0</v>
      </c>
      <c r="J44" s="121">
        <f t="shared" si="11"/>
        <v>794.1936327333749</v>
      </c>
    </row>
    <row r="45" spans="2:10" x14ac:dyDescent="0.2">
      <c r="B45" s="463"/>
      <c r="C45" s="467" t="s">
        <v>199</v>
      </c>
      <c r="D45" s="122" t="s">
        <v>195</v>
      </c>
      <c r="E45" s="123">
        <v>211.43463022851944</v>
      </c>
      <c r="F45" s="124">
        <v>67.470810248851777</v>
      </c>
      <c r="G45" s="124">
        <v>25.039239898290486</v>
      </c>
      <c r="H45" s="124">
        <v>360.66097804656624</v>
      </c>
      <c r="I45" s="124">
        <v>270.83909141409396</v>
      </c>
      <c r="J45" s="117">
        <f t="shared" si="0"/>
        <v>935.44474983632176</v>
      </c>
    </row>
    <row r="46" spans="2:10" x14ac:dyDescent="0.2">
      <c r="B46" s="463"/>
      <c r="C46" s="467"/>
      <c r="D46" s="122" t="s">
        <v>196</v>
      </c>
      <c r="E46" s="123">
        <v>152.73379977322369</v>
      </c>
      <c r="F46" s="124">
        <v>243.60704985893517</v>
      </c>
      <c r="G46" s="124">
        <v>326.66847136080264</v>
      </c>
      <c r="H46" s="124">
        <v>687.50892046093941</v>
      </c>
      <c r="I46" s="124">
        <v>768.57460959616117</v>
      </c>
      <c r="J46" s="117">
        <f t="shared" si="0"/>
        <v>2179.0928510500621</v>
      </c>
    </row>
    <row r="47" spans="2:10" x14ac:dyDescent="0.2">
      <c r="B47" s="463"/>
      <c r="C47" s="467"/>
      <c r="D47" s="122" t="s">
        <v>197</v>
      </c>
      <c r="E47" s="123">
        <v>30.068769635871053</v>
      </c>
      <c r="F47" s="124">
        <v>2.5795099651217459</v>
      </c>
      <c r="G47" s="124">
        <v>0.7365000008903444</v>
      </c>
      <c r="H47" s="124">
        <v>6.5976898812837899</v>
      </c>
      <c r="I47" s="124">
        <v>14.057689642176031</v>
      </c>
      <c r="J47" s="117">
        <f t="shared" si="0"/>
        <v>54.040159125342967</v>
      </c>
    </row>
    <row r="48" spans="2:10" x14ac:dyDescent="0.2">
      <c r="B48" s="463"/>
      <c r="C48" s="66" t="s">
        <v>200</v>
      </c>
      <c r="D48" s="119"/>
      <c r="E48" s="120">
        <f t="shared" ref="E48:J48" si="12">SUBTOTAL(9,E45:E47)</f>
        <v>394.23719963761414</v>
      </c>
      <c r="F48" s="120">
        <f t="shared" si="12"/>
        <v>313.65737007290869</v>
      </c>
      <c r="G48" s="120">
        <f t="shared" si="12"/>
        <v>352.44421125998343</v>
      </c>
      <c r="H48" s="120">
        <f t="shared" si="12"/>
        <v>1054.7675883887894</v>
      </c>
      <c r="I48" s="120">
        <f t="shared" si="12"/>
        <v>1053.4713906524312</v>
      </c>
      <c r="J48" s="121">
        <f t="shared" si="12"/>
        <v>3168.5777600117272</v>
      </c>
    </row>
    <row r="49" spans="2:10" x14ac:dyDescent="0.2">
      <c r="B49" s="463"/>
      <c r="C49" s="474" t="s">
        <v>201</v>
      </c>
      <c r="D49" s="122" t="s">
        <v>195</v>
      </c>
      <c r="E49" s="123">
        <v>512.09389941406255</v>
      </c>
      <c r="F49" s="124">
        <v>909.18468359375004</v>
      </c>
      <c r="G49" s="124">
        <v>130.25456005859374</v>
      </c>
      <c r="H49" s="124">
        <v>175.42362048339845</v>
      </c>
      <c r="I49" s="124">
        <v>189.565</v>
      </c>
      <c r="J49" s="117">
        <f t="shared" si="0"/>
        <v>1916.521763549805</v>
      </c>
    </row>
    <row r="50" spans="2:10" x14ac:dyDescent="0.2">
      <c r="B50" s="463"/>
      <c r="C50" s="474"/>
      <c r="D50" s="122" t="s">
        <v>196</v>
      </c>
      <c r="E50" s="123">
        <v>0</v>
      </c>
      <c r="F50" s="124">
        <v>0</v>
      </c>
      <c r="G50" s="124">
        <v>0</v>
      </c>
      <c r="H50" s="124">
        <v>25.218900024414062</v>
      </c>
      <c r="I50" s="124">
        <v>280.53399999999999</v>
      </c>
      <c r="J50" s="117">
        <f t="shared" si="0"/>
        <v>305.75290002441403</v>
      </c>
    </row>
    <row r="51" spans="2:10" x14ac:dyDescent="0.2">
      <c r="B51" s="463"/>
      <c r="C51" s="474"/>
      <c r="D51" s="122" t="s">
        <v>197</v>
      </c>
      <c r="E51" s="123">
        <v>0</v>
      </c>
      <c r="F51" s="124">
        <v>0</v>
      </c>
      <c r="G51" s="124">
        <v>0</v>
      </c>
      <c r="H51" s="124">
        <v>0</v>
      </c>
      <c r="I51" s="124">
        <v>0</v>
      </c>
      <c r="J51" s="117">
        <f t="shared" si="0"/>
        <v>0</v>
      </c>
    </row>
    <row r="52" spans="2:10" x14ac:dyDescent="0.2">
      <c r="B52" s="463"/>
      <c r="C52" s="69" t="s">
        <v>202</v>
      </c>
      <c r="D52" s="119"/>
      <c r="E52" s="120">
        <f t="shared" ref="E52:J52" si="13">SUBTOTAL(9,E49:E51)</f>
        <v>512.09389941406255</v>
      </c>
      <c r="F52" s="120">
        <f t="shared" si="13"/>
        <v>909.18468359375004</v>
      </c>
      <c r="G52" s="120">
        <f t="shared" si="13"/>
        <v>130.25456005859374</v>
      </c>
      <c r="H52" s="120">
        <f t="shared" si="13"/>
        <v>200.64252050781252</v>
      </c>
      <c r="I52" s="120">
        <f t="shared" si="13"/>
        <v>470.09899999999999</v>
      </c>
      <c r="J52" s="121">
        <f t="shared" si="13"/>
        <v>2222.2746635742192</v>
      </c>
    </row>
    <row r="53" spans="2:10" x14ac:dyDescent="0.2">
      <c r="B53" s="463"/>
      <c r="C53" s="467" t="s">
        <v>203</v>
      </c>
      <c r="D53" s="122" t="s">
        <v>195</v>
      </c>
      <c r="E53" s="123">
        <v>18.422140012264251</v>
      </c>
      <c r="F53" s="124">
        <v>3.4771999511718752</v>
      </c>
      <c r="G53" s="124">
        <v>0</v>
      </c>
      <c r="H53" s="124">
        <v>1.0375400390625</v>
      </c>
      <c r="I53" s="124">
        <v>6.1197700195312503</v>
      </c>
      <c r="J53" s="117">
        <f t="shared" si="0"/>
        <v>29.056650022029878</v>
      </c>
    </row>
    <row r="54" spans="2:10" x14ac:dyDescent="0.2">
      <c r="B54" s="463"/>
      <c r="C54" s="467"/>
      <c r="D54" s="122" t="s">
        <v>196</v>
      </c>
      <c r="E54" s="123">
        <v>15.831407711505889</v>
      </c>
      <c r="F54" s="124">
        <v>10.634</v>
      </c>
      <c r="G54" s="124">
        <v>36.112349792480465</v>
      </c>
      <c r="H54" s="124">
        <v>0</v>
      </c>
      <c r="I54" s="124">
        <v>153.30516009521483</v>
      </c>
      <c r="J54" s="117">
        <f t="shared" si="0"/>
        <v>215.88291759920119</v>
      </c>
    </row>
    <row r="55" spans="2:10" x14ac:dyDescent="0.2">
      <c r="B55" s="463"/>
      <c r="C55" s="472"/>
      <c r="D55" s="132" t="s">
        <v>197</v>
      </c>
      <c r="E55" s="133">
        <v>0</v>
      </c>
      <c r="F55" s="134">
        <v>0</v>
      </c>
      <c r="G55" s="134">
        <v>0</v>
      </c>
      <c r="H55" s="134">
        <v>0</v>
      </c>
      <c r="I55" s="134">
        <v>0</v>
      </c>
      <c r="J55" s="135">
        <f t="shared" si="0"/>
        <v>0</v>
      </c>
    </row>
    <row r="56" spans="2:10" x14ac:dyDescent="0.2">
      <c r="B56" s="463"/>
      <c r="C56" s="66" t="s">
        <v>204</v>
      </c>
      <c r="D56" s="119"/>
      <c r="E56" s="124">
        <f t="shared" ref="E56:J56" si="14">SUBTOTAL(9,E53:E55)</f>
        <v>34.25354772377014</v>
      </c>
      <c r="F56" s="124">
        <f t="shared" si="14"/>
        <v>14.111199951171876</v>
      </c>
      <c r="G56" s="124">
        <f t="shared" si="14"/>
        <v>36.112349792480465</v>
      </c>
      <c r="H56" s="124">
        <f t="shared" si="14"/>
        <v>1.0375400390625</v>
      </c>
      <c r="I56" s="124">
        <f t="shared" si="14"/>
        <v>159.42493011474608</v>
      </c>
      <c r="J56" s="117">
        <f t="shared" si="14"/>
        <v>244.93956762123108</v>
      </c>
    </row>
    <row r="57" spans="2:10" ht="27" customHeight="1" x14ac:dyDescent="0.2">
      <c r="B57" s="33" t="s">
        <v>115</v>
      </c>
      <c r="C57" s="47"/>
      <c r="D57" s="136"/>
      <c r="E57" s="104">
        <f t="shared" ref="E57:J57" si="15">SUBTOTAL(9,E41:E55)</f>
        <v>1177.4562649851216</v>
      </c>
      <c r="F57" s="104">
        <f t="shared" si="15"/>
        <v>1534.1704174989834</v>
      </c>
      <c r="G57" s="104">
        <f t="shared" si="15"/>
        <v>606.44034084781254</v>
      </c>
      <c r="H57" s="104">
        <f t="shared" si="15"/>
        <v>1428.9232798414566</v>
      </c>
      <c r="I57" s="104">
        <f t="shared" si="15"/>
        <v>1682.9953207671774</v>
      </c>
      <c r="J57" s="127">
        <f t="shared" si="15"/>
        <v>6429.9856239405526</v>
      </c>
    </row>
    <row r="58" spans="2:10" x14ac:dyDescent="0.2">
      <c r="B58" s="462">
        <v>2005</v>
      </c>
      <c r="C58" s="465" t="s">
        <v>197</v>
      </c>
      <c r="D58" s="137" t="s">
        <v>195</v>
      </c>
      <c r="E58" s="138">
        <v>0</v>
      </c>
      <c r="F58" s="138">
        <v>0</v>
      </c>
      <c r="G58" s="138">
        <v>0</v>
      </c>
      <c r="H58" s="138">
        <f>38.099998474121/1000</f>
        <v>3.8099998474121002E-2</v>
      </c>
      <c r="I58" s="139">
        <v>0</v>
      </c>
      <c r="J58" s="131">
        <f>SUM(E58:I58)</f>
        <v>3.8099998474121002E-2</v>
      </c>
    </row>
    <row r="59" spans="2:10" x14ac:dyDescent="0.2">
      <c r="B59" s="463"/>
      <c r="C59" s="466"/>
      <c r="D59" s="140" t="s">
        <v>196</v>
      </c>
      <c r="E59" s="138">
        <v>0</v>
      </c>
      <c r="F59" s="138">
        <v>0</v>
      </c>
      <c r="G59" s="138">
        <v>0</v>
      </c>
      <c r="H59" s="138">
        <f>1024.27000761032/1000</f>
        <v>1.0242700076103199</v>
      </c>
      <c r="I59" s="138">
        <v>0</v>
      </c>
      <c r="J59" s="131">
        <f>SUM(E59:I59)</f>
        <v>1.0242700076103199</v>
      </c>
    </row>
    <row r="60" spans="2:10" x14ac:dyDescent="0.2">
      <c r="B60" s="463"/>
      <c r="C60" s="466"/>
      <c r="D60" s="141" t="s">
        <v>197</v>
      </c>
      <c r="E60" s="138">
        <v>0</v>
      </c>
      <c r="F60" s="138">
        <v>0</v>
      </c>
      <c r="G60" s="138">
        <v>0</v>
      </c>
      <c r="H60" s="138">
        <f>100775.369399115/1000</f>
        <v>100.77536939911501</v>
      </c>
      <c r="I60" s="138">
        <v>0</v>
      </c>
      <c r="J60" s="131">
        <f>SUM(E60:I60)</f>
        <v>100.77536939911501</v>
      </c>
    </row>
    <row r="61" spans="2:10" x14ac:dyDescent="0.2">
      <c r="B61" s="463"/>
      <c r="C61" s="70" t="s">
        <v>205</v>
      </c>
      <c r="D61" s="119"/>
      <c r="E61" s="120">
        <f t="shared" ref="E61:J61" si="16">SUBTOTAL(9,E58:E60)</f>
        <v>0</v>
      </c>
      <c r="F61" s="120">
        <f t="shared" si="16"/>
        <v>0</v>
      </c>
      <c r="G61" s="120">
        <f t="shared" si="16"/>
        <v>0</v>
      </c>
      <c r="H61" s="120">
        <f t="shared" si="16"/>
        <v>101.83773940519944</v>
      </c>
      <c r="I61" s="120">
        <f t="shared" si="16"/>
        <v>0</v>
      </c>
      <c r="J61" s="121">
        <f t="shared" si="16"/>
        <v>101.83773940519944</v>
      </c>
    </row>
    <row r="62" spans="2:10" x14ac:dyDescent="0.2">
      <c r="B62" s="463"/>
      <c r="C62" s="467" t="s">
        <v>199</v>
      </c>
      <c r="D62" s="113" t="s">
        <v>195</v>
      </c>
      <c r="E62" s="142">
        <f>458639.230384126/1000</f>
        <v>458.63923038412599</v>
      </c>
      <c r="F62" s="142">
        <f>546281.293993711/1000</f>
        <v>546.28129399371096</v>
      </c>
      <c r="G62" s="142">
        <f>13674.2922925464/1000</f>
        <v>13.674292292546401</v>
      </c>
      <c r="H62" s="142">
        <f>431292.297761768/1000</f>
        <v>431.292297761768</v>
      </c>
      <c r="I62" s="142">
        <f>198652.591249108/1000</f>
        <v>198.65259124910799</v>
      </c>
      <c r="J62" s="115">
        <f>SUM(E62:I62)</f>
        <v>1648.5397056812592</v>
      </c>
    </row>
    <row r="63" spans="2:10" x14ac:dyDescent="0.2">
      <c r="B63" s="463"/>
      <c r="C63" s="467"/>
      <c r="D63" s="116" t="s">
        <v>196</v>
      </c>
      <c r="E63" s="142">
        <f>318512.428315222/1000</f>
        <v>318.512428315222</v>
      </c>
      <c r="F63" s="142">
        <f>490582.787241012/1000</f>
        <v>490.582787241012</v>
      </c>
      <c r="G63" s="142">
        <f>333910.641129553/1000</f>
        <v>333.91064112955303</v>
      </c>
      <c r="H63" s="142">
        <f>1006068.46176085/1000</f>
        <v>1006.06846176085</v>
      </c>
      <c r="I63" s="142">
        <f>690141.728089776/1000</f>
        <v>690.14172808977605</v>
      </c>
      <c r="J63" s="117">
        <f>SUM(E63:I63)</f>
        <v>2839.2160465364132</v>
      </c>
    </row>
    <row r="64" spans="2:10" x14ac:dyDescent="0.2">
      <c r="B64" s="463"/>
      <c r="C64" s="467"/>
      <c r="D64" s="118" t="s">
        <v>197</v>
      </c>
      <c r="E64" s="142">
        <f>10964.8799701035/1000</f>
        <v>10.9648799701035</v>
      </c>
      <c r="F64" s="142">
        <f>3565.52001225948/1000</f>
        <v>3.5655200122594803</v>
      </c>
      <c r="G64" s="142">
        <f>2167.67002743482/1000</f>
        <v>2.16767002743482</v>
      </c>
      <c r="H64" s="142">
        <f>12018.9405796974/1000</f>
        <v>12.0189405796974</v>
      </c>
      <c r="I64" s="142">
        <f>85.8600006103515/1000</f>
        <v>8.5860000610351511E-2</v>
      </c>
      <c r="J64" s="135">
        <f>SUM(E64:I64)</f>
        <v>28.802870590105552</v>
      </c>
    </row>
    <row r="65" spans="2:10" x14ac:dyDescent="0.2">
      <c r="B65" s="463"/>
      <c r="C65" s="66" t="s">
        <v>200</v>
      </c>
      <c r="D65" s="119"/>
      <c r="E65" s="120">
        <f t="shared" ref="E65:J65" si="17">SUBTOTAL(9,E62:E64)</f>
        <v>788.11653866945153</v>
      </c>
      <c r="F65" s="120">
        <f t="shared" si="17"/>
        <v>1040.4296012469824</v>
      </c>
      <c r="G65" s="120">
        <f t="shared" si="17"/>
        <v>349.75260344953426</v>
      </c>
      <c r="H65" s="120">
        <f t="shared" si="17"/>
        <v>1449.3797001023154</v>
      </c>
      <c r="I65" s="120">
        <f t="shared" si="17"/>
        <v>888.88017933949436</v>
      </c>
      <c r="J65" s="121">
        <f t="shared" si="17"/>
        <v>4516.5586228077773</v>
      </c>
    </row>
    <row r="66" spans="2:10" x14ac:dyDescent="0.2">
      <c r="B66" s="463"/>
      <c r="C66" s="468" t="s">
        <v>201</v>
      </c>
      <c r="D66" s="113" t="s">
        <v>195</v>
      </c>
      <c r="E66" s="142">
        <f>344538/1000</f>
        <v>344.53800000000001</v>
      </c>
      <c r="F66" s="142">
        <f>587116.751953125/1000</f>
        <v>587.116751953125</v>
      </c>
      <c r="G66" s="142">
        <f>120089.033447266/1000</f>
        <v>120.089033447266</v>
      </c>
      <c r="H66" s="142">
        <f>174293.253417969/1000</f>
        <v>174.293253417969</v>
      </c>
      <c r="I66" s="142">
        <f>233886.899999976/1000</f>
        <v>233.88689999997601</v>
      </c>
      <c r="J66" s="117">
        <f>SUM(E66:I66)</f>
        <v>1459.9239388183362</v>
      </c>
    </row>
    <row r="67" spans="2:10" x14ac:dyDescent="0.2">
      <c r="B67" s="463"/>
      <c r="C67" s="468"/>
      <c r="D67" s="116" t="s">
        <v>196</v>
      </c>
      <c r="E67" s="142">
        <v>0</v>
      </c>
      <c r="F67" s="142">
        <v>0</v>
      </c>
      <c r="G67" s="142">
        <f>32794/1000</f>
        <v>32.793999999999997</v>
      </c>
      <c r="H67" s="142">
        <f>60666.66796875/1000</f>
        <v>60.666667968749998</v>
      </c>
      <c r="I67" s="142">
        <f>186.739997863769/1000</f>
        <v>0.18673999786376899</v>
      </c>
      <c r="J67" s="117">
        <f>SUM(E67:I67)</f>
        <v>93.647407966613756</v>
      </c>
    </row>
    <row r="68" spans="2:10" x14ac:dyDescent="0.2">
      <c r="B68" s="463"/>
      <c r="C68" s="468"/>
      <c r="D68" s="118" t="s">
        <v>197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17">
        <f>SUM(E68:I68)</f>
        <v>0</v>
      </c>
    </row>
    <row r="69" spans="2:10" x14ac:dyDescent="0.2">
      <c r="B69" s="463"/>
      <c r="C69" s="69" t="s">
        <v>202</v>
      </c>
      <c r="D69" s="119"/>
      <c r="E69" s="120">
        <f t="shared" ref="E69:J69" si="18">SUBTOTAL(9,E66:E68)</f>
        <v>344.53800000000001</v>
      </c>
      <c r="F69" s="120">
        <f t="shared" si="18"/>
        <v>587.116751953125</v>
      </c>
      <c r="G69" s="120">
        <f t="shared" si="18"/>
        <v>152.883033447266</v>
      </c>
      <c r="H69" s="120">
        <f t="shared" si="18"/>
        <v>234.959921386719</v>
      </c>
      <c r="I69" s="120">
        <f t="shared" si="18"/>
        <v>234.07363999783979</v>
      </c>
      <c r="J69" s="121">
        <f t="shared" si="18"/>
        <v>1553.57134678495</v>
      </c>
    </row>
    <row r="70" spans="2:10" x14ac:dyDescent="0.2">
      <c r="B70" s="463"/>
      <c r="C70" s="469" t="s">
        <v>203</v>
      </c>
      <c r="D70" s="113" t="s">
        <v>195</v>
      </c>
      <c r="E70" s="142">
        <f>17849.2101026773/1000</f>
        <v>17.849210102677301</v>
      </c>
      <c r="F70" s="142">
        <f>47424.75/1000</f>
        <v>47.424750000000003</v>
      </c>
      <c r="G70" s="142">
        <v>0</v>
      </c>
      <c r="H70" s="142">
        <v>0</v>
      </c>
      <c r="I70" s="142">
        <f>4197.33999633789/1000</f>
        <v>4.1973399963378899</v>
      </c>
      <c r="J70" s="117">
        <f>SUM(E70:I70)</f>
        <v>69.471300099015195</v>
      </c>
    </row>
    <row r="71" spans="2:10" x14ac:dyDescent="0.2">
      <c r="B71" s="463"/>
      <c r="C71" s="469"/>
      <c r="D71" s="116" t="s">
        <v>196</v>
      </c>
      <c r="E71" s="142">
        <f>17092.2772343158/1000</f>
        <v>17.092277234315798</v>
      </c>
      <c r="F71" s="142">
        <v>12.692</v>
      </c>
      <c r="G71" s="142">
        <f>17237.5234375/1000</f>
        <v>17.237523437499998</v>
      </c>
      <c r="H71" s="142">
        <v>0</v>
      </c>
      <c r="I71" s="142">
        <f>478482.980224609/1000</f>
        <v>478.48298022460904</v>
      </c>
      <c r="J71" s="117">
        <f>SUM(E71:I71)</f>
        <v>525.50478089642479</v>
      </c>
    </row>
    <row r="72" spans="2:10" x14ac:dyDescent="0.2">
      <c r="B72" s="463"/>
      <c r="C72" s="470"/>
      <c r="D72" s="118" t="s">
        <v>197</v>
      </c>
      <c r="E72" s="142">
        <v>0</v>
      </c>
      <c r="F72" s="142">
        <v>0.315</v>
      </c>
      <c r="G72" s="142">
        <v>0</v>
      </c>
      <c r="H72" s="142">
        <v>0</v>
      </c>
      <c r="I72" s="142">
        <v>0</v>
      </c>
      <c r="J72" s="135">
        <f>SUM(E72:I72)</f>
        <v>0.315</v>
      </c>
    </row>
    <row r="73" spans="2:10" x14ac:dyDescent="0.2">
      <c r="B73" s="464"/>
      <c r="C73" s="66" t="s">
        <v>204</v>
      </c>
      <c r="D73" s="119"/>
      <c r="E73" s="120">
        <f t="shared" ref="E73:J73" si="19">SUBTOTAL(9,E70:E72)</f>
        <v>34.941487336993099</v>
      </c>
      <c r="F73" s="120">
        <f t="shared" si="19"/>
        <v>60.431750000000001</v>
      </c>
      <c r="G73" s="120">
        <f t="shared" si="19"/>
        <v>17.237523437499998</v>
      </c>
      <c r="H73" s="120">
        <f t="shared" si="19"/>
        <v>0</v>
      </c>
      <c r="I73" s="120">
        <f t="shared" si="19"/>
        <v>482.68032022094695</v>
      </c>
      <c r="J73" s="121">
        <f t="shared" si="19"/>
        <v>595.2910809954401</v>
      </c>
    </row>
    <row r="74" spans="2:10" ht="25.5" customHeight="1" x14ac:dyDescent="0.2">
      <c r="B74" s="33" t="s">
        <v>116</v>
      </c>
      <c r="C74" s="47"/>
      <c r="D74" s="136"/>
      <c r="E74" s="104">
        <f t="shared" ref="E74:J74" si="20">SUBTOTAL(9,E58:E72)</f>
        <v>1167.5960260064446</v>
      </c>
      <c r="F74" s="104">
        <f t="shared" si="20"/>
        <v>1687.9781032001074</v>
      </c>
      <c r="G74" s="104">
        <f t="shared" si="20"/>
        <v>519.87316033430022</v>
      </c>
      <c r="H74" s="104">
        <f t="shared" si="20"/>
        <v>1786.177360894234</v>
      </c>
      <c r="I74" s="104">
        <f t="shared" si="20"/>
        <v>1605.634139558281</v>
      </c>
      <c r="J74" s="127">
        <f t="shared" si="20"/>
        <v>6767.258789993366</v>
      </c>
    </row>
    <row r="75" spans="2:10" x14ac:dyDescent="0.2">
      <c r="B75" s="462">
        <v>2006</v>
      </c>
      <c r="C75" s="465" t="s">
        <v>197</v>
      </c>
      <c r="D75" s="137" t="s">
        <v>195</v>
      </c>
      <c r="E75" s="143">
        <v>0</v>
      </c>
      <c r="F75" s="143">
        <v>0</v>
      </c>
      <c r="G75" s="143">
        <v>0</v>
      </c>
      <c r="H75" s="144">
        <v>5.5840001106262201E-2</v>
      </c>
      <c r="I75" s="143">
        <v>0</v>
      </c>
      <c r="J75" s="131">
        <f>SUM(E75:I75)</f>
        <v>5.5840001106262201E-2</v>
      </c>
    </row>
    <row r="76" spans="2:10" x14ac:dyDescent="0.2">
      <c r="B76" s="463"/>
      <c r="C76" s="466"/>
      <c r="D76" s="140" t="s">
        <v>196</v>
      </c>
      <c r="E76" s="143">
        <v>0</v>
      </c>
      <c r="F76" s="143">
        <v>0</v>
      </c>
      <c r="G76" s="143">
        <v>0</v>
      </c>
      <c r="H76" s="144">
        <v>4.4230001211166298E-2</v>
      </c>
      <c r="I76" s="143">
        <v>0</v>
      </c>
      <c r="J76" s="131">
        <f>SUM(E76:I76)</f>
        <v>4.4230001211166298E-2</v>
      </c>
    </row>
    <row r="77" spans="2:10" x14ac:dyDescent="0.2">
      <c r="B77" s="463"/>
      <c r="C77" s="466"/>
      <c r="D77" s="141" t="s">
        <v>197</v>
      </c>
      <c r="E77" s="143">
        <v>0</v>
      </c>
      <c r="F77" s="143">
        <v>0</v>
      </c>
      <c r="G77" s="143">
        <v>0</v>
      </c>
      <c r="H77" s="143">
        <v>108.68696993243699</v>
      </c>
      <c r="I77" s="143">
        <v>0</v>
      </c>
      <c r="J77" s="131">
        <f>SUM(E77:I77)</f>
        <v>108.68696993243699</v>
      </c>
    </row>
    <row r="78" spans="2:10" x14ac:dyDescent="0.2">
      <c r="B78" s="463"/>
      <c r="C78" s="70" t="s">
        <v>205</v>
      </c>
      <c r="D78" s="119"/>
      <c r="E78" s="120">
        <f t="shared" ref="E78:J78" si="21">SUBTOTAL(9,E75:E77)</f>
        <v>0</v>
      </c>
      <c r="F78" s="120">
        <f t="shared" si="21"/>
        <v>0</v>
      </c>
      <c r="G78" s="120">
        <f t="shared" si="21"/>
        <v>0</v>
      </c>
      <c r="H78" s="120">
        <f t="shared" si="21"/>
        <v>108.78703993475442</v>
      </c>
      <c r="I78" s="120">
        <f t="shared" si="21"/>
        <v>0</v>
      </c>
      <c r="J78" s="121">
        <f t="shared" si="21"/>
        <v>108.78703993475442</v>
      </c>
    </row>
    <row r="79" spans="2:10" x14ac:dyDescent="0.2">
      <c r="B79" s="463"/>
      <c r="C79" s="467" t="s">
        <v>199</v>
      </c>
      <c r="D79" s="113" t="s">
        <v>195</v>
      </c>
      <c r="E79" s="145">
        <v>261.766949647903</v>
      </c>
      <c r="F79" s="146">
        <v>444.58153353547999</v>
      </c>
      <c r="G79" s="146">
        <v>26.0506700037717</v>
      </c>
      <c r="H79" s="146">
        <v>311.24789371007699</v>
      </c>
      <c r="I79" s="146">
        <v>213.66939018303199</v>
      </c>
      <c r="J79" s="115">
        <f>SUM(E79:I79)</f>
        <v>1257.3164370802638</v>
      </c>
    </row>
    <row r="80" spans="2:10" x14ac:dyDescent="0.2">
      <c r="B80" s="463"/>
      <c r="C80" s="467"/>
      <c r="D80" s="116" t="s">
        <v>196</v>
      </c>
      <c r="E80" s="147">
        <v>347.891767924801</v>
      </c>
      <c r="F80" s="114">
        <v>889.77927776193599</v>
      </c>
      <c r="G80" s="114">
        <v>361.64991833360102</v>
      </c>
      <c r="H80" s="114">
        <v>739.55407012639205</v>
      </c>
      <c r="I80" s="114">
        <v>776.61552939172805</v>
      </c>
      <c r="J80" s="117">
        <f>SUM(E80:I80)</f>
        <v>3115.4905635384584</v>
      </c>
    </row>
    <row r="81" spans="2:10" x14ac:dyDescent="0.2">
      <c r="B81" s="463"/>
      <c r="C81" s="467"/>
      <c r="D81" s="118" t="s">
        <v>197</v>
      </c>
      <c r="E81" s="148">
        <v>3.7446800270080498</v>
      </c>
      <c r="F81" s="149">
        <v>2.3016399841308499</v>
      </c>
      <c r="G81" s="150">
        <v>0.13119100105762399</v>
      </c>
      <c r="H81" s="149">
        <v>0</v>
      </c>
      <c r="I81" s="149">
        <v>0</v>
      </c>
      <c r="J81" s="135">
        <f>SUM(E81:I81)</f>
        <v>6.1775110121965229</v>
      </c>
    </row>
    <row r="82" spans="2:10" x14ac:dyDescent="0.2">
      <c r="B82" s="463"/>
      <c r="C82" s="66" t="s">
        <v>200</v>
      </c>
      <c r="D82" s="119"/>
      <c r="E82" s="120">
        <f t="shared" ref="E82:J82" si="22">SUBTOTAL(9,E79:E81)</f>
        <v>613.40339759971209</v>
      </c>
      <c r="F82" s="120">
        <f t="shared" si="22"/>
        <v>1336.6624512815467</v>
      </c>
      <c r="G82" s="120">
        <f t="shared" si="22"/>
        <v>387.83177933843035</v>
      </c>
      <c r="H82" s="120">
        <f t="shared" si="22"/>
        <v>1050.801963836469</v>
      </c>
      <c r="I82" s="120">
        <f t="shared" si="22"/>
        <v>990.28491957476001</v>
      </c>
      <c r="J82" s="121">
        <f t="shared" si="22"/>
        <v>4378.9845116309189</v>
      </c>
    </row>
    <row r="83" spans="2:10" x14ac:dyDescent="0.2">
      <c r="B83" s="463"/>
      <c r="C83" s="468" t="s">
        <v>201</v>
      </c>
      <c r="D83" s="113" t="s">
        <v>195</v>
      </c>
      <c r="E83" s="145">
        <v>531.66200000000003</v>
      </c>
      <c r="F83" s="146">
        <v>386.22934765625001</v>
      </c>
      <c r="G83" s="146">
        <v>164.635913503647</v>
      </c>
      <c r="H83" s="146">
        <v>328.59215173244502</v>
      </c>
      <c r="I83" s="151">
        <v>265.76900000000001</v>
      </c>
      <c r="J83" s="117">
        <f>SUM(E83:I83)</f>
        <v>1676.8884128923421</v>
      </c>
    </row>
    <row r="84" spans="2:10" x14ac:dyDescent="0.2">
      <c r="B84" s="463"/>
      <c r="C84" s="468"/>
      <c r="D84" s="116" t="s">
        <v>196</v>
      </c>
      <c r="E84" s="147">
        <v>10.926</v>
      </c>
      <c r="F84" s="114">
        <v>104.072</v>
      </c>
      <c r="G84" s="114">
        <v>73.27</v>
      </c>
      <c r="H84" s="114">
        <v>6.1681999144554096</v>
      </c>
      <c r="I84" s="152">
        <v>0</v>
      </c>
      <c r="J84" s="117">
        <f>SUM(E84:I84)</f>
        <v>194.43619991445541</v>
      </c>
    </row>
    <row r="85" spans="2:10" x14ac:dyDescent="0.2">
      <c r="B85" s="463"/>
      <c r="C85" s="468"/>
      <c r="D85" s="118" t="s">
        <v>197</v>
      </c>
      <c r="E85" s="148">
        <v>0</v>
      </c>
      <c r="F85" s="149">
        <v>0</v>
      </c>
      <c r="G85" s="149">
        <v>0</v>
      </c>
      <c r="H85" s="149">
        <v>0</v>
      </c>
      <c r="I85" s="153">
        <v>0</v>
      </c>
      <c r="J85" s="117">
        <f>SUM(E85:I85)</f>
        <v>0</v>
      </c>
    </row>
    <row r="86" spans="2:10" x14ac:dyDescent="0.2">
      <c r="B86" s="463"/>
      <c r="C86" s="69" t="s">
        <v>202</v>
      </c>
      <c r="D86" s="119"/>
      <c r="E86" s="120">
        <f t="shared" ref="E86:J86" si="23">SUBTOTAL(9,E83:E85)</f>
        <v>542.58800000000008</v>
      </c>
      <c r="F86" s="120">
        <f t="shared" si="23"/>
        <v>490.30134765625002</v>
      </c>
      <c r="G86" s="120">
        <f t="shared" si="23"/>
        <v>237.90591350364701</v>
      </c>
      <c r="H86" s="120">
        <f t="shared" si="23"/>
        <v>334.7603516469004</v>
      </c>
      <c r="I86" s="120">
        <f t="shared" si="23"/>
        <v>265.76900000000001</v>
      </c>
      <c r="J86" s="121">
        <f t="shared" si="23"/>
        <v>1871.3246128067976</v>
      </c>
    </row>
    <row r="87" spans="2:10" x14ac:dyDescent="0.2">
      <c r="B87" s="463"/>
      <c r="C87" s="469" t="s">
        <v>203</v>
      </c>
      <c r="D87" s="113" t="s">
        <v>195</v>
      </c>
      <c r="E87" s="114">
        <v>0.60419005584716701</v>
      </c>
      <c r="F87" s="114">
        <v>15.352</v>
      </c>
      <c r="G87" s="114">
        <v>0</v>
      </c>
      <c r="H87" s="114">
        <v>0</v>
      </c>
      <c r="I87" s="154">
        <v>0.39890000152587801</v>
      </c>
      <c r="J87" s="117">
        <f>SUM(E87:I87)</f>
        <v>16.355090057373047</v>
      </c>
    </row>
    <row r="88" spans="2:10" x14ac:dyDescent="0.2">
      <c r="B88" s="463"/>
      <c r="C88" s="469"/>
      <c r="D88" s="116" t="s">
        <v>196</v>
      </c>
      <c r="E88" s="114">
        <v>23.1160521011352</v>
      </c>
      <c r="F88" s="114">
        <v>13.7692299852371</v>
      </c>
      <c r="G88" s="114">
        <v>13.988939941406199</v>
      </c>
      <c r="H88" s="114">
        <v>0</v>
      </c>
      <c r="I88" s="114">
        <v>549.60936962890605</v>
      </c>
      <c r="J88" s="117">
        <f>SUM(E88:I88)</f>
        <v>600.48359165668455</v>
      </c>
    </row>
    <row r="89" spans="2:10" x14ac:dyDescent="0.2">
      <c r="B89" s="463"/>
      <c r="C89" s="470"/>
      <c r="D89" s="118" t="s">
        <v>197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35">
        <f>SUM(E89:I89)</f>
        <v>0</v>
      </c>
    </row>
    <row r="90" spans="2:10" x14ac:dyDescent="0.2">
      <c r="B90" s="464"/>
      <c r="C90" s="66" t="s">
        <v>204</v>
      </c>
      <c r="D90" s="119"/>
      <c r="E90" s="120">
        <f t="shared" ref="E90:J90" si="24">SUBTOTAL(9,E87:E89)</f>
        <v>23.720242156982366</v>
      </c>
      <c r="F90" s="120">
        <f t="shared" si="24"/>
        <v>29.1212299852371</v>
      </c>
      <c r="G90" s="120">
        <f t="shared" si="24"/>
        <v>13.988939941406199</v>
      </c>
      <c r="H90" s="120">
        <f t="shared" si="24"/>
        <v>0</v>
      </c>
      <c r="I90" s="120">
        <f t="shared" si="24"/>
        <v>550.00826963043198</v>
      </c>
      <c r="J90" s="121">
        <f t="shared" si="24"/>
        <v>616.83868171405766</v>
      </c>
    </row>
    <row r="91" spans="2:10" ht="27.75" customHeight="1" x14ac:dyDescent="0.2">
      <c r="B91" s="33" t="s">
        <v>117</v>
      </c>
      <c r="C91" s="47"/>
      <c r="D91" s="136"/>
      <c r="E91" s="104">
        <f t="shared" ref="E91:J91" si="25">SUBTOTAL(9,E75:E89)</f>
        <v>1179.7116397566942</v>
      </c>
      <c r="F91" s="104">
        <f t="shared" si="25"/>
        <v>1856.0850289230339</v>
      </c>
      <c r="G91" s="104">
        <f t="shared" si="25"/>
        <v>639.72663278348352</v>
      </c>
      <c r="H91" s="104">
        <f t="shared" si="25"/>
        <v>1494.3493554181239</v>
      </c>
      <c r="I91" s="104">
        <f t="shared" si="25"/>
        <v>1806.062189205192</v>
      </c>
      <c r="J91" s="127">
        <f t="shared" si="25"/>
        <v>6975.9348460865276</v>
      </c>
    </row>
    <row r="92" spans="2:10" x14ac:dyDescent="0.2">
      <c r="B92" s="462">
        <v>2007</v>
      </c>
      <c r="C92" s="465" t="s">
        <v>197</v>
      </c>
      <c r="D92" s="137" t="s">
        <v>195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31">
        <f>SUM(E92:I92)</f>
        <v>0</v>
      </c>
    </row>
    <row r="93" spans="2:10" x14ac:dyDescent="0.2">
      <c r="B93" s="463"/>
      <c r="C93" s="466"/>
      <c r="D93" s="140" t="s">
        <v>196</v>
      </c>
      <c r="E93" s="143">
        <v>0</v>
      </c>
      <c r="F93" s="143">
        <v>0</v>
      </c>
      <c r="G93" s="143">
        <v>0</v>
      </c>
      <c r="H93" s="143">
        <v>0</v>
      </c>
      <c r="I93" s="143">
        <v>0</v>
      </c>
      <c r="J93" s="131">
        <f t="shared" ref="J93:J106" si="26">SUM(E93:I93)</f>
        <v>0</v>
      </c>
    </row>
    <row r="94" spans="2:10" x14ac:dyDescent="0.2">
      <c r="B94" s="463"/>
      <c r="C94" s="466"/>
      <c r="D94" s="141" t="s">
        <v>197</v>
      </c>
      <c r="E94" s="143">
        <v>0</v>
      </c>
      <c r="F94" s="143">
        <v>0</v>
      </c>
      <c r="G94" s="143">
        <v>0</v>
      </c>
      <c r="H94" s="143">
        <v>101.50768065742589</v>
      </c>
      <c r="I94" s="143">
        <v>0</v>
      </c>
      <c r="J94" s="131">
        <f t="shared" si="26"/>
        <v>101.50768065742589</v>
      </c>
    </row>
    <row r="95" spans="2:10" x14ac:dyDescent="0.2">
      <c r="B95" s="463"/>
      <c r="C95" s="70" t="s">
        <v>205</v>
      </c>
      <c r="D95" s="155"/>
      <c r="E95" s="120">
        <f t="shared" ref="E95:J95" si="27">SUM(E92:E94)</f>
        <v>0</v>
      </c>
      <c r="F95" s="120">
        <f t="shared" si="27"/>
        <v>0</v>
      </c>
      <c r="G95" s="120">
        <f t="shared" si="27"/>
        <v>0</v>
      </c>
      <c r="H95" s="120">
        <f t="shared" si="27"/>
        <v>101.50768065742589</v>
      </c>
      <c r="I95" s="120">
        <f t="shared" si="27"/>
        <v>0</v>
      </c>
      <c r="J95" s="121">
        <f t="shared" si="27"/>
        <v>101.50768065742589</v>
      </c>
    </row>
    <row r="96" spans="2:10" x14ac:dyDescent="0.2">
      <c r="B96" s="463"/>
      <c r="C96" s="467" t="s">
        <v>199</v>
      </c>
      <c r="D96" s="113" t="s">
        <v>195</v>
      </c>
      <c r="E96" s="114">
        <v>335.91796822077038</v>
      </c>
      <c r="F96" s="114">
        <v>506.89323247063157</v>
      </c>
      <c r="G96" s="114">
        <v>38.508299945294858</v>
      </c>
      <c r="H96" s="114">
        <v>144.80021642696857</v>
      </c>
      <c r="I96" s="114">
        <v>192.04117017805575</v>
      </c>
      <c r="J96" s="115">
        <f t="shared" si="26"/>
        <v>1218.1608872417212</v>
      </c>
    </row>
    <row r="97" spans="2:10" x14ac:dyDescent="0.2">
      <c r="B97" s="463"/>
      <c r="C97" s="467"/>
      <c r="D97" s="116" t="s">
        <v>196</v>
      </c>
      <c r="E97" s="114">
        <v>513.8941380335018</v>
      </c>
      <c r="F97" s="114">
        <v>696.00539083397393</v>
      </c>
      <c r="G97" s="114">
        <v>234.18433040203155</v>
      </c>
      <c r="H97" s="114">
        <v>684.42864853736762</v>
      </c>
      <c r="I97" s="114">
        <v>536.80243267548087</v>
      </c>
      <c r="J97" s="117">
        <f t="shared" si="26"/>
        <v>2665.3149404823557</v>
      </c>
    </row>
    <row r="98" spans="2:10" x14ac:dyDescent="0.2">
      <c r="B98" s="463"/>
      <c r="C98" s="467"/>
      <c r="D98" s="118" t="s">
        <v>197</v>
      </c>
      <c r="E98" s="114">
        <v>13.128370080646128</v>
      </c>
      <c r="F98" s="114">
        <v>3.1337200317382812</v>
      </c>
      <c r="G98" s="114">
        <v>0</v>
      </c>
      <c r="H98" s="114">
        <v>0</v>
      </c>
      <c r="I98" s="114">
        <v>0</v>
      </c>
      <c r="J98" s="135">
        <f t="shared" si="26"/>
        <v>16.26209011238441</v>
      </c>
    </row>
    <row r="99" spans="2:10" x14ac:dyDescent="0.2">
      <c r="B99" s="463"/>
      <c r="C99" s="66" t="s">
        <v>200</v>
      </c>
      <c r="D99" s="155"/>
      <c r="E99" s="120">
        <f t="shared" ref="E99:J99" si="28">SUM(E96:E98)</f>
        <v>862.94047633491834</v>
      </c>
      <c r="F99" s="120">
        <f t="shared" si="28"/>
        <v>1206.0323433363437</v>
      </c>
      <c r="G99" s="120">
        <f t="shared" si="28"/>
        <v>272.69263034732643</v>
      </c>
      <c r="H99" s="120">
        <f t="shared" si="28"/>
        <v>829.22886496433625</v>
      </c>
      <c r="I99" s="120">
        <f t="shared" si="28"/>
        <v>728.84360285353659</v>
      </c>
      <c r="J99" s="121">
        <f t="shared" si="28"/>
        <v>3899.7379178364617</v>
      </c>
    </row>
    <row r="100" spans="2:10" x14ac:dyDescent="0.2">
      <c r="B100" s="463"/>
      <c r="C100" s="468" t="s">
        <v>201</v>
      </c>
      <c r="D100" s="113" t="s">
        <v>195</v>
      </c>
      <c r="E100" s="114">
        <v>407.41899999999998</v>
      </c>
      <c r="F100" s="114">
        <v>267.20542006015779</v>
      </c>
      <c r="G100" s="114">
        <v>247.55408924961091</v>
      </c>
      <c r="H100" s="114">
        <v>442.92787499999997</v>
      </c>
      <c r="I100" s="114">
        <v>230.55600000000001</v>
      </c>
      <c r="J100" s="115">
        <f t="shared" si="26"/>
        <v>1595.6623843097686</v>
      </c>
    </row>
    <row r="101" spans="2:10" x14ac:dyDescent="0.2">
      <c r="B101" s="463"/>
      <c r="C101" s="468"/>
      <c r="D101" s="116" t="s">
        <v>196</v>
      </c>
      <c r="E101" s="114">
        <v>1.4830000000000001</v>
      </c>
      <c r="F101" s="114">
        <v>45.027000000000001</v>
      </c>
      <c r="G101" s="114">
        <v>46.905000000000001</v>
      </c>
      <c r="H101" s="114">
        <v>0</v>
      </c>
      <c r="I101" s="114">
        <v>0</v>
      </c>
      <c r="J101" s="117">
        <f t="shared" si="26"/>
        <v>93.414999999999992</v>
      </c>
    </row>
    <row r="102" spans="2:10" x14ac:dyDescent="0.2">
      <c r="B102" s="463"/>
      <c r="C102" s="468"/>
      <c r="D102" s="118" t="s">
        <v>197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35">
        <f t="shared" si="26"/>
        <v>0</v>
      </c>
    </row>
    <row r="103" spans="2:10" x14ac:dyDescent="0.2">
      <c r="B103" s="463"/>
      <c r="C103" s="69" t="s">
        <v>202</v>
      </c>
      <c r="D103" s="155"/>
      <c r="E103" s="120">
        <f t="shared" ref="E103:J103" si="29">SUM(E100:E102)</f>
        <v>408.90199999999999</v>
      </c>
      <c r="F103" s="120">
        <f t="shared" si="29"/>
        <v>312.23242006015778</v>
      </c>
      <c r="G103" s="120">
        <f t="shared" si="29"/>
        <v>294.45908924961088</v>
      </c>
      <c r="H103" s="120">
        <f t="shared" si="29"/>
        <v>442.92787499999997</v>
      </c>
      <c r="I103" s="120">
        <f t="shared" si="29"/>
        <v>230.55600000000001</v>
      </c>
      <c r="J103" s="121">
        <f t="shared" si="29"/>
        <v>1689.0773843097686</v>
      </c>
    </row>
    <row r="104" spans="2:10" x14ac:dyDescent="0.2">
      <c r="B104" s="463"/>
      <c r="C104" s="469" t="s">
        <v>203</v>
      </c>
      <c r="D104" s="113" t="s">
        <v>195</v>
      </c>
      <c r="E104" s="114">
        <v>0.33100000000000002</v>
      </c>
      <c r="F104" s="114">
        <v>0</v>
      </c>
      <c r="G104" s="114">
        <v>4.2350000000000003</v>
      </c>
      <c r="H104" s="114">
        <v>0</v>
      </c>
      <c r="I104" s="114">
        <v>0</v>
      </c>
      <c r="J104" s="115">
        <f t="shared" si="26"/>
        <v>4.5660000000000007</v>
      </c>
    </row>
    <row r="105" spans="2:10" x14ac:dyDescent="0.2">
      <c r="B105" s="463"/>
      <c r="C105" s="469"/>
      <c r="D105" s="116" t="s">
        <v>196</v>
      </c>
      <c r="E105" s="114">
        <v>7.3330000000000002</v>
      </c>
      <c r="F105" s="114">
        <v>13.606059997558594</v>
      </c>
      <c r="G105" s="114">
        <v>0</v>
      </c>
      <c r="H105" s="114">
        <v>0</v>
      </c>
      <c r="I105" s="114">
        <v>572.54046874999995</v>
      </c>
      <c r="J105" s="117">
        <f t="shared" si="26"/>
        <v>593.47952874755856</v>
      </c>
    </row>
    <row r="106" spans="2:10" x14ac:dyDescent="0.2">
      <c r="B106" s="463"/>
      <c r="C106" s="470"/>
      <c r="D106" s="118" t="s">
        <v>197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35">
        <f t="shared" si="26"/>
        <v>0</v>
      </c>
    </row>
    <row r="107" spans="2:10" x14ac:dyDescent="0.2">
      <c r="B107" s="464"/>
      <c r="C107" s="66" t="s">
        <v>204</v>
      </c>
      <c r="D107" s="155"/>
      <c r="E107" s="120">
        <f t="shared" ref="E107:J107" si="30">SUM(E104:E106)</f>
        <v>7.6640000000000006</v>
      </c>
      <c r="F107" s="120">
        <f t="shared" si="30"/>
        <v>13.606059997558594</v>
      </c>
      <c r="G107" s="120">
        <f t="shared" si="30"/>
        <v>4.2350000000000003</v>
      </c>
      <c r="H107" s="120">
        <f t="shared" si="30"/>
        <v>0</v>
      </c>
      <c r="I107" s="120">
        <f t="shared" si="30"/>
        <v>572.54046874999995</v>
      </c>
      <c r="J107" s="121">
        <f t="shared" si="30"/>
        <v>598.04552874755859</v>
      </c>
    </row>
    <row r="108" spans="2:10" ht="24.75" customHeight="1" x14ac:dyDescent="0.2">
      <c r="B108" s="33" t="s">
        <v>118</v>
      </c>
      <c r="C108" s="47"/>
      <c r="D108" s="136"/>
      <c r="E108" s="104">
        <f t="shared" ref="E108:J108" si="31">+E107+E103+E99+E95</f>
        <v>1279.5064763349183</v>
      </c>
      <c r="F108" s="104">
        <f t="shared" si="31"/>
        <v>1531.8708233940602</v>
      </c>
      <c r="G108" s="104">
        <f t="shared" si="31"/>
        <v>571.38671959693738</v>
      </c>
      <c r="H108" s="104">
        <f t="shared" si="31"/>
        <v>1373.6644206217622</v>
      </c>
      <c r="I108" s="104">
        <f t="shared" si="31"/>
        <v>1531.9400716035366</v>
      </c>
      <c r="J108" s="127">
        <f t="shared" si="31"/>
        <v>6288.3685115512153</v>
      </c>
    </row>
    <row r="109" spans="2:10" x14ac:dyDescent="0.2">
      <c r="B109" s="462">
        <v>2008</v>
      </c>
      <c r="C109" s="465" t="s">
        <v>197</v>
      </c>
      <c r="D109" s="137" t="s">
        <v>195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31">
        <f>SUM(E109:I109)</f>
        <v>0</v>
      </c>
    </row>
    <row r="110" spans="2:10" x14ac:dyDescent="0.2">
      <c r="B110" s="463"/>
      <c r="C110" s="466"/>
      <c r="D110" s="140" t="s">
        <v>196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31">
        <f>SUM(E110:I110)</f>
        <v>0</v>
      </c>
    </row>
    <row r="111" spans="2:10" x14ac:dyDescent="0.2">
      <c r="B111" s="463"/>
      <c r="C111" s="466"/>
      <c r="D111" s="141" t="s">
        <v>197</v>
      </c>
      <c r="E111" s="143">
        <v>0</v>
      </c>
      <c r="F111" s="143">
        <v>0</v>
      </c>
      <c r="G111" s="143">
        <v>0</v>
      </c>
      <c r="H111" s="143">
        <v>207.96570714610499</v>
      </c>
      <c r="I111" s="143">
        <v>0</v>
      </c>
      <c r="J111" s="131">
        <f>SUM(E111:I111)</f>
        <v>207.96570714610499</v>
      </c>
    </row>
    <row r="112" spans="2:10" x14ac:dyDescent="0.2">
      <c r="B112" s="463"/>
      <c r="C112" s="70" t="s">
        <v>205</v>
      </c>
      <c r="D112" s="155"/>
      <c r="E112" s="120">
        <f t="shared" ref="E112:J112" si="32">SUM(E109:E111)</f>
        <v>0</v>
      </c>
      <c r="F112" s="120">
        <f t="shared" si="32"/>
        <v>0</v>
      </c>
      <c r="G112" s="120">
        <f t="shared" si="32"/>
        <v>0</v>
      </c>
      <c r="H112" s="120">
        <f t="shared" si="32"/>
        <v>207.96570714610499</v>
      </c>
      <c r="I112" s="120">
        <f t="shared" si="32"/>
        <v>0</v>
      </c>
      <c r="J112" s="121">
        <f t="shared" si="32"/>
        <v>207.96570714610499</v>
      </c>
    </row>
    <row r="113" spans="2:10" x14ac:dyDescent="0.2">
      <c r="B113" s="463"/>
      <c r="C113" s="467" t="s">
        <v>199</v>
      </c>
      <c r="D113" s="113" t="s">
        <v>195</v>
      </c>
      <c r="E113" s="114">
        <v>87.786889973163596</v>
      </c>
      <c r="F113" s="114">
        <v>180.69821036300101</v>
      </c>
      <c r="G113" s="114">
        <v>43.127609941765598</v>
      </c>
      <c r="H113" s="114">
        <v>46.640380063652898</v>
      </c>
      <c r="I113" s="114">
        <v>112.26140983078599</v>
      </c>
      <c r="J113" s="115">
        <f>SUM(E113:I113)</f>
        <v>470.51450017236914</v>
      </c>
    </row>
    <row r="114" spans="2:10" x14ac:dyDescent="0.2">
      <c r="B114" s="463"/>
      <c r="C114" s="467"/>
      <c r="D114" s="116" t="s">
        <v>196</v>
      </c>
      <c r="E114" s="114">
        <v>221.138729813308</v>
      </c>
      <c r="F114" s="114">
        <v>489.34444937365498</v>
      </c>
      <c r="G114" s="114">
        <v>249.49568830411499</v>
      </c>
      <c r="H114" s="114">
        <v>689.29740982712406</v>
      </c>
      <c r="I114" s="114">
        <v>555.56538991266495</v>
      </c>
      <c r="J114" s="117">
        <f>SUM(E114:I114)</f>
        <v>2204.8416672308672</v>
      </c>
    </row>
    <row r="115" spans="2:10" x14ac:dyDescent="0.2">
      <c r="B115" s="463"/>
      <c r="C115" s="467"/>
      <c r="D115" s="118" t="s">
        <v>197</v>
      </c>
      <c r="E115" s="114">
        <v>18.270810046136301</v>
      </c>
      <c r="F115" s="114">
        <v>3.3167999420165999</v>
      </c>
      <c r="G115" s="156">
        <v>0</v>
      </c>
      <c r="H115" s="156">
        <v>0</v>
      </c>
      <c r="I115" s="156">
        <v>0</v>
      </c>
      <c r="J115" s="135">
        <f>SUM(E115:I115)</f>
        <v>21.587609988152902</v>
      </c>
    </row>
    <row r="116" spans="2:10" x14ac:dyDescent="0.2">
      <c r="B116" s="463"/>
      <c r="C116" s="66" t="s">
        <v>200</v>
      </c>
      <c r="D116" s="155"/>
      <c r="E116" s="120">
        <f t="shared" ref="E116:J116" si="33">SUM(E113:E115)</f>
        <v>327.19642983260792</v>
      </c>
      <c r="F116" s="120">
        <f t="shared" si="33"/>
        <v>673.35945967867258</v>
      </c>
      <c r="G116" s="120">
        <f t="shared" si="33"/>
        <v>292.62329824588062</v>
      </c>
      <c r="H116" s="120">
        <f t="shared" si="33"/>
        <v>735.93778989077691</v>
      </c>
      <c r="I116" s="120">
        <f t="shared" si="33"/>
        <v>667.82679974345092</v>
      </c>
      <c r="J116" s="121">
        <f t="shared" si="33"/>
        <v>2696.9437773913892</v>
      </c>
    </row>
    <row r="117" spans="2:10" x14ac:dyDescent="0.2">
      <c r="B117" s="463"/>
      <c r="C117" s="468" t="s">
        <v>201</v>
      </c>
      <c r="D117" s="113" t="s">
        <v>195</v>
      </c>
      <c r="E117" s="114">
        <v>154.15899999999999</v>
      </c>
      <c r="F117" s="114">
        <v>491.76875233614402</v>
      </c>
      <c r="G117" s="114">
        <v>415.85656152343699</v>
      </c>
      <c r="H117" s="114">
        <v>632.88618777465797</v>
      </c>
      <c r="I117" s="114">
        <v>168.97346997070301</v>
      </c>
      <c r="J117" s="115">
        <f>SUM(E117:I117)</f>
        <v>1863.643971604942</v>
      </c>
    </row>
    <row r="118" spans="2:10" x14ac:dyDescent="0.2">
      <c r="B118" s="463"/>
      <c r="C118" s="468"/>
      <c r="D118" s="116" t="s">
        <v>196</v>
      </c>
      <c r="E118" s="114">
        <v>1.946</v>
      </c>
      <c r="F118" s="114">
        <v>42.137</v>
      </c>
      <c r="G118" s="114">
        <v>0</v>
      </c>
      <c r="H118" s="114">
        <v>0</v>
      </c>
      <c r="I118" s="114">
        <v>11.134780029296801</v>
      </c>
      <c r="J118" s="117">
        <f>SUM(E118:I118)</f>
        <v>55.217780029296797</v>
      </c>
    </row>
    <row r="119" spans="2:10" x14ac:dyDescent="0.2">
      <c r="B119" s="463"/>
      <c r="C119" s="468"/>
      <c r="D119" s="118" t="s">
        <v>197</v>
      </c>
      <c r="E119" s="114">
        <v>0</v>
      </c>
      <c r="F119" s="114">
        <v>0</v>
      </c>
      <c r="G119" s="114">
        <v>0</v>
      </c>
      <c r="H119" s="114">
        <v>0</v>
      </c>
      <c r="I119" s="114">
        <v>0</v>
      </c>
      <c r="J119" s="135">
        <f>SUM(E119:I119)</f>
        <v>0</v>
      </c>
    </row>
    <row r="120" spans="2:10" x14ac:dyDescent="0.2">
      <c r="B120" s="463"/>
      <c r="C120" s="69" t="s">
        <v>202</v>
      </c>
      <c r="D120" s="155"/>
      <c r="E120" s="120">
        <f t="shared" ref="E120:J120" si="34">SUM(E117:E119)</f>
        <v>156.10499999999999</v>
      </c>
      <c r="F120" s="120">
        <f t="shared" si="34"/>
        <v>533.90575233614402</v>
      </c>
      <c r="G120" s="120">
        <f t="shared" si="34"/>
        <v>415.85656152343699</v>
      </c>
      <c r="H120" s="120">
        <f t="shared" si="34"/>
        <v>632.88618777465797</v>
      </c>
      <c r="I120" s="120">
        <f t="shared" si="34"/>
        <v>180.1082499999998</v>
      </c>
      <c r="J120" s="121">
        <f t="shared" si="34"/>
        <v>1918.8617516342388</v>
      </c>
    </row>
    <row r="121" spans="2:10" x14ac:dyDescent="0.2">
      <c r="B121" s="463"/>
      <c r="C121" s="469" t="s">
        <v>203</v>
      </c>
      <c r="D121" s="113" t="s">
        <v>195</v>
      </c>
      <c r="E121" s="114">
        <v>0</v>
      </c>
      <c r="F121" s="114"/>
      <c r="G121" s="114">
        <v>0</v>
      </c>
      <c r="H121" s="114">
        <v>0</v>
      </c>
      <c r="I121" s="114">
        <v>0</v>
      </c>
      <c r="J121" s="115">
        <f>SUM(E121:I121)</f>
        <v>0</v>
      </c>
    </row>
    <row r="122" spans="2:10" x14ac:dyDescent="0.2">
      <c r="B122" s="463"/>
      <c r="C122" s="469"/>
      <c r="D122" s="116" t="s">
        <v>196</v>
      </c>
      <c r="E122" s="114">
        <v>0</v>
      </c>
      <c r="F122" s="114">
        <v>6.2520299835205</v>
      </c>
      <c r="G122" s="114">
        <v>0</v>
      </c>
      <c r="H122" s="114">
        <v>0</v>
      </c>
      <c r="I122" s="114">
        <v>709.77499999999998</v>
      </c>
      <c r="J122" s="117">
        <f>SUM(E122:I122)</f>
        <v>716.02702998352049</v>
      </c>
    </row>
    <row r="123" spans="2:10" x14ac:dyDescent="0.2">
      <c r="B123" s="463"/>
      <c r="C123" s="470"/>
      <c r="D123" s="118" t="s">
        <v>197</v>
      </c>
      <c r="E123" s="114"/>
      <c r="F123" s="114">
        <v>2.2090000000000001</v>
      </c>
      <c r="G123" s="114">
        <v>0</v>
      </c>
      <c r="H123" s="114">
        <v>0</v>
      </c>
      <c r="I123" s="114">
        <v>0</v>
      </c>
      <c r="J123" s="135">
        <f>SUM(E123:I123)</f>
        <v>2.2090000000000001</v>
      </c>
    </row>
    <row r="124" spans="2:10" x14ac:dyDescent="0.2">
      <c r="B124" s="464"/>
      <c r="C124" s="66" t="s">
        <v>204</v>
      </c>
      <c r="D124" s="155"/>
      <c r="E124" s="120">
        <f t="shared" ref="E124:J124" si="35">SUM(E121:E123)</f>
        <v>0</v>
      </c>
      <c r="F124" s="120">
        <f t="shared" si="35"/>
        <v>8.4610299835205005</v>
      </c>
      <c r="G124" s="120">
        <f t="shared" si="35"/>
        <v>0</v>
      </c>
      <c r="H124" s="120">
        <f t="shared" si="35"/>
        <v>0</v>
      </c>
      <c r="I124" s="120">
        <f t="shared" si="35"/>
        <v>709.77499999999998</v>
      </c>
      <c r="J124" s="121">
        <f t="shared" si="35"/>
        <v>718.23602998352044</v>
      </c>
    </row>
    <row r="125" spans="2:10" ht="25.5" customHeight="1" x14ac:dyDescent="0.2">
      <c r="B125" s="33" t="s">
        <v>119</v>
      </c>
      <c r="C125" s="47"/>
      <c r="D125" s="136"/>
      <c r="E125" s="104">
        <f t="shared" ref="E125:J125" si="36">+E124+E120+E116+E112</f>
        <v>483.30142983260794</v>
      </c>
      <c r="F125" s="104">
        <f t="shared" si="36"/>
        <v>1215.7262419983372</v>
      </c>
      <c r="G125" s="104">
        <f t="shared" si="36"/>
        <v>708.47985976931761</v>
      </c>
      <c r="H125" s="104">
        <f t="shared" si="36"/>
        <v>1576.7896848115399</v>
      </c>
      <c r="I125" s="104">
        <f t="shared" si="36"/>
        <v>1557.7100497434508</v>
      </c>
      <c r="J125" s="127">
        <f t="shared" si="36"/>
        <v>5542.007266155254</v>
      </c>
    </row>
    <row r="126" spans="2:10" x14ac:dyDescent="0.2">
      <c r="B126" s="462">
        <v>2009</v>
      </c>
      <c r="C126" s="465" t="s">
        <v>197</v>
      </c>
      <c r="D126" s="137" t="s">
        <v>195</v>
      </c>
      <c r="E126" s="157">
        <v>0</v>
      </c>
      <c r="F126" s="157">
        <v>0</v>
      </c>
      <c r="G126" s="157">
        <v>0</v>
      </c>
      <c r="H126" s="157">
        <v>0.51846999999999999</v>
      </c>
      <c r="I126" s="157">
        <v>0</v>
      </c>
      <c r="J126" s="131">
        <f>SUM(E126:I126)</f>
        <v>0.51846999999999999</v>
      </c>
    </row>
    <row r="127" spans="2:10" x14ac:dyDescent="0.2">
      <c r="B127" s="463"/>
      <c r="C127" s="466"/>
      <c r="D127" s="140" t="s">
        <v>196</v>
      </c>
      <c r="E127" s="157">
        <v>0</v>
      </c>
      <c r="F127" s="157">
        <v>0</v>
      </c>
      <c r="G127" s="157">
        <v>0</v>
      </c>
      <c r="H127" s="157">
        <v>0</v>
      </c>
      <c r="I127" s="157">
        <v>0</v>
      </c>
      <c r="J127" s="131">
        <f>SUM(E127:I127)</f>
        <v>0</v>
      </c>
    </row>
    <row r="128" spans="2:10" x14ac:dyDescent="0.2">
      <c r="B128" s="463"/>
      <c r="C128" s="466"/>
      <c r="D128" s="141" t="s">
        <v>197</v>
      </c>
      <c r="E128" s="157">
        <v>0</v>
      </c>
      <c r="F128" s="157">
        <v>0</v>
      </c>
      <c r="G128" s="157">
        <v>0</v>
      </c>
      <c r="H128" s="157">
        <v>110.53677999999999</v>
      </c>
      <c r="I128" s="157">
        <v>0</v>
      </c>
      <c r="J128" s="131">
        <f>SUM(E128:I128)</f>
        <v>110.53677999999999</v>
      </c>
    </row>
    <row r="129" spans="2:10" x14ac:dyDescent="0.2">
      <c r="B129" s="463"/>
      <c r="C129" s="70" t="s">
        <v>205</v>
      </c>
      <c r="D129" s="155"/>
      <c r="E129" s="120">
        <f t="shared" ref="E129:J129" si="37">SUM(E126:E128)</f>
        <v>0</v>
      </c>
      <c r="F129" s="120">
        <f t="shared" si="37"/>
        <v>0</v>
      </c>
      <c r="G129" s="120">
        <f t="shared" si="37"/>
        <v>0</v>
      </c>
      <c r="H129" s="120">
        <f t="shared" si="37"/>
        <v>111.05524999999999</v>
      </c>
      <c r="I129" s="120">
        <f t="shared" si="37"/>
        <v>0</v>
      </c>
      <c r="J129" s="121">
        <f t="shared" si="37"/>
        <v>111.05524999999999</v>
      </c>
    </row>
    <row r="130" spans="2:10" x14ac:dyDescent="0.2">
      <c r="B130" s="463"/>
      <c r="C130" s="467" t="s">
        <v>199</v>
      </c>
      <c r="D130" s="113" t="s">
        <v>195</v>
      </c>
      <c r="E130" s="158">
        <v>54.895940000000017</v>
      </c>
      <c r="F130" s="159">
        <v>116.02713000000001</v>
      </c>
      <c r="G130" s="159">
        <v>63.871819999999985</v>
      </c>
      <c r="H130" s="159">
        <v>85.319119999999998</v>
      </c>
      <c r="I130" s="159">
        <v>98.077270000000013</v>
      </c>
      <c r="J130" s="115">
        <f>SUM(E130:I130)</f>
        <v>418.19128000000001</v>
      </c>
    </row>
    <row r="131" spans="2:10" x14ac:dyDescent="0.2">
      <c r="B131" s="463"/>
      <c r="C131" s="467"/>
      <c r="D131" s="116" t="s">
        <v>196</v>
      </c>
      <c r="E131" s="160">
        <v>239.04809000000014</v>
      </c>
      <c r="F131" s="142">
        <v>377.19016000000011</v>
      </c>
      <c r="G131" s="142">
        <v>263.15379999999982</v>
      </c>
      <c r="H131" s="142">
        <v>722.32528000000002</v>
      </c>
      <c r="I131" s="161">
        <v>470.35766000000024</v>
      </c>
      <c r="J131" s="117">
        <f>SUM(E131:I131)</f>
        <v>2072.0749900000001</v>
      </c>
    </row>
    <row r="132" spans="2:10" x14ac:dyDescent="0.2">
      <c r="B132" s="463"/>
      <c r="C132" s="467"/>
      <c r="D132" s="118" t="s">
        <v>197</v>
      </c>
      <c r="E132" s="158">
        <v>16.029419999999995</v>
      </c>
      <c r="F132" s="142">
        <v>3.4693000000000001</v>
      </c>
      <c r="G132" s="162"/>
      <c r="H132" s="162">
        <v>0</v>
      </c>
      <c r="I132" s="142">
        <v>1.4659999999999999E-2</v>
      </c>
      <c r="J132" s="135">
        <f>SUM(E132:I132)</f>
        <v>19.513379999999994</v>
      </c>
    </row>
    <row r="133" spans="2:10" x14ac:dyDescent="0.2">
      <c r="B133" s="463"/>
      <c r="C133" s="66" t="s">
        <v>200</v>
      </c>
      <c r="D133" s="155"/>
      <c r="E133" s="120">
        <f t="shared" ref="E133:J133" si="38">SUM(E130:E132)</f>
        <v>309.97345000000018</v>
      </c>
      <c r="F133" s="120">
        <f t="shared" si="38"/>
        <v>496.68659000000008</v>
      </c>
      <c r="G133" s="120">
        <f t="shared" si="38"/>
        <v>327.02561999999978</v>
      </c>
      <c r="H133" s="120">
        <f t="shared" si="38"/>
        <v>807.64440000000002</v>
      </c>
      <c r="I133" s="120">
        <f t="shared" si="38"/>
        <v>568.44959000000028</v>
      </c>
      <c r="J133" s="121">
        <f t="shared" si="38"/>
        <v>2509.7796499999999</v>
      </c>
    </row>
    <row r="134" spans="2:10" x14ac:dyDescent="0.2">
      <c r="B134" s="463"/>
      <c r="C134" s="468" t="s">
        <v>201</v>
      </c>
      <c r="D134" s="113" t="s">
        <v>195</v>
      </c>
      <c r="E134" s="158">
        <v>416.85883999999999</v>
      </c>
      <c r="F134" s="159">
        <v>367.75277000000006</v>
      </c>
      <c r="G134" s="159">
        <v>142.47771</v>
      </c>
      <c r="H134" s="159">
        <v>320.34730000000002</v>
      </c>
      <c r="I134" s="159">
        <v>129.77799999999999</v>
      </c>
      <c r="J134" s="115">
        <f>SUM(E134:I134)</f>
        <v>1377.21462</v>
      </c>
    </row>
    <row r="135" spans="2:10" x14ac:dyDescent="0.2">
      <c r="B135" s="463"/>
      <c r="C135" s="468"/>
      <c r="D135" s="116" t="s">
        <v>196</v>
      </c>
      <c r="E135" s="160">
        <v>2.2679999999999998</v>
      </c>
      <c r="F135" s="162">
        <v>0</v>
      </c>
      <c r="G135" s="162">
        <v>0</v>
      </c>
      <c r="H135" s="162">
        <v>0</v>
      </c>
      <c r="I135" s="161">
        <v>7.0940000000000003</v>
      </c>
      <c r="J135" s="117">
        <f>SUM(E135:I135)</f>
        <v>9.3620000000000001</v>
      </c>
    </row>
    <row r="136" spans="2:10" x14ac:dyDescent="0.2">
      <c r="B136" s="463"/>
      <c r="C136" s="468"/>
      <c r="D136" s="118" t="s">
        <v>197</v>
      </c>
      <c r="E136" s="162">
        <v>0</v>
      </c>
      <c r="F136" s="162">
        <v>0</v>
      </c>
      <c r="G136" s="142">
        <v>0.12662999999999999</v>
      </c>
      <c r="H136" s="162">
        <v>0</v>
      </c>
      <c r="I136" s="162">
        <v>0</v>
      </c>
      <c r="J136" s="135">
        <f>SUM(E136:I136)</f>
        <v>0.12662999999999999</v>
      </c>
    </row>
    <row r="137" spans="2:10" x14ac:dyDescent="0.2">
      <c r="B137" s="463"/>
      <c r="C137" s="69" t="s">
        <v>202</v>
      </c>
      <c r="D137" s="155"/>
      <c r="E137" s="120">
        <f t="shared" ref="E137:J137" si="39">SUM(E134:E136)</f>
        <v>419.12683999999996</v>
      </c>
      <c r="F137" s="120">
        <f t="shared" si="39"/>
        <v>367.75277000000006</v>
      </c>
      <c r="G137" s="120">
        <f t="shared" si="39"/>
        <v>142.60434000000001</v>
      </c>
      <c r="H137" s="120">
        <f t="shared" si="39"/>
        <v>320.34730000000002</v>
      </c>
      <c r="I137" s="120">
        <f t="shared" si="39"/>
        <v>136.87199999999999</v>
      </c>
      <c r="J137" s="121">
        <f t="shared" si="39"/>
        <v>1386.70325</v>
      </c>
    </row>
    <row r="138" spans="2:10" x14ac:dyDescent="0.2">
      <c r="B138" s="463"/>
      <c r="C138" s="469" t="s">
        <v>203</v>
      </c>
      <c r="D138" s="113" t="s">
        <v>195</v>
      </c>
      <c r="E138" s="162">
        <v>0</v>
      </c>
      <c r="F138" s="162">
        <v>0</v>
      </c>
      <c r="G138" s="162">
        <v>0</v>
      </c>
      <c r="H138" s="162">
        <v>0</v>
      </c>
      <c r="I138" s="163">
        <v>0</v>
      </c>
      <c r="J138" s="115">
        <f>SUM(E138:I138)</f>
        <v>0</v>
      </c>
    </row>
    <row r="139" spans="2:10" x14ac:dyDescent="0.2">
      <c r="B139" s="463"/>
      <c r="C139" s="469"/>
      <c r="D139" s="116" t="s">
        <v>196</v>
      </c>
      <c r="E139" s="162">
        <v>0</v>
      </c>
      <c r="F139" s="163">
        <v>7.3111999999999995</v>
      </c>
      <c r="G139" s="162">
        <v>0</v>
      </c>
      <c r="H139" s="162">
        <v>0</v>
      </c>
      <c r="I139" s="163">
        <v>714.63850000000002</v>
      </c>
      <c r="J139" s="117">
        <f>SUM(E139:I139)</f>
        <v>721.94970000000001</v>
      </c>
    </row>
    <row r="140" spans="2:10" x14ac:dyDescent="0.2">
      <c r="B140" s="463"/>
      <c r="C140" s="470"/>
      <c r="D140" s="118" t="s">
        <v>197</v>
      </c>
      <c r="E140" s="162">
        <v>0</v>
      </c>
      <c r="F140" s="163">
        <v>4.5830000000000002</v>
      </c>
      <c r="G140" s="162">
        <v>0</v>
      </c>
      <c r="H140" s="163">
        <v>0</v>
      </c>
      <c r="I140" s="163">
        <v>0</v>
      </c>
      <c r="J140" s="135">
        <f>SUM(E140:I140)</f>
        <v>4.5830000000000002</v>
      </c>
    </row>
    <row r="141" spans="2:10" x14ac:dyDescent="0.2">
      <c r="B141" s="464"/>
      <c r="C141" s="66" t="s">
        <v>204</v>
      </c>
      <c r="D141" s="155"/>
      <c r="E141" s="120">
        <f t="shared" ref="E141:J141" si="40">SUM(E138:E140)</f>
        <v>0</v>
      </c>
      <c r="F141" s="120">
        <f t="shared" si="40"/>
        <v>11.8942</v>
      </c>
      <c r="G141" s="120">
        <f t="shared" si="40"/>
        <v>0</v>
      </c>
      <c r="H141" s="120">
        <f t="shared" si="40"/>
        <v>0</v>
      </c>
      <c r="I141" s="120">
        <f t="shared" si="40"/>
        <v>714.63850000000002</v>
      </c>
      <c r="J141" s="121">
        <f t="shared" si="40"/>
        <v>726.53269999999998</v>
      </c>
    </row>
    <row r="142" spans="2:10" ht="29.25" customHeight="1" x14ac:dyDescent="0.2">
      <c r="B142" s="33" t="s">
        <v>120</v>
      </c>
      <c r="C142" s="47"/>
      <c r="D142" s="136"/>
      <c r="E142" s="104">
        <f t="shared" ref="E142:J142" si="41">+E141+E137+E133+E129</f>
        <v>729.10029000000009</v>
      </c>
      <c r="F142" s="104">
        <f t="shared" si="41"/>
        <v>876.33356000000015</v>
      </c>
      <c r="G142" s="104">
        <f t="shared" si="41"/>
        <v>469.62995999999976</v>
      </c>
      <c r="H142" s="104">
        <f t="shared" si="41"/>
        <v>1239.0469499999999</v>
      </c>
      <c r="I142" s="104">
        <f t="shared" si="41"/>
        <v>1419.9600900000003</v>
      </c>
      <c r="J142" s="127">
        <f t="shared" si="41"/>
        <v>4734.070850000001</v>
      </c>
    </row>
    <row r="143" spans="2:10" x14ac:dyDescent="0.2">
      <c r="B143" s="462">
        <v>2010</v>
      </c>
      <c r="C143" s="465" t="s">
        <v>197</v>
      </c>
      <c r="D143" s="137" t="s">
        <v>195</v>
      </c>
      <c r="E143" s="157">
        <v>0</v>
      </c>
      <c r="F143" s="157">
        <v>0</v>
      </c>
      <c r="G143" s="157">
        <v>0</v>
      </c>
      <c r="H143" s="157">
        <v>0</v>
      </c>
      <c r="I143" s="157">
        <v>0</v>
      </c>
      <c r="J143" s="131">
        <f>SUM(E143:I143)</f>
        <v>0</v>
      </c>
    </row>
    <row r="144" spans="2:10" x14ac:dyDescent="0.2">
      <c r="B144" s="463"/>
      <c r="C144" s="466"/>
      <c r="D144" s="140" t="s">
        <v>196</v>
      </c>
      <c r="E144" s="157">
        <v>0</v>
      </c>
      <c r="F144" s="157">
        <v>0</v>
      </c>
      <c r="G144" s="157">
        <v>0</v>
      </c>
      <c r="H144" s="157">
        <v>0</v>
      </c>
      <c r="I144" s="157">
        <v>0</v>
      </c>
      <c r="J144" s="131">
        <f>SUM(E144:I144)</f>
        <v>0</v>
      </c>
    </row>
    <row r="145" spans="2:10" x14ac:dyDescent="0.2">
      <c r="B145" s="463"/>
      <c r="C145" s="466"/>
      <c r="D145" s="141" t="s">
        <v>197</v>
      </c>
      <c r="E145" s="157">
        <v>0</v>
      </c>
      <c r="F145" s="157">
        <v>0</v>
      </c>
      <c r="G145" s="157">
        <v>0</v>
      </c>
      <c r="H145" s="157">
        <v>100.34593000000001</v>
      </c>
      <c r="I145" s="157">
        <v>0</v>
      </c>
      <c r="J145" s="131">
        <f>SUM(E145:I145)</f>
        <v>100.34593000000001</v>
      </c>
    </row>
    <row r="146" spans="2:10" x14ac:dyDescent="0.2">
      <c r="B146" s="463"/>
      <c r="C146" s="70" t="s">
        <v>205</v>
      </c>
      <c r="D146" s="155"/>
      <c r="E146" s="120">
        <f t="shared" ref="E146:J146" si="42">SUM(E143:E145)</f>
        <v>0</v>
      </c>
      <c r="F146" s="120">
        <f t="shared" si="42"/>
        <v>0</v>
      </c>
      <c r="G146" s="120">
        <f t="shared" si="42"/>
        <v>0</v>
      </c>
      <c r="H146" s="120">
        <f t="shared" si="42"/>
        <v>100.34593000000001</v>
      </c>
      <c r="I146" s="120">
        <f t="shared" si="42"/>
        <v>0</v>
      </c>
      <c r="J146" s="121">
        <f t="shared" si="42"/>
        <v>100.34593000000001</v>
      </c>
    </row>
    <row r="147" spans="2:10" x14ac:dyDescent="0.2">
      <c r="B147" s="463"/>
      <c r="C147" s="467" t="s">
        <v>199</v>
      </c>
      <c r="D147" s="113" t="s">
        <v>195</v>
      </c>
      <c r="E147" s="158">
        <v>43.268099999999997</v>
      </c>
      <c r="F147" s="159">
        <v>126.19034000000001</v>
      </c>
      <c r="G147" s="159">
        <v>64.802710000000005</v>
      </c>
      <c r="H147" s="159">
        <v>60.117269999999998</v>
      </c>
      <c r="I147" s="159">
        <v>48.401330000000002</v>
      </c>
      <c r="J147" s="115">
        <f>SUM(E147:I147)</f>
        <v>342.77975000000004</v>
      </c>
    </row>
    <row r="148" spans="2:10" x14ac:dyDescent="0.2">
      <c r="B148" s="463"/>
      <c r="C148" s="467"/>
      <c r="D148" s="116" t="s">
        <v>196</v>
      </c>
      <c r="E148" s="160">
        <v>377.65754999999984</v>
      </c>
      <c r="F148" s="142">
        <v>314.76886999999999</v>
      </c>
      <c r="G148" s="142">
        <v>260.32505999999995</v>
      </c>
      <c r="H148" s="142">
        <v>542.99363999999991</v>
      </c>
      <c r="I148" s="161">
        <v>355.61622000000023</v>
      </c>
      <c r="J148" s="117">
        <f>SUM(E148:I148)</f>
        <v>1851.3613399999999</v>
      </c>
    </row>
    <row r="149" spans="2:10" x14ac:dyDescent="0.2">
      <c r="B149" s="463"/>
      <c r="C149" s="467"/>
      <c r="D149" s="118" t="s">
        <v>197</v>
      </c>
      <c r="E149" s="158">
        <v>8.4422199999999989</v>
      </c>
      <c r="F149" s="142">
        <v>11.837389999999999</v>
      </c>
      <c r="G149" s="162">
        <v>0</v>
      </c>
      <c r="H149" s="162">
        <v>7.5399999999999998E-3</v>
      </c>
      <c r="I149" s="142">
        <v>0</v>
      </c>
      <c r="J149" s="135">
        <f>SUM(E149:I149)</f>
        <v>20.287149999999997</v>
      </c>
    </row>
    <row r="150" spans="2:10" x14ac:dyDescent="0.2">
      <c r="B150" s="463"/>
      <c r="C150" s="66" t="s">
        <v>200</v>
      </c>
      <c r="D150" s="155"/>
      <c r="E150" s="120">
        <f t="shared" ref="E150:J150" si="43">SUM(E147:E149)</f>
        <v>429.36786999999987</v>
      </c>
      <c r="F150" s="120">
        <f t="shared" si="43"/>
        <v>452.79660000000001</v>
      </c>
      <c r="G150" s="120">
        <f t="shared" si="43"/>
        <v>325.12776999999994</v>
      </c>
      <c r="H150" s="120">
        <f t="shared" si="43"/>
        <v>603.11844999999983</v>
      </c>
      <c r="I150" s="120">
        <f t="shared" si="43"/>
        <v>404.01755000000026</v>
      </c>
      <c r="J150" s="121">
        <f t="shared" si="43"/>
        <v>2214.4282400000002</v>
      </c>
    </row>
    <row r="151" spans="2:10" x14ac:dyDescent="0.2">
      <c r="B151" s="463"/>
      <c r="C151" s="468" t="s">
        <v>201</v>
      </c>
      <c r="D151" s="113" t="s">
        <v>195</v>
      </c>
      <c r="E151" s="158">
        <v>293.75799999999998</v>
      </c>
      <c r="F151" s="159">
        <v>349.74464</v>
      </c>
      <c r="G151" s="159">
        <v>81.557059999999993</v>
      </c>
      <c r="H151" s="159">
        <v>441.28996000000006</v>
      </c>
      <c r="I151" s="159">
        <v>184.83199999999999</v>
      </c>
      <c r="J151" s="115">
        <f>SUM(E151:I151)</f>
        <v>1351.1816599999997</v>
      </c>
    </row>
    <row r="152" spans="2:10" x14ac:dyDescent="0.2">
      <c r="B152" s="463"/>
      <c r="C152" s="468"/>
      <c r="D152" s="116" t="s">
        <v>196</v>
      </c>
      <c r="E152" s="160">
        <v>9.6910000000000007</v>
      </c>
      <c r="F152" s="162">
        <v>0</v>
      </c>
      <c r="G152" s="162">
        <v>0</v>
      </c>
      <c r="H152" s="162">
        <v>0</v>
      </c>
      <c r="I152" s="161">
        <v>44.067999999999998</v>
      </c>
      <c r="J152" s="117">
        <f>SUM(E152:I152)</f>
        <v>53.759</v>
      </c>
    </row>
    <row r="153" spans="2:10" x14ac:dyDescent="0.2">
      <c r="B153" s="463"/>
      <c r="C153" s="468"/>
      <c r="D153" s="118" t="s">
        <v>197</v>
      </c>
      <c r="E153" s="162">
        <v>2.33</v>
      </c>
      <c r="F153" s="162">
        <v>0</v>
      </c>
      <c r="G153" s="142">
        <v>0</v>
      </c>
      <c r="H153" s="162">
        <v>0</v>
      </c>
      <c r="I153" s="162">
        <v>0</v>
      </c>
      <c r="J153" s="135">
        <f>SUM(E153:I153)</f>
        <v>2.33</v>
      </c>
    </row>
    <row r="154" spans="2:10" x14ac:dyDescent="0.2">
      <c r="B154" s="463"/>
      <c r="C154" s="69" t="s">
        <v>202</v>
      </c>
      <c r="D154" s="155"/>
      <c r="E154" s="120">
        <f t="shared" ref="E154:J154" si="44">SUM(E151:E153)</f>
        <v>305.77899999999994</v>
      </c>
      <c r="F154" s="120">
        <f t="shared" si="44"/>
        <v>349.74464</v>
      </c>
      <c r="G154" s="120">
        <f t="shared" si="44"/>
        <v>81.557059999999993</v>
      </c>
      <c r="H154" s="120">
        <f t="shared" si="44"/>
        <v>441.28996000000006</v>
      </c>
      <c r="I154" s="120">
        <f t="shared" si="44"/>
        <v>228.89999999999998</v>
      </c>
      <c r="J154" s="121">
        <f t="shared" si="44"/>
        <v>1407.2706599999997</v>
      </c>
    </row>
    <row r="155" spans="2:10" x14ac:dyDescent="0.2">
      <c r="B155" s="463"/>
      <c r="C155" s="469" t="s">
        <v>203</v>
      </c>
      <c r="D155" s="113" t="s">
        <v>195</v>
      </c>
      <c r="E155" s="162">
        <v>0</v>
      </c>
      <c r="F155" s="162">
        <v>0</v>
      </c>
      <c r="G155" s="162">
        <v>0</v>
      </c>
      <c r="H155" s="162">
        <v>0</v>
      </c>
      <c r="I155" s="163">
        <v>0</v>
      </c>
      <c r="J155" s="115">
        <f>SUM(E155:I155)</f>
        <v>0</v>
      </c>
    </row>
    <row r="156" spans="2:10" x14ac:dyDescent="0.2">
      <c r="B156" s="463"/>
      <c r="C156" s="469"/>
      <c r="D156" s="116" t="s">
        <v>196</v>
      </c>
      <c r="E156" s="162">
        <v>0</v>
      </c>
      <c r="F156" s="163">
        <v>8.0287000000000006</v>
      </c>
      <c r="G156" s="162">
        <v>0</v>
      </c>
      <c r="H156" s="162">
        <v>0</v>
      </c>
      <c r="I156" s="163">
        <v>581.10447999999997</v>
      </c>
      <c r="J156" s="117">
        <f>SUM(E156:I156)</f>
        <v>589.13317999999992</v>
      </c>
    </row>
    <row r="157" spans="2:10" x14ac:dyDescent="0.2">
      <c r="B157" s="463"/>
      <c r="C157" s="470"/>
      <c r="D157" s="118" t="s">
        <v>197</v>
      </c>
      <c r="E157" s="162">
        <v>0</v>
      </c>
      <c r="F157" s="163">
        <v>2.9553600000000002</v>
      </c>
      <c r="G157" s="162">
        <v>0</v>
      </c>
      <c r="H157" s="163">
        <v>0</v>
      </c>
      <c r="I157" s="163">
        <v>0</v>
      </c>
      <c r="J157" s="135">
        <f>SUM(E157:I157)</f>
        <v>2.9553600000000002</v>
      </c>
    </row>
    <row r="158" spans="2:10" x14ac:dyDescent="0.2">
      <c r="B158" s="464"/>
      <c r="C158" s="66" t="s">
        <v>204</v>
      </c>
      <c r="D158" s="155"/>
      <c r="E158" s="120">
        <f t="shared" ref="E158:J158" si="45">SUM(E155:E157)</f>
        <v>0</v>
      </c>
      <c r="F158" s="120">
        <f t="shared" si="45"/>
        <v>10.984060000000001</v>
      </c>
      <c r="G158" s="120">
        <f t="shared" si="45"/>
        <v>0</v>
      </c>
      <c r="H158" s="120">
        <f t="shared" si="45"/>
        <v>0</v>
      </c>
      <c r="I158" s="120">
        <f t="shared" si="45"/>
        <v>581.10447999999997</v>
      </c>
      <c r="J158" s="121">
        <f t="shared" si="45"/>
        <v>592.08853999999997</v>
      </c>
    </row>
    <row r="159" spans="2:10" ht="25.5" customHeight="1" x14ac:dyDescent="0.2">
      <c r="B159" s="33" t="s">
        <v>121</v>
      </c>
      <c r="C159" s="47"/>
      <c r="D159" s="136"/>
      <c r="E159" s="104">
        <f t="shared" ref="E159:J159" si="46">+E158+E154+E150+E146</f>
        <v>735.14686999999981</v>
      </c>
      <c r="F159" s="104">
        <f t="shared" si="46"/>
        <v>813.52530000000002</v>
      </c>
      <c r="G159" s="104">
        <f t="shared" si="46"/>
        <v>406.68482999999992</v>
      </c>
      <c r="H159" s="104">
        <f t="shared" si="46"/>
        <v>1144.75434</v>
      </c>
      <c r="I159" s="104">
        <f t="shared" si="46"/>
        <v>1214.0220300000001</v>
      </c>
      <c r="J159" s="127">
        <f t="shared" si="46"/>
        <v>4314.1333700000005</v>
      </c>
    </row>
    <row r="160" spans="2:10" x14ac:dyDescent="0.2">
      <c r="B160" s="462">
        <v>2011</v>
      </c>
      <c r="C160" s="465" t="s">
        <v>197</v>
      </c>
      <c r="D160" s="137" t="s">
        <v>195</v>
      </c>
      <c r="E160" s="157">
        <v>0</v>
      </c>
      <c r="F160" s="157">
        <v>0</v>
      </c>
      <c r="G160" s="157">
        <v>0</v>
      </c>
      <c r="H160" s="157">
        <v>0</v>
      </c>
      <c r="I160" s="157">
        <v>0</v>
      </c>
      <c r="J160" s="131">
        <f>SUM(E160:I160)</f>
        <v>0</v>
      </c>
    </row>
    <row r="161" spans="2:10" x14ac:dyDescent="0.2">
      <c r="B161" s="463"/>
      <c r="C161" s="466"/>
      <c r="D161" s="140" t="s">
        <v>196</v>
      </c>
      <c r="E161" s="157">
        <v>0</v>
      </c>
      <c r="F161" s="157">
        <v>0</v>
      </c>
      <c r="G161" s="157">
        <v>0</v>
      </c>
      <c r="H161" s="157">
        <v>0</v>
      </c>
      <c r="I161" s="157">
        <v>0</v>
      </c>
      <c r="J161" s="131">
        <f>SUM(E161:I161)</f>
        <v>0</v>
      </c>
    </row>
    <row r="162" spans="2:10" x14ac:dyDescent="0.2">
      <c r="B162" s="463"/>
      <c r="C162" s="466"/>
      <c r="D162" s="141" t="s">
        <v>197</v>
      </c>
      <c r="E162" s="157">
        <v>0</v>
      </c>
      <c r="F162" s="157">
        <v>0</v>
      </c>
      <c r="G162" s="157">
        <v>0</v>
      </c>
      <c r="H162" s="157">
        <v>0</v>
      </c>
      <c r="I162" s="157">
        <v>0</v>
      </c>
      <c r="J162" s="131">
        <f>SUM(E162:I162)</f>
        <v>0</v>
      </c>
    </row>
    <row r="163" spans="2:10" x14ac:dyDescent="0.2">
      <c r="B163" s="463"/>
      <c r="C163" s="70" t="s">
        <v>205</v>
      </c>
      <c r="D163" s="155"/>
      <c r="E163" s="120">
        <f t="shared" ref="E163:J163" si="47">SUM(E160:E162)</f>
        <v>0</v>
      </c>
      <c r="F163" s="120">
        <f t="shared" si="47"/>
        <v>0</v>
      </c>
      <c r="G163" s="120">
        <f t="shared" si="47"/>
        <v>0</v>
      </c>
      <c r="H163" s="120">
        <f t="shared" si="47"/>
        <v>0</v>
      </c>
      <c r="I163" s="120">
        <f t="shared" si="47"/>
        <v>0</v>
      </c>
      <c r="J163" s="121">
        <f t="shared" si="47"/>
        <v>0</v>
      </c>
    </row>
    <row r="164" spans="2:10" x14ac:dyDescent="0.2">
      <c r="B164" s="463"/>
      <c r="C164" s="467" t="s">
        <v>199</v>
      </c>
      <c r="D164" s="113" t="s">
        <v>195</v>
      </c>
      <c r="E164" s="158">
        <v>144.47805000000002</v>
      </c>
      <c r="F164" s="159">
        <v>155.68085899999997</v>
      </c>
      <c r="G164" s="159">
        <v>71.085030000000003</v>
      </c>
      <c r="H164" s="159">
        <v>81.380769999999984</v>
      </c>
      <c r="I164" s="159">
        <v>54.514130999999999</v>
      </c>
      <c r="J164" s="115">
        <f>SUM(E164:I164)</f>
        <v>507.13884000000002</v>
      </c>
    </row>
    <row r="165" spans="2:10" x14ac:dyDescent="0.2">
      <c r="B165" s="463"/>
      <c r="C165" s="467"/>
      <c r="D165" s="116" t="s">
        <v>196</v>
      </c>
      <c r="E165" s="160">
        <v>332.49169899999987</v>
      </c>
      <c r="F165" s="142">
        <v>293.85681800000003</v>
      </c>
      <c r="G165" s="142">
        <v>245.33199999999994</v>
      </c>
      <c r="H165" s="142">
        <v>415.33258000000001</v>
      </c>
      <c r="I165" s="161">
        <v>305.00301899999994</v>
      </c>
      <c r="J165" s="117">
        <f>SUM(E165:I165)</f>
        <v>1592.0161159999998</v>
      </c>
    </row>
    <row r="166" spans="2:10" x14ac:dyDescent="0.2">
      <c r="B166" s="463"/>
      <c r="C166" s="467"/>
      <c r="D166" s="118" t="s">
        <v>197</v>
      </c>
      <c r="E166" s="158">
        <v>8.1615500000000001</v>
      </c>
      <c r="F166" s="142">
        <v>2.5093100000000002</v>
      </c>
      <c r="G166" s="162">
        <v>0</v>
      </c>
      <c r="H166" s="162">
        <v>0</v>
      </c>
      <c r="I166" s="142">
        <v>0</v>
      </c>
      <c r="J166" s="135">
        <f>SUM(E166:I166)</f>
        <v>10.670860000000001</v>
      </c>
    </row>
    <row r="167" spans="2:10" x14ac:dyDescent="0.2">
      <c r="B167" s="463"/>
      <c r="C167" s="66" t="s">
        <v>200</v>
      </c>
      <c r="D167" s="155"/>
      <c r="E167" s="120">
        <f t="shared" ref="E167:J167" si="48">SUM(E164:E166)</f>
        <v>485.13129899999984</v>
      </c>
      <c r="F167" s="120">
        <f t="shared" si="48"/>
        <v>452.04698700000006</v>
      </c>
      <c r="G167" s="120">
        <f t="shared" si="48"/>
        <v>316.41702999999995</v>
      </c>
      <c r="H167" s="120">
        <f t="shared" si="48"/>
        <v>496.71334999999999</v>
      </c>
      <c r="I167" s="120">
        <f t="shared" si="48"/>
        <v>359.51714999999996</v>
      </c>
      <c r="J167" s="121">
        <f t="shared" si="48"/>
        <v>2109.825816</v>
      </c>
    </row>
    <row r="168" spans="2:10" x14ac:dyDescent="0.2">
      <c r="B168" s="463"/>
      <c r="C168" s="468" t="s">
        <v>201</v>
      </c>
      <c r="D168" s="113" t="s">
        <v>195</v>
      </c>
      <c r="E168" s="158">
        <v>208.61500000000001</v>
      </c>
      <c r="F168" s="159">
        <v>417.20315999999997</v>
      </c>
      <c r="G168" s="159">
        <v>7.5799599999999998</v>
      </c>
      <c r="H168" s="159">
        <v>445.64231000000001</v>
      </c>
      <c r="I168" s="159">
        <v>205.91200000000001</v>
      </c>
      <c r="J168" s="115">
        <f>SUM(E168:I168)</f>
        <v>1284.95243</v>
      </c>
    </row>
    <row r="169" spans="2:10" x14ac:dyDescent="0.2">
      <c r="B169" s="463"/>
      <c r="C169" s="468"/>
      <c r="D169" s="116" t="s">
        <v>196</v>
      </c>
      <c r="E169" s="160">
        <v>13.141</v>
      </c>
      <c r="F169" s="162">
        <v>0</v>
      </c>
      <c r="G169" s="162">
        <v>0</v>
      </c>
      <c r="H169" s="162">
        <v>0</v>
      </c>
      <c r="I169" s="161">
        <v>10.948</v>
      </c>
      <c r="J169" s="117">
        <f>SUM(E169:I169)</f>
        <v>24.088999999999999</v>
      </c>
    </row>
    <row r="170" spans="2:10" x14ac:dyDescent="0.2">
      <c r="B170" s="463"/>
      <c r="C170" s="468"/>
      <c r="D170" s="118" t="s">
        <v>197</v>
      </c>
      <c r="E170" s="162">
        <v>0</v>
      </c>
      <c r="F170" s="162">
        <v>0</v>
      </c>
      <c r="G170" s="142">
        <v>0</v>
      </c>
      <c r="H170" s="162">
        <v>0</v>
      </c>
      <c r="I170" s="162">
        <v>0</v>
      </c>
      <c r="J170" s="135">
        <f>SUM(E170:I170)</f>
        <v>0</v>
      </c>
    </row>
    <row r="171" spans="2:10" x14ac:dyDescent="0.2">
      <c r="B171" s="463"/>
      <c r="C171" s="69" t="s">
        <v>202</v>
      </c>
      <c r="D171" s="155"/>
      <c r="E171" s="120">
        <f t="shared" ref="E171:J171" si="49">SUM(E168:E170)</f>
        <v>221.756</v>
      </c>
      <c r="F171" s="120">
        <f t="shared" si="49"/>
        <v>417.20315999999997</v>
      </c>
      <c r="G171" s="120">
        <f t="shared" si="49"/>
        <v>7.5799599999999998</v>
      </c>
      <c r="H171" s="120">
        <f t="shared" si="49"/>
        <v>445.64231000000001</v>
      </c>
      <c r="I171" s="120">
        <f t="shared" si="49"/>
        <v>216.86</v>
      </c>
      <c r="J171" s="121">
        <f t="shared" si="49"/>
        <v>1309.04143</v>
      </c>
    </row>
    <row r="172" spans="2:10" x14ac:dyDescent="0.2">
      <c r="B172" s="463"/>
      <c r="C172" s="469" t="s">
        <v>203</v>
      </c>
      <c r="D172" s="113" t="s">
        <v>195</v>
      </c>
      <c r="E172" s="162">
        <v>0</v>
      </c>
      <c r="F172" s="162">
        <v>0</v>
      </c>
      <c r="G172" s="162">
        <v>0</v>
      </c>
      <c r="H172" s="162">
        <v>0</v>
      </c>
      <c r="I172" s="163">
        <v>0</v>
      </c>
      <c r="J172" s="115">
        <f>SUM(E172:I172)</f>
        <v>0</v>
      </c>
    </row>
    <row r="173" spans="2:10" x14ac:dyDescent="0.2">
      <c r="B173" s="463"/>
      <c r="C173" s="469"/>
      <c r="D173" s="116" t="s">
        <v>196</v>
      </c>
      <c r="E173" s="162">
        <v>0</v>
      </c>
      <c r="F173" s="163">
        <v>4.0632000000000001</v>
      </c>
      <c r="G173" s="162">
        <v>0</v>
      </c>
      <c r="H173" s="162">
        <v>0.17902000000000001</v>
      </c>
      <c r="I173" s="163">
        <v>588.41042800000002</v>
      </c>
      <c r="J173" s="117">
        <f>SUM(E173:I173)</f>
        <v>592.652648</v>
      </c>
    </row>
    <row r="174" spans="2:10" x14ac:dyDescent="0.2">
      <c r="B174" s="463"/>
      <c r="C174" s="470"/>
      <c r="D174" s="118" t="s">
        <v>197</v>
      </c>
      <c r="E174" s="162">
        <v>0</v>
      </c>
      <c r="F174" s="163">
        <v>0.745</v>
      </c>
      <c r="G174" s="162">
        <v>0</v>
      </c>
      <c r="H174" s="163">
        <v>112.359779</v>
      </c>
      <c r="I174" s="163">
        <v>0</v>
      </c>
      <c r="J174" s="135">
        <f>SUM(E174:I174)</f>
        <v>113.10477900000001</v>
      </c>
    </row>
    <row r="175" spans="2:10" x14ac:dyDescent="0.2">
      <c r="B175" s="464"/>
      <c r="C175" s="66" t="s">
        <v>204</v>
      </c>
      <c r="D175" s="155"/>
      <c r="E175" s="120">
        <f t="shared" ref="E175:J175" si="50">SUM(E172:E174)</f>
        <v>0</v>
      </c>
      <c r="F175" s="120">
        <f t="shared" si="50"/>
        <v>4.8082000000000003</v>
      </c>
      <c r="G175" s="120">
        <f t="shared" si="50"/>
        <v>0</v>
      </c>
      <c r="H175" s="120">
        <f t="shared" si="50"/>
        <v>112.538799</v>
      </c>
      <c r="I175" s="120">
        <f t="shared" si="50"/>
        <v>588.41042800000002</v>
      </c>
      <c r="J175" s="121">
        <f t="shared" si="50"/>
        <v>705.75742700000001</v>
      </c>
    </row>
    <row r="176" spans="2:10" ht="26.25" customHeight="1" x14ac:dyDescent="0.2">
      <c r="B176" s="33" t="s">
        <v>122</v>
      </c>
      <c r="C176" s="47"/>
      <c r="D176" s="136"/>
      <c r="E176" s="104">
        <f t="shared" ref="E176:J176" si="51">+E175+E171+E167+E163</f>
        <v>706.88729899999987</v>
      </c>
      <c r="F176" s="104">
        <f t="shared" si="51"/>
        <v>874.05834700000003</v>
      </c>
      <c r="G176" s="104">
        <f t="shared" si="51"/>
        <v>323.99698999999998</v>
      </c>
      <c r="H176" s="104">
        <f t="shared" si="51"/>
        <v>1054.8944590000001</v>
      </c>
      <c r="I176" s="104">
        <f t="shared" si="51"/>
        <v>1164.7875779999999</v>
      </c>
      <c r="J176" s="127">
        <f t="shared" si="51"/>
        <v>4124.6246730000003</v>
      </c>
    </row>
    <row r="177" spans="2:10" x14ac:dyDescent="0.2">
      <c r="B177" s="462">
        <v>2012</v>
      </c>
      <c r="C177" s="465" t="s">
        <v>197</v>
      </c>
      <c r="D177" s="137" t="s">
        <v>195</v>
      </c>
      <c r="E177" s="157">
        <v>0</v>
      </c>
      <c r="F177" s="157">
        <v>0</v>
      </c>
      <c r="G177" s="157">
        <v>0</v>
      </c>
      <c r="H177" s="157">
        <v>0</v>
      </c>
      <c r="I177" s="157">
        <v>0</v>
      </c>
      <c r="J177" s="131">
        <f>SUM(E177:I177)</f>
        <v>0</v>
      </c>
    </row>
    <row r="178" spans="2:10" x14ac:dyDescent="0.2">
      <c r="B178" s="463"/>
      <c r="C178" s="466"/>
      <c r="D178" s="140" t="s">
        <v>196</v>
      </c>
      <c r="E178" s="157">
        <v>0</v>
      </c>
      <c r="F178" s="157">
        <v>0</v>
      </c>
      <c r="G178" s="157">
        <v>0</v>
      </c>
      <c r="H178" s="157">
        <v>0</v>
      </c>
      <c r="I178" s="157">
        <v>0</v>
      </c>
      <c r="J178" s="131">
        <f>SUM(E178:I178)</f>
        <v>0</v>
      </c>
    </row>
    <row r="179" spans="2:10" x14ac:dyDescent="0.2">
      <c r="B179" s="463"/>
      <c r="C179" s="466"/>
      <c r="D179" s="141" t="s">
        <v>197</v>
      </c>
      <c r="E179" s="157">
        <v>0</v>
      </c>
      <c r="F179" s="157">
        <v>0</v>
      </c>
      <c r="G179" s="157">
        <v>0</v>
      </c>
      <c r="H179" s="157">
        <v>0</v>
      </c>
      <c r="I179" s="157">
        <v>0</v>
      </c>
      <c r="J179" s="131">
        <f>SUM(E179:I179)</f>
        <v>0</v>
      </c>
    </row>
    <row r="180" spans="2:10" x14ac:dyDescent="0.2">
      <c r="B180" s="463"/>
      <c r="C180" s="70" t="s">
        <v>205</v>
      </c>
      <c r="D180" s="155"/>
      <c r="E180" s="120">
        <f t="shared" ref="E180:J180" si="52">SUM(E177:E179)</f>
        <v>0</v>
      </c>
      <c r="F180" s="120">
        <f t="shared" si="52"/>
        <v>0</v>
      </c>
      <c r="G180" s="120">
        <f t="shared" si="52"/>
        <v>0</v>
      </c>
      <c r="H180" s="120">
        <f t="shared" si="52"/>
        <v>0</v>
      </c>
      <c r="I180" s="120">
        <f t="shared" si="52"/>
        <v>0</v>
      </c>
      <c r="J180" s="121">
        <f t="shared" si="52"/>
        <v>0</v>
      </c>
    </row>
    <row r="181" spans="2:10" x14ac:dyDescent="0.2">
      <c r="B181" s="463"/>
      <c r="C181" s="467" t="s">
        <v>199</v>
      </c>
      <c r="D181" s="113" t="s">
        <v>195</v>
      </c>
      <c r="E181" s="164">
        <v>47.336330000000004</v>
      </c>
      <c r="F181" s="164">
        <v>89.577140000000014</v>
      </c>
      <c r="G181" s="164">
        <v>69.456820000000008</v>
      </c>
      <c r="H181" s="164">
        <v>41.946950000000001</v>
      </c>
      <c r="I181" s="164">
        <v>53.915710000000004</v>
      </c>
      <c r="J181" s="115">
        <f>SUM(E181:I181)</f>
        <v>302.23295000000002</v>
      </c>
    </row>
    <row r="182" spans="2:10" x14ac:dyDescent="0.2">
      <c r="B182" s="463"/>
      <c r="C182" s="467"/>
      <c r="D182" s="116" t="s">
        <v>196</v>
      </c>
      <c r="E182" s="164">
        <v>295.20824099999999</v>
      </c>
      <c r="F182" s="164">
        <v>285.90746100000007</v>
      </c>
      <c r="G182" s="164">
        <v>228.82406000000003</v>
      </c>
      <c r="H182" s="164">
        <v>383.86665900000008</v>
      </c>
      <c r="I182" s="164">
        <v>278.82447000000002</v>
      </c>
      <c r="J182" s="117">
        <f>SUM(E182:I182)</f>
        <v>1472.6308910000002</v>
      </c>
    </row>
    <row r="183" spans="2:10" x14ac:dyDescent="0.2">
      <c r="B183" s="463"/>
      <c r="C183" s="467"/>
      <c r="D183" s="118" t="s">
        <v>197</v>
      </c>
      <c r="E183" s="164">
        <v>7.2096199999999993</v>
      </c>
      <c r="F183" s="164">
        <v>2.0078199999999997</v>
      </c>
      <c r="G183" s="162">
        <v>0</v>
      </c>
      <c r="H183" s="162">
        <v>0</v>
      </c>
      <c r="I183" s="162">
        <v>0</v>
      </c>
      <c r="J183" s="135">
        <f>SUM(E183:I183)</f>
        <v>9.2174399999999999</v>
      </c>
    </row>
    <row r="184" spans="2:10" x14ac:dyDescent="0.2">
      <c r="B184" s="463"/>
      <c r="C184" s="66" t="s">
        <v>200</v>
      </c>
      <c r="D184" s="155"/>
      <c r="E184" s="399">
        <f t="shared" ref="E184:J184" si="53">SUM(E181:E183)</f>
        <v>349.75419099999999</v>
      </c>
      <c r="F184" s="399">
        <f t="shared" si="53"/>
        <v>377.49242100000009</v>
      </c>
      <c r="G184" s="399">
        <f t="shared" si="53"/>
        <v>298.28088000000002</v>
      </c>
      <c r="H184" s="399">
        <f t="shared" si="53"/>
        <v>425.8136090000001</v>
      </c>
      <c r="I184" s="399">
        <f t="shared" si="53"/>
        <v>332.74018000000001</v>
      </c>
      <c r="J184" s="121">
        <f t="shared" si="53"/>
        <v>1784.0812810000002</v>
      </c>
    </row>
    <row r="185" spans="2:10" x14ac:dyDescent="0.2">
      <c r="B185" s="463"/>
      <c r="C185" s="468" t="s">
        <v>201</v>
      </c>
      <c r="D185" s="113" t="s">
        <v>195</v>
      </c>
      <c r="E185" s="164">
        <v>139.869</v>
      </c>
      <c r="F185" s="164">
        <v>672.29889899999989</v>
      </c>
      <c r="G185" s="164">
        <v>60.139710000000001</v>
      </c>
      <c r="H185" s="164">
        <v>597.09829999999999</v>
      </c>
      <c r="I185" s="164">
        <v>284.05400000000003</v>
      </c>
      <c r="J185" s="115">
        <f>SUM(E185:I185)</f>
        <v>1753.4599090000002</v>
      </c>
    </row>
    <row r="186" spans="2:10" x14ac:dyDescent="0.2">
      <c r="B186" s="463"/>
      <c r="C186" s="468"/>
      <c r="D186" s="116" t="s">
        <v>196</v>
      </c>
      <c r="E186" s="164">
        <v>11.574</v>
      </c>
      <c r="F186" s="162">
        <v>0</v>
      </c>
      <c r="G186" s="142">
        <v>0</v>
      </c>
      <c r="H186" s="162">
        <v>0</v>
      </c>
      <c r="I186" s="164">
        <v>12.545999999999999</v>
      </c>
      <c r="J186" s="117">
        <f>SUM(E186:I186)</f>
        <v>24.119999999999997</v>
      </c>
    </row>
    <row r="187" spans="2:10" x14ac:dyDescent="0.2">
      <c r="B187" s="463"/>
      <c r="C187" s="468"/>
      <c r="D187" s="118" t="s">
        <v>197</v>
      </c>
      <c r="E187" s="162">
        <v>0</v>
      </c>
      <c r="F187" s="162">
        <v>0</v>
      </c>
      <c r="G187" s="142">
        <v>0</v>
      </c>
      <c r="H187" s="162">
        <v>0</v>
      </c>
      <c r="I187" s="162">
        <v>0</v>
      </c>
      <c r="J187" s="135">
        <f>SUM(E187:I187)</f>
        <v>0</v>
      </c>
    </row>
    <row r="188" spans="2:10" x14ac:dyDescent="0.2">
      <c r="B188" s="463"/>
      <c r="C188" s="69" t="s">
        <v>202</v>
      </c>
      <c r="D188" s="155"/>
      <c r="E188" s="399">
        <f t="shared" ref="E188:J188" si="54">SUM(E185:E187)</f>
        <v>151.44300000000001</v>
      </c>
      <c r="F188" s="399">
        <f t="shared" si="54"/>
        <v>672.29889899999989</v>
      </c>
      <c r="G188" s="399">
        <f t="shared" si="54"/>
        <v>60.139710000000001</v>
      </c>
      <c r="H188" s="399">
        <f t="shared" si="54"/>
        <v>597.09829999999999</v>
      </c>
      <c r="I188" s="399">
        <f t="shared" si="54"/>
        <v>296.60000000000002</v>
      </c>
      <c r="J188" s="121">
        <f t="shared" si="54"/>
        <v>1777.579909</v>
      </c>
    </row>
    <row r="189" spans="2:10" x14ac:dyDescent="0.2">
      <c r="B189" s="463"/>
      <c r="C189" s="469" t="s">
        <v>203</v>
      </c>
      <c r="D189" s="113" t="s">
        <v>195</v>
      </c>
      <c r="E189" s="162">
        <v>0</v>
      </c>
      <c r="F189" s="162">
        <v>0</v>
      </c>
      <c r="G189" s="164">
        <v>2.101</v>
      </c>
      <c r="H189" s="162">
        <v>0</v>
      </c>
      <c r="I189" s="162">
        <v>0</v>
      </c>
      <c r="J189" s="115">
        <f>SUM(E189:I189)</f>
        <v>2.101</v>
      </c>
    </row>
    <row r="190" spans="2:10" x14ac:dyDescent="0.2">
      <c r="B190" s="463"/>
      <c r="C190" s="469"/>
      <c r="D190" s="116" t="s">
        <v>196</v>
      </c>
      <c r="E190" s="162">
        <v>0</v>
      </c>
      <c r="F190" s="164">
        <v>3.0947</v>
      </c>
      <c r="G190" s="162">
        <v>0</v>
      </c>
      <c r="H190" s="164">
        <v>1.33833</v>
      </c>
      <c r="I190" s="164">
        <v>913.34168</v>
      </c>
      <c r="J190" s="117">
        <f>SUM(E190:I190)</f>
        <v>917.77471000000003</v>
      </c>
    </row>
    <row r="191" spans="2:10" x14ac:dyDescent="0.2">
      <c r="B191" s="463"/>
      <c r="C191" s="470"/>
      <c r="D191" s="118" t="s">
        <v>197</v>
      </c>
      <c r="E191" s="162">
        <v>0</v>
      </c>
      <c r="F191" s="162">
        <v>0</v>
      </c>
      <c r="G191" s="162">
        <v>0</v>
      </c>
      <c r="H191" s="164">
        <v>116.830431</v>
      </c>
      <c r="I191" s="162">
        <v>0</v>
      </c>
      <c r="J191" s="135">
        <f>SUM(E191:I191)</f>
        <v>116.830431</v>
      </c>
    </row>
    <row r="192" spans="2:10" x14ac:dyDescent="0.2">
      <c r="B192" s="464"/>
      <c r="C192" s="66" t="s">
        <v>204</v>
      </c>
      <c r="D192" s="155"/>
      <c r="E192" s="399">
        <f t="shared" ref="E192:J192" si="55">SUM(E189:E191)</f>
        <v>0</v>
      </c>
      <c r="F192" s="399">
        <f t="shared" si="55"/>
        <v>3.0947</v>
      </c>
      <c r="G192" s="399">
        <f t="shared" si="55"/>
        <v>2.101</v>
      </c>
      <c r="H192" s="399">
        <f t="shared" si="55"/>
        <v>118.168761</v>
      </c>
      <c r="I192" s="399">
        <f t="shared" si="55"/>
        <v>913.34168</v>
      </c>
      <c r="J192" s="121">
        <f t="shared" si="55"/>
        <v>1036.7061410000001</v>
      </c>
    </row>
    <row r="193" spans="2:10" ht="25.5" customHeight="1" x14ac:dyDescent="0.2">
      <c r="B193" s="33" t="s">
        <v>123</v>
      </c>
      <c r="C193" s="47"/>
      <c r="D193" s="136"/>
      <c r="E193" s="104">
        <f t="shared" ref="E193:J193" si="56">+E192+E188+E184+E180</f>
        <v>501.19719099999998</v>
      </c>
      <c r="F193" s="104">
        <f t="shared" si="56"/>
        <v>1052.8860199999999</v>
      </c>
      <c r="G193" s="104">
        <f t="shared" si="56"/>
        <v>360.52159</v>
      </c>
      <c r="H193" s="104">
        <f t="shared" si="56"/>
        <v>1141.0806700000001</v>
      </c>
      <c r="I193" s="104">
        <f t="shared" si="56"/>
        <v>1542.6818599999999</v>
      </c>
      <c r="J193" s="127">
        <f t="shared" si="56"/>
        <v>4598.3673310000004</v>
      </c>
    </row>
    <row r="194" spans="2:10" ht="12.75" customHeight="1" x14ac:dyDescent="0.2">
      <c r="B194" s="462">
        <v>2013</v>
      </c>
      <c r="C194" s="465" t="s">
        <v>197</v>
      </c>
      <c r="D194" s="137" t="s">
        <v>195</v>
      </c>
      <c r="E194" s="157">
        <v>0</v>
      </c>
      <c r="F194" s="157">
        <v>0</v>
      </c>
      <c r="G194" s="157">
        <v>0</v>
      </c>
      <c r="H194" s="157">
        <v>0</v>
      </c>
      <c r="I194" s="157">
        <v>0</v>
      </c>
      <c r="J194" s="131">
        <f>SUM(E194:I194)</f>
        <v>0</v>
      </c>
    </row>
    <row r="195" spans="2:10" ht="12.75" customHeight="1" x14ac:dyDescent="0.2">
      <c r="B195" s="463"/>
      <c r="C195" s="466"/>
      <c r="D195" s="140" t="s">
        <v>196</v>
      </c>
      <c r="E195" s="157">
        <v>0</v>
      </c>
      <c r="F195" s="157">
        <v>0</v>
      </c>
      <c r="G195" s="157">
        <v>0</v>
      </c>
      <c r="H195" s="157">
        <v>0</v>
      </c>
      <c r="I195" s="157">
        <v>0</v>
      </c>
      <c r="J195" s="131">
        <f>SUM(E195:I195)</f>
        <v>0</v>
      </c>
    </row>
    <row r="196" spans="2:10" ht="12.75" customHeight="1" x14ac:dyDescent="0.2">
      <c r="B196" s="463"/>
      <c r="C196" s="466"/>
      <c r="D196" s="141" t="s">
        <v>197</v>
      </c>
      <c r="E196" s="157">
        <v>0</v>
      </c>
      <c r="F196" s="157">
        <v>0</v>
      </c>
      <c r="G196" s="157">
        <v>0</v>
      </c>
      <c r="H196" s="157">
        <v>0</v>
      </c>
      <c r="I196" s="157">
        <v>0</v>
      </c>
      <c r="J196" s="131">
        <f>SUM(E196:I196)</f>
        <v>0</v>
      </c>
    </row>
    <row r="197" spans="2:10" ht="12.75" customHeight="1" x14ac:dyDescent="0.2">
      <c r="B197" s="463"/>
      <c r="C197" s="70" t="s">
        <v>205</v>
      </c>
      <c r="D197" s="155"/>
      <c r="E197" s="120">
        <f t="shared" ref="E197:J197" si="57">SUM(E194:E196)</f>
        <v>0</v>
      </c>
      <c r="F197" s="120">
        <f t="shared" si="57"/>
        <v>0</v>
      </c>
      <c r="G197" s="120">
        <f t="shared" si="57"/>
        <v>0</v>
      </c>
      <c r="H197" s="120">
        <f t="shared" si="57"/>
        <v>0</v>
      </c>
      <c r="I197" s="120">
        <f t="shared" si="57"/>
        <v>0</v>
      </c>
      <c r="J197" s="121">
        <f t="shared" si="57"/>
        <v>0</v>
      </c>
    </row>
    <row r="198" spans="2:10" ht="12.75" customHeight="1" x14ac:dyDescent="0.2">
      <c r="B198" s="463"/>
      <c r="C198" s="467" t="s">
        <v>199</v>
      </c>
      <c r="D198" s="113" t="s">
        <v>195</v>
      </c>
      <c r="E198" s="164">
        <v>42.978210000000004</v>
      </c>
      <c r="F198" s="164">
        <v>86.643520000000009</v>
      </c>
      <c r="G198" s="164">
        <v>46.25589999999999</v>
      </c>
      <c r="H198" s="164">
        <v>61.059041000000008</v>
      </c>
      <c r="I198" s="164">
        <v>56.102109999999989</v>
      </c>
      <c r="J198" s="115">
        <f>SUM(E198:I198)</f>
        <v>293.03878100000003</v>
      </c>
    </row>
    <row r="199" spans="2:10" ht="12.75" customHeight="1" x14ac:dyDescent="0.2">
      <c r="B199" s="463"/>
      <c r="C199" s="467"/>
      <c r="D199" s="116" t="s">
        <v>196</v>
      </c>
      <c r="E199" s="164">
        <v>255.31899000000001</v>
      </c>
      <c r="F199" s="164">
        <v>297.58076899999998</v>
      </c>
      <c r="G199" s="164">
        <v>321.04091</v>
      </c>
      <c r="H199" s="164">
        <v>496.35494799999998</v>
      </c>
      <c r="I199" s="164">
        <v>330.48343100000017</v>
      </c>
      <c r="J199" s="117">
        <f>SUM(E199:I199)</f>
        <v>1700.7790480000001</v>
      </c>
    </row>
    <row r="200" spans="2:10" ht="12.75" customHeight="1" x14ac:dyDescent="0.2">
      <c r="B200" s="463"/>
      <c r="C200" s="467"/>
      <c r="D200" s="118" t="s">
        <v>197</v>
      </c>
      <c r="E200" s="164">
        <v>8.7757000000000005</v>
      </c>
      <c r="F200" s="164">
        <v>3.3290799999999998</v>
      </c>
      <c r="G200" s="164">
        <v>1.2628900000000001</v>
      </c>
      <c r="H200" s="164"/>
      <c r="I200" s="164"/>
      <c r="J200" s="135">
        <f>SUM(E200:I200)</f>
        <v>13.36767</v>
      </c>
    </row>
    <row r="201" spans="2:10" ht="12.75" customHeight="1" x14ac:dyDescent="0.2">
      <c r="B201" s="463"/>
      <c r="C201" s="66" t="s">
        <v>200</v>
      </c>
      <c r="D201" s="155"/>
      <c r="E201" s="399">
        <f t="shared" ref="E201:J201" si="58">SUM(E198:E200)</f>
        <v>307.0729</v>
      </c>
      <c r="F201" s="399">
        <f t="shared" si="58"/>
        <v>387.55336899999998</v>
      </c>
      <c r="G201" s="399">
        <f t="shared" si="58"/>
        <v>368.55970000000002</v>
      </c>
      <c r="H201" s="399">
        <f t="shared" si="58"/>
        <v>557.41398900000002</v>
      </c>
      <c r="I201" s="399">
        <f t="shared" si="58"/>
        <v>386.58554100000015</v>
      </c>
      <c r="J201" s="121">
        <f t="shared" si="58"/>
        <v>2007.1854990000002</v>
      </c>
    </row>
    <row r="202" spans="2:10" ht="12.75" customHeight="1" x14ac:dyDescent="0.2">
      <c r="B202" s="463"/>
      <c r="C202" s="468" t="s">
        <v>201</v>
      </c>
      <c r="D202" s="113" t="s">
        <v>195</v>
      </c>
      <c r="E202" s="164">
        <v>145.04500000000002</v>
      </c>
      <c r="F202" s="164">
        <v>723.54166099999998</v>
      </c>
      <c r="G202" s="164">
        <v>62.071120000000001</v>
      </c>
      <c r="H202" s="164">
        <v>473.601</v>
      </c>
      <c r="I202" s="164">
        <v>335.63099999999997</v>
      </c>
      <c r="J202" s="115">
        <f>SUM(E202:I202)</f>
        <v>1739.8897809999999</v>
      </c>
    </row>
    <row r="203" spans="2:10" ht="12.75" customHeight="1" x14ac:dyDescent="0.2">
      <c r="B203" s="463"/>
      <c r="C203" s="468"/>
      <c r="D203" s="116" t="s">
        <v>196</v>
      </c>
      <c r="E203" s="164">
        <v>12.724</v>
      </c>
      <c r="F203" s="162">
        <v>0</v>
      </c>
      <c r="G203" s="162">
        <v>0</v>
      </c>
      <c r="H203" s="162">
        <v>0</v>
      </c>
      <c r="I203" s="164">
        <v>40.531999999999996</v>
      </c>
      <c r="J203" s="117">
        <f>SUM(E203:I203)</f>
        <v>53.256</v>
      </c>
    </row>
    <row r="204" spans="2:10" ht="12.75" customHeight="1" x14ac:dyDescent="0.2">
      <c r="B204" s="463"/>
      <c r="C204" s="468"/>
      <c r="D204" s="118" t="s">
        <v>197</v>
      </c>
      <c r="E204" s="162">
        <v>0</v>
      </c>
      <c r="F204" s="162">
        <v>0</v>
      </c>
      <c r="G204" s="162">
        <v>0</v>
      </c>
      <c r="H204" s="162">
        <v>0</v>
      </c>
      <c r="I204" s="162">
        <v>0</v>
      </c>
      <c r="J204" s="135">
        <f>SUM(E204:I204)</f>
        <v>0</v>
      </c>
    </row>
    <row r="205" spans="2:10" ht="12.75" customHeight="1" x14ac:dyDescent="0.2">
      <c r="B205" s="463"/>
      <c r="C205" s="69" t="s">
        <v>202</v>
      </c>
      <c r="D205" s="155"/>
      <c r="E205" s="399">
        <f t="shared" ref="E205:J205" si="59">SUM(E202:E204)</f>
        <v>157.76900000000001</v>
      </c>
      <c r="F205" s="399">
        <f t="shared" si="59"/>
        <v>723.54166099999998</v>
      </c>
      <c r="G205" s="399">
        <f t="shared" si="59"/>
        <v>62.071120000000001</v>
      </c>
      <c r="H205" s="399">
        <f t="shared" si="59"/>
        <v>473.601</v>
      </c>
      <c r="I205" s="399">
        <f t="shared" si="59"/>
        <v>376.16299999999995</v>
      </c>
      <c r="J205" s="121">
        <f t="shared" si="59"/>
        <v>1793.1457809999999</v>
      </c>
    </row>
    <row r="206" spans="2:10" ht="12.75" customHeight="1" x14ac:dyDescent="0.2">
      <c r="B206" s="463"/>
      <c r="C206" s="469" t="s">
        <v>203</v>
      </c>
      <c r="D206" s="113" t="s">
        <v>195</v>
      </c>
      <c r="E206" s="162">
        <v>0</v>
      </c>
      <c r="F206" s="162">
        <v>0</v>
      </c>
      <c r="G206" s="164">
        <v>14.4</v>
      </c>
      <c r="H206" s="162">
        <v>0</v>
      </c>
      <c r="I206" s="162">
        <v>0</v>
      </c>
      <c r="J206" s="115">
        <f>SUM(E206:I206)</f>
        <v>14.4</v>
      </c>
    </row>
    <row r="207" spans="2:10" ht="12.75" customHeight="1" x14ac:dyDescent="0.2">
      <c r="B207" s="463"/>
      <c r="C207" s="469"/>
      <c r="D207" s="116" t="s">
        <v>196</v>
      </c>
      <c r="E207" s="162">
        <v>0</v>
      </c>
      <c r="F207" s="164">
        <v>4.6311</v>
      </c>
      <c r="G207" s="162">
        <v>0</v>
      </c>
      <c r="H207" s="162">
        <v>0</v>
      </c>
      <c r="I207" s="164">
        <v>755.60405700000001</v>
      </c>
      <c r="J207" s="117">
        <f>SUM(E207:I207)</f>
        <v>760.23515699999996</v>
      </c>
    </row>
    <row r="208" spans="2:10" ht="12.75" customHeight="1" x14ac:dyDescent="0.2">
      <c r="B208" s="463"/>
      <c r="C208" s="470"/>
      <c r="D208" s="118" t="s">
        <v>197</v>
      </c>
      <c r="E208" s="162">
        <v>0</v>
      </c>
      <c r="F208" s="162">
        <v>0</v>
      </c>
      <c r="G208" s="162">
        <v>0</v>
      </c>
      <c r="H208" s="164">
        <v>159.54678199999992</v>
      </c>
      <c r="I208" s="162">
        <v>0</v>
      </c>
      <c r="J208" s="135">
        <f>SUM(E208:I208)</f>
        <v>159.54678199999992</v>
      </c>
    </row>
    <row r="209" spans="2:10" ht="12.75" customHeight="1" x14ac:dyDescent="0.2">
      <c r="B209" s="464"/>
      <c r="C209" s="66" t="s">
        <v>204</v>
      </c>
      <c r="D209" s="155"/>
      <c r="E209" s="399">
        <f t="shared" ref="E209:J209" si="60">SUM(E206:E208)</f>
        <v>0</v>
      </c>
      <c r="F209" s="399">
        <f t="shared" si="60"/>
        <v>4.6311</v>
      </c>
      <c r="G209" s="399">
        <f t="shared" si="60"/>
        <v>14.4</v>
      </c>
      <c r="H209" s="399">
        <f t="shared" si="60"/>
        <v>159.54678199999992</v>
      </c>
      <c r="I209" s="399">
        <f t="shared" si="60"/>
        <v>755.60405700000001</v>
      </c>
      <c r="J209" s="121">
        <f t="shared" si="60"/>
        <v>934.18193899999983</v>
      </c>
    </row>
    <row r="210" spans="2:10" ht="27" customHeight="1" x14ac:dyDescent="0.2">
      <c r="B210" s="33" t="s">
        <v>124</v>
      </c>
      <c r="C210" s="47"/>
      <c r="D210" s="136"/>
      <c r="E210" s="104">
        <f t="shared" ref="E210:J210" si="61">+E209+E205+E201+E197</f>
        <v>464.84190000000001</v>
      </c>
      <c r="F210" s="104">
        <f t="shared" si="61"/>
        <v>1115.72613</v>
      </c>
      <c r="G210" s="104">
        <f t="shared" si="61"/>
        <v>445.03082000000001</v>
      </c>
      <c r="H210" s="104">
        <f t="shared" si="61"/>
        <v>1190.5617709999999</v>
      </c>
      <c r="I210" s="104">
        <f t="shared" si="61"/>
        <v>1518.3525980000002</v>
      </c>
      <c r="J210" s="127">
        <f t="shared" si="61"/>
        <v>4734.5132190000004</v>
      </c>
    </row>
    <row r="211" spans="2:10" x14ac:dyDescent="0.2">
      <c r="B211" s="462">
        <v>2014</v>
      </c>
      <c r="C211" s="465" t="s">
        <v>197</v>
      </c>
      <c r="D211" s="137" t="s">
        <v>195</v>
      </c>
      <c r="E211" s="157">
        <v>0</v>
      </c>
      <c r="F211" s="157">
        <v>0</v>
      </c>
      <c r="G211" s="157">
        <v>0</v>
      </c>
      <c r="H211" s="157">
        <v>0</v>
      </c>
      <c r="I211" s="157">
        <v>0</v>
      </c>
      <c r="J211" s="131">
        <f>SUM(E211:I211)</f>
        <v>0</v>
      </c>
    </row>
    <row r="212" spans="2:10" x14ac:dyDescent="0.2">
      <c r="B212" s="463"/>
      <c r="C212" s="466"/>
      <c r="D212" s="140" t="s">
        <v>196</v>
      </c>
      <c r="E212" s="157">
        <v>0</v>
      </c>
      <c r="F212" s="157">
        <v>0</v>
      </c>
      <c r="G212" s="157">
        <v>0</v>
      </c>
      <c r="H212" s="157">
        <v>0</v>
      </c>
      <c r="I212" s="157">
        <v>0</v>
      </c>
      <c r="J212" s="131">
        <f>SUM(E212:I212)</f>
        <v>0</v>
      </c>
    </row>
    <row r="213" spans="2:10" x14ac:dyDescent="0.2">
      <c r="B213" s="463"/>
      <c r="C213" s="466"/>
      <c r="D213" s="141" t="s">
        <v>197</v>
      </c>
      <c r="E213" s="157">
        <v>0</v>
      </c>
      <c r="F213" s="157">
        <v>0</v>
      </c>
      <c r="G213" s="157">
        <v>0</v>
      </c>
      <c r="H213" s="157">
        <v>0</v>
      </c>
      <c r="I213" s="157">
        <v>0</v>
      </c>
      <c r="J213" s="131">
        <f>SUM(E213:I213)</f>
        <v>0</v>
      </c>
    </row>
    <row r="214" spans="2:10" x14ac:dyDescent="0.2">
      <c r="B214" s="463"/>
      <c r="C214" s="70" t="s">
        <v>205</v>
      </c>
      <c r="D214" s="155"/>
      <c r="E214" s="120">
        <f t="shared" ref="E214:J214" si="62">SUM(E211:E213)</f>
        <v>0</v>
      </c>
      <c r="F214" s="120">
        <f t="shared" si="62"/>
        <v>0</v>
      </c>
      <c r="G214" s="120">
        <f t="shared" si="62"/>
        <v>0</v>
      </c>
      <c r="H214" s="120">
        <f t="shared" si="62"/>
        <v>0</v>
      </c>
      <c r="I214" s="120">
        <f t="shared" si="62"/>
        <v>0</v>
      </c>
      <c r="J214" s="121">
        <f t="shared" si="62"/>
        <v>0</v>
      </c>
    </row>
    <row r="215" spans="2:10" x14ac:dyDescent="0.2">
      <c r="B215" s="463"/>
      <c r="C215" s="467" t="s">
        <v>199</v>
      </c>
      <c r="D215" s="113" t="s">
        <v>195</v>
      </c>
      <c r="E215" s="63">
        <v>43.728899999999996</v>
      </c>
      <c r="F215" s="63">
        <v>140.76147000000003</v>
      </c>
      <c r="G215" s="63">
        <v>57.591320000000003</v>
      </c>
      <c r="H215" s="63">
        <v>265.62215099999997</v>
      </c>
      <c r="I215" s="63">
        <v>103.06764100000001</v>
      </c>
      <c r="J215" s="115">
        <f>SUM(E215:I215)</f>
        <v>610.77148199999999</v>
      </c>
    </row>
    <row r="216" spans="2:10" x14ac:dyDescent="0.2">
      <c r="B216" s="463"/>
      <c r="C216" s="467"/>
      <c r="D216" s="116" t="s">
        <v>196</v>
      </c>
      <c r="E216" s="63">
        <v>322.43497000000002</v>
      </c>
      <c r="F216" s="63">
        <v>315.7550389999999</v>
      </c>
      <c r="G216" s="63">
        <v>87.276470000000032</v>
      </c>
      <c r="H216" s="63">
        <v>432.27540800000008</v>
      </c>
      <c r="I216" s="63">
        <v>305.51823899999994</v>
      </c>
      <c r="J216" s="117">
        <f>SUM(E216:I216)</f>
        <v>1463.2601260000001</v>
      </c>
    </row>
    <row r="217" spans="2:10" x14ac:dyDescent="0.2">
      <c r="B217" s="463"/>
      <c r="C217" s="467"/>
      <c r="D217" s="118" t="s">
        <v>197</v>
      </c>
      <c r="E217" s="63">
        <v>9.6223200000000002</v>
      </c>
      <c r="F217" s="63">
        <v>3.8775200000000001</v>
      </c>
      <c r="G217" s="157">
        <v>0</v>
      </c>
      <c r="H217" s="157">
        <v>0</v>
      </c>
      <c r="I217" s="63">
        <v>8.9859999999999995E-2</v>
      </c>
      <c r="J217" s="135">
        <f>SUM(E217:I217)</f>
        <v>13.589700000000001</v>
      </c>
    </row>
    <row r="218" spans="2:10" x14ac:dyDescent="0.2">
      <c r="B218" s="463"/>
      <c r="C218" s="66" t="s">
        <v>200</v>
      </c>
      <c r="D218" s="155"/>
      <c r="E218" s="399">
        <f t="shared" ref="E218:J218" si="63">SUM(E215:E217)</f>
        <v>375.78619000000003</v>
      </c>
      <c r="F218" s="399">
        <f t="shared" si="63"/>
        <v>460.39402899999993</v>
      </c>
      <c r="G218" s="399">
        <f t="shared" si="63"/>
        <v>144.86779000000004</v>
      </c>
      <c r="H218" s="399">
        <f t="shared" si="63"/>
        <v>697.897559</v>
      </c>
      <c r="I218" s="399">
        <f t="shared" si="63"/>
        <v>408.67573999999996</v>
      </c>
      <c r="J218" s="121">
        <f t="shared" si="63"/>
        <v>2087.6213080000002</v>
      </c>
    </row>
    <row r="219" spans="2:10" x14ac:dyDescent="0.2">
      <c r="B219" s="463"/>
      <c r="C219" s="468" t="s">
        <v>201</v>
      </c>
      <c r="D219" s="113" t="s">
        <v>195</v>
      </c>
      <c r="E219" s="63">
        <v>202.50900000000001</v>
      </c>
      <c r="F219" s="63">
        <v>732.33271700000012</v>
      </c>
      <c r="G219" s="63">
        <v>74.367991000000004</v>
      </c>
      <c r="H219" s="63">
        <v>496.11200000000002</v>
      </c>
      <c r="I219" s="63">
        <v>358.69300000000004</v>
      </c>
      <c r="J219" s="115">
        <f>SUM(E219:I219)</f>
        <v>1864.0147080000002</v>
      </c>
    </row>
    <row r="220" spans="2:10" x14ac:dyDescent="0.2">
      <c r="B220" s="463"/>
      <c r="C220" s="468"/>
      <c r="D220" s="116" t="s">
        <v>196</v>
      </c>
      <c r="E220" s="63">
        <v>1.302</v>
      </c>
      <c r="F220" s="162">
        <v>0</v>
      </c>
      <c r="G220" s="162">
        <v>0</v>
      </c>
      <c r="H220" s="162">
        <v>0</v>
      </c>
      <c r="I220" s="63">
        <v>8.1760000000000002</v>
      </c>
      <c r="J220" s="117">
        <f>SUM(E220:I220)</f>
        <v>9.4779999999999998</v>
      </c>
    </row>
    <row r="221" spans="2:10" x14ac:dyDescent="0.2">
      <c r="B221" s="463"/>
      <c r="C221" s="468"/>
      <c r="D221" s="118" t="s">
        <v>197</v>
      </c>
      <c r="E221" s="162">
        <v>0</v>
      </c>
      <c r="F221" s="162">
        <v>0</v>
      </c>
      <c r="G221" s="162">
        <v>0</v>
      </c>
      <c r="H221" s="162">
        <v>0</v>
      </c>
      <c r="I221" s="162">
        <v>0</v>
      </c>
      <c r="J221" s="135">
        <f>SUM(E221:I221)</f>
        <v>0</v>
      </c>
    </row>
    <row r="222" spans="2:10" x14ac:dyDescent="0.2">
      <c r="B222" s="463"/>
      <c r="C222" s="69" t="s">
        <v>202</v>
      </c>
      <c r="D222" s="155"/>
      <c r="E222" s="399">
        <f t="shared" ref="E222:J222" si="64">SUM(E219:E221)</f>
        <v>203.81100000000001</v>
      </c>
      <c r="F222" s="399">
        <f t="shared" si="64"/>
        <v>732.33271700000012</v>
      </c>
      <c r="G222" s="399">
        <f t="shared" si="64"/>
        <v>74.367991000000004</v>
      </c>
      <c r="H222" s="399">
        <f t="shared" si="64"/>
        <v>496.11200000000002</v>
      </c>
      <c r="I222" s="399">
        <f t="shared" si="64"/>
        <v>366.86900000000003</v>
      </c>
      <c r="J222" s="121">
        <f t="shared" si="64"/>
        <v>1873.4927080000002</v>
      </c>
    </row>
    <row r="223" spans="2:10" x14ac:dyDescent="0.2">
      <c r="B223" s="463"/>
      <c r="C223" s="469" t="s">
        <v>203</v>
      </c>
      <c r="D223" s="113" t="s">
        <v>195</v>
      </c>
      <c r="E223" s="162">
        <v>0</v>
      </c>
      <c r="F223" s="162">
        <v>0</v>
      </c>
      <c r="G223" s="162">
        <v>0</v>
      </c>
      <c r="H223" s="162">
        <v>0</v>
      </c>
      <c r="I223" s="162">
        <v>0</v>
      </c>
      <c r="J223" s="115">
        <f>SUM(E223:I223)</f>
        <v>0</v>
      </c>
    </row>
    <row r="224" spans="2:10" x14ac:dyDescent="0.2">
      <c r="B224" s="463"/>
      <c r="C224" s="469"/>
      <c r="D224" s="116" t="s">
        <v>196</v>
      </c>
      <c r="E224" s="162">
        <v>0</v>
      </c>
      <c r="F224" s="164">
        <v>1.224</v>
      </c>
      <c r="G224" s="162">
        <v>0</v>
      </c>
      <c r="H224" s="162">
        <v>0</v>
      </c>
      <c r="I224" s="63">
        <v>428.44535199999996</v>
      </c>
      <c r="J224" s="117">
        <f>SUM(E224:I224)</f>
        <v>429.66935199999995</v>
      </c>
    </row>
    <row r="225" spans="2:10" x14ac:dyDescent="0.2">
      <c r="B225" s="463"/>
      <c r="C225" s="470"/>
      <c r="D225" s="118" t="s">
        <v>197</v>
      </c>
      <c r="E225" s="162">
        <v>0</v>
      </c>
      <c r="F225" s="162">
        <v>0</v>
      </c>
      <c r="G225" s="162">
        <v>0</v>
      </c>
      <c r="H225" s="63">
        <v>144.21148999999997</v>
      </c>
      <c r="I225" s="162">
        <v>0</v>
      </c>
      <c r="J225" s="135">
        <f>SUM(E225:I225)</f>
        <v>144.21148999999997</v>
      </c>
    </row>
    <row r="226" spans="2:10" x14ac:dyDescent="0.2">
      <c r="B226" s="464"/>
      <c r="C226" s="66" t="s">
        <v>204</v>
      </c>
      <c r="D226" s="155"/>
      <c r="E226" s="405">
        <v>0</v>
      </c>
      <c r="F226" s="399">
        <f t="shared" ref="F226:J226" si="65">SUM(F223:F225)</f>
        <v>1.224</v>
      </c>
      <c r="G226" s="405">
        <v>0</v>
      </c>
      <c r="H226" s="399">
        <f t="shared" si="65"/>
        <v>144.21148999999997</v>
      </c>
      <c r="I226" s="399">
        <f t="shared" si="65"/>
        <v>428.44535199999996</v>
      </c>
      <c r="J226" s="121">
        <f t="shared" si="65"/>
        <v>573.88084199999992</v>
      </c>
    </row>
    <row r="227" spans="2:10" ht="21.75" customHeight="1" x14ac:dyDescent="0.2">
      <c r="B227" s="33" t="s">
        <v>211</v>
      </c>
      <c r="C227" s="47"/>
      <c r="D227" s="136"/>
      <c r="E227" s="104">
        <f t="shared" ref="E227:J227" si="66">+E226+E222+E218+E214</f>
        <v>579.59719000000007</v>
      </c>
      <c r="F227" s="104">
        <f t="shared" si="66"/>
        <v>1193.950746</v>
      </c>
      <c r="G227" s="104">
        <f t="shared" si="66"/>
        <v>219.23578100000003</v>
      </c>
      <c r="H227" s="104">
        <f t="shared" si="66"/>
        <v>1338.221049</v>
      </c>
      <c r="I227" s="104">
        <f t="shared" si="66"/>
        <v>1203.990092</v>
      </c>
      <c r="J227" s="127">
        <f t="shared" si="66"/>
        <v>4534.994858</v>
      </c>
    </row>
    <row r="228" spans="2:10" x14ac:dyDescent="0.2">
      <c r="B228" s="462">
        <v>2015</v>
      </c>
      <c r="C228" s="465" t="s">
        <v>197</v>
      </c>
      <c r="D228" s="137" t="s">
        <v>195</v>
      </c>
      <c r="E228" s="157">
        <v>0</v>
      </c>
      <c r="F228" s="157">
        <v>0</v>
      </c>
      <c r="G228" s="157">
        <v>0</v>
      </c>
      <c r="H228" s="157">
        <v>0</v>
      </c>
      <c r="I228" s="157">
        <v>0</v>
      </c>
      <c r="J228" s="131">
        <f>SUM(E228:I228)</f>
        <v>0</v>
      </c>
    </row>
    <row r="229" spans="2:10" x14ac:dyDescent="0.2">
      <c r="B229" s="463"/>
      <c r="C229" s="466"/>
      <c r="D229" s="140" t="s">
        <v>196</v>
      </c>
      <c r="E229" s="157">
        <v>0</v>
      </c>
      <c r="F229" s="157">
        <v>0</v>
      </c>
      <c r="G229" s="157">
        <v>0</v>
      </c>
      <c r="H229" s="157">
        <v>0</v>
      </c>
      <c r="I229" s="157">
        <v>0</v>
      </c>
      <c r="J229" s="131">
        <f>SUM(E229:I229)</f>
        <v>0</v>
      </c>
    </row>
    <row r="230" spans="2:10" x14ac:dyDescent="0.2">
      <c r="B230" s="463"/>
      <c r="C230" s="466"/>
      <c r="D230" s="141" t="s">
        <v>197</v>
      </c>
      <c r="E230" s="157">
        <v>0</v>
      </c>
      <c r="F230" s="157">
        <v>0</v>
      </c>
      <c r="G230" s="157">
        <v>0</v>
      </c>
      <c r="H230" s="63">
        <v>166</v>
      </c>
      <c r="I230" s="157">
        <v>0</v>
      </c>
      <c r="J230" s="131">
        <f>SUM(E230:I230)</f>
        <v>166</v>
      </c>
    </row>
    <row r="231" spans="2:10" x14ac:dyDescent="0.2">
      <c r="B231" s="463"/>
      <c r="C231" s="70" t="s">
        <v>205</v>
      </c>
      <c r="D231" s="155"/>
      <c r="E231" s="120">
        <f t="shared" ref="E231:J231" si="67">SUM(E228:E230)</f>
        <v>0</v>
      </c>
      <c r="F231" s="120">
        <f t="shared" si="67"/>
        <v>0</v>
      </c>
      <c r="G231" s="120">
        <f t="shared" si="67"/>
        <v>0</v>
      </c>
      <c r="H231" s="400">
        <f t="shared" si="67"/>
        <v>166</v>
      </c>
      <c r="I231" s="120">
        <f t="shared" si="67"/>
        <v>0</v>
      </c>
      <c r="J231" s="121">
        <f t="shared" si="67"/>
        <v>166</v>
      </c>
    </row>
    <row r="232" spans="2:10" x14ac:dyDescent="0.2">
      <c r="B232" s="463"/>
      <c r="C232" s="467" t="s">
        <v>199</v>
      </c>
      <c r="D232" s="113" t="s">
        <v>195</v>
      </c>
      <c r="E232" s="63">
        <v>112.93257999999999</v>
      </c>
      <c r="F232" s="63">
        <v>104.65330999999999</v>
      </c>
      <c r="G232" s="63">
        <v>104.17360000000002</v>
      </c>
      <c r="H232" s="63">
        <v>338.32229899999999</v>
      </c>
      <c r="I232" s="63">
        <v>136.91144</v>
      </c>
      <c r="J232" s="115">
        <f>SUM(E232:I232)</f>
        <v>796.99322900000004</v>
      </c>
    </row>
    <row r="233" spans="2:10" x14ac:dyDescent="0.2">
      <c r="B233" s="463"/>
      <c r="C233" s="467"/>
      <c r="D233" s="116" t="s">
        <v>196</v>
      </c>
      <c r="E233" s="63">
        <v>408.92875900000007</v>
      </c>
      <c r="F233" s="63">
        <v>318.23207899999989</v>
      </c>
      <c r="G233" s="63">
        <v>93.742800000000003</v>
      </c>
      <c r="H233" s="63">
        <v>246.43348599999999</v>
      </c>
      <c r="I233" s="63">
        <v>264.76996799999995</v>
      </c>
      <c r="J233" s="117">
        <f>SUM(E233:I233)</f>
        <v>1332.1070919999997</v>
      </c>
    </row>
    <row r="234" spans="2:10" x14ac:dyDescent="0.2">
      <c r="B234" s="463"/>
      <c r="C234" s="467"/>
      <c r="D234" s="118" t="s">
        <v>197</v>
      </c>
      <c r="E234" s="63">
        <v>9.4985900000000001</v>
      </c>
      <c r="F234" s="63">
        <v>3.5719099999999999</v>
      </c>
      <c r="G234" s="157">
        <v>0</v>
      </c>
      <c r="H234" s="157">
        <v>0</v>
      </c>
      <c r="I234" s="157">
        <v>0</v>
      </c>
      <c r="J234" s="135">
        <f>SUM(E234:I234)</f>
        <v>13.070499999999999</v>
      </c>
    </row>
    <row r="235" spans="2:10" x14ac:dyDescent="0.2">
      <c r="B235" s="463"/>
      <c r="C235" s="66" t="s">
        <v>200</v>
      </c>
      <c r="D235" s="155"/>
      <c r="E235" s="400">
        <f t="shared" ref="E235:J235" si="68">SUM(E232:E234)</f>
        <v>531.35992900000008</v>
      </c>
      <c r="F235" s="400">
        <f t="shared" si="68"/>
        <v>426.45729899999986</v>
      </c>
      <c r="G235" s="400">
        <f t="shared" si="68"/>
        <v>197.91640000000001</v>
      </c>
      <c r="H235" s="400">
        <f t="shared" si="68"/>
        <v>584.75578499999995</v>
      </c>
      <c r="I235" s="400">
        <f t="shared" si="68"/>
        <v>401.68140799999992</v>
      </c>
      <c r="J235" s="121">
        <f t="shared" si="68"/>
        <v>2142.1708209999997</v>
      </c>
    </row>
    <row r="236" spans="2:10" x14ac:dyDescent="0.2">
      <c r="B236" s="463"/>
      <c r="C236" s="468" t="s">
        <v>201</v>
      </c>
      <c r="D236" s="113" t="s">
        <v>195</v>
      </c>
      <c r="E236" s="63">
        <v>96.811999999999998</v>
      </c>
      <c r="F236" s="63">
        <v>794.72268599999995</v>
      </c>
      <c r="G236" s="63">
        <v>74.094260000000006</v>
      </c>
      <c r="H236" s="63">
        <v>551.66395</v>
      </c>
      <c r="I236" s="63">
        <v>187.18299999999999</v>
      </c>
      <c r="J236" s="115">
        <f>SUM(E236:I236)</f>
        <v>1704.4758959999999</v>
      </c>
    </row>
    <row r="237" spans="2:10" x14ac:dyDescent="0.2">
      <c r="B237" s="463"/>
      <c r="C237" s="468"/>
      <c r="D237" s="116" t="s">
        <v>196</v>
      </c>
      <c r="E237" s="63">
        <v>3</v>
      </c>
      <c r="F237" s="162">
        <v>0</v>
      </c>
      <c r="G237" s="162">
        <v>0</v>
      </c>
      <c r="H237" s="162">
        <v>0</v>
      </c>
      <c r="I237" s="63">
        <v>10.884798</v>
      </c>
      <c r="J237" s="117">
        <f>SUM(E237:I237)</f>
        <v>13.884798</v>
      </c>
    </row>
    <row r="238" spans="2:10" x14ac:dyDescent="0.2">
      <c r="B238" s="463"/>
      <c r="C238" s="468"/>
      <c r="D238" s="118" t="s">
        <v>197</v>
      </c>
      <c r="E238" s="162">
        <v>0</v>
      </c>
      <c r="F238" s="162">
        <v>0</v>
      </c>
      <c r="G238" s="162">
        <v>0</v>
      </c>
      <c r="H238" s="162">
        <v>0</v>
      </c>
      <c r="I238" s="162">
        <v>0</v>
      </c>
      <c r="J238" s="135">
        <f>SUM(E238:I238)</f>
        <v>0</v>
      </c>
    </row>
    <row r="239" spans="2:10" x14ac:dyDescent="0.2">
      <c r="B239" s="463"/>
      <c r="C239" s="69" t="s">
        <v>202</v>
      </c>
      <c r="D239" s="155"/>
      <c r="E239" s="400">
        <f t="shared" ref="E239:J239" si="69">SUM(E236:E238)</f>
        <v>99.811999999999998</v>
      </c>
      <c r="F239" s="400">
        <f t="shared" si="69"/>
        <v>794.72268599999995</v>
      </c>
      <c r="G239" s="400">
        <f t="shared" si="69"/>
        <v>74.094260000000006</v>
      </c>
      <c r="H239" s="400">
        <f t="shared" si="69"/>
        <v>551.66395</v>
      </c>
      <c r="I239" s="400">
        <f t="shared" si="69"/>
        <v>198.06779799999998</v>
      </c>
      <c r="J239" s="121">
        <f t="shared" si="69"/>
        <v>1718.360694</v>
      </c>
    </row>
    <row r="240" spans="2:10" x14ac:dyDescent="0.2">
      <c r="B240" s="463"/>
      <c r="C240" s="469" t="s">
        <v>203</v>
      </c>
      <c r="D240" s="113" t="s">
        <v>195</v>
      </c>
      <c r="E240" s="162">
        <v>0</v>
      </c>
      <c r="F240" s="162">
        <v>0</v>
      </c>
      <c r="G240" s="162">
        <v>0</v>
      </c>
      <c r="H240" s="162">
        <v>0</v>
      </c>
      <c r="I240" s="162">
        <v>0</v>
      </c>
      <c r="J240" s="115">
        <f>SUM(E240:I240)</f>
        <v>0</v>
      </c>
    </row>
    <row r="241" spans="2:10" x14ac:dyDescent="0.2">
      <c r="B241" s="463"/>
      <c r="C241" s="469"/>
      <c r="D241" s="116" t="s">
        <v>196</v>
      </c>
      <c r="E241" s="162">
        <v>0</v>
      </c>
      <c r="F241" s="164">
        <v>4.8500000000000005</v>
      </c>
      <c r="G241" s="162">
        <v>0</v>
      </c>
      <c r="H241" s="162">
        <v>0</v>
      </c>
      <c r="I241" s="63">
        <v>224.529</v>
      </c>
      <c r="J241" s="117">
        <f>SUM(E241:I241)</f>
        <v>229.37899999999999</v>
      </c>
    </row>
    <row r="242" spans="2:10" x14ac:dyDescent="0.2">
      <c r="B242" s="463"/>
      <c r="C242" s="470"/>
      <c r="D242" s="118" t="s">
        <v>197</v>
      </c>
      <c r="E242" s="162">
        <v>0</v>
      </c>
      <c r="F242" s="162">
        <v>0</v>
      </c>
      <c r="G242" s="162">
        <v>0</v>
      </c>
      <c r="H242" s="162">
        <v>0</v>
      </c>
      <c r="I242" s="162">
        <v>0</v>
      </c>
      <c r="J242" s="135">
        <f>SUM(E242:I242)</f>
        <v>0</v>
      </c>
    </row>
    <row r="243" spans="2:10" x14ac:dyDescent="0.2">
      <c r="B243" s="464"/>
      <c r="C243" s="66" t="s">
        <v>204</v>
      </c>
      <c r="D243" s="155"/>
      <c r="E243" s="120">
        <f t="shared" ref="E243:J243" si="70">SUM(E240:E242)</f>
        <v>0</v>
      </c>
      <c r="F243" s="404">
        <v>4.8500000000000005</v>
      </c>
      <c r="G243" s="120">
        <f t="shared" si="70"/>
        <v>0</v>
      </c>
      <c r="H243" s="120">
        <f t="shared" si="70"/>
        <v>0</v>
      </c>
      <c r="I243" s="400">
        <f t="shared" si="70"/>
        <v>224.529</v>
      </c>
      <c r="J243" s="121">
        <f t="shared" si="70"/>
        <v>229.37899999999999</v>
      </c>
    </row>
    <row r="244" spans="2:10" x14ac:dyDescent="0.2">
      <c r="B244" s="33" t="s">
        <v>212</v>
      </c>
      <c r="C244" s="47"/>
      <c r="D244" s="136"/>
      <c r="E244" s="402">
        <f t="shared" ref="E244:J244" si="71">+E243+E239+E235+E231</f>
        <v>631.17192900000009</v>
      </c>
      <c r="F244" s="402">
        <f t="shared" si="71"/>
        <v>1226.0299849999999</v>
      </c>
      <c r="G244" s="402">
        <f t="shared" si="71"/>
        <v>272.01066000000003</v>
      </c>
      <c r="H244" s="402">
        <f t="shared" si="71"/>
        <v>1302.4197349999999</v>
      </c>
      <c r="I244" s="402">
        <f t="shared" si="71"/>
        <v>824.27820599999995</v>
      </c>
      <c r="J244" s="127">
        <f t="shared" si="71"/>
        <v>4255.9105149999996</v>
      </c>
    </row>
    <row r="245" spans="2:10" x14ac:dyDescent="0.2">
      <c r="B245" s="462">
        <v>2016</v>
      </c>
      <c r="C245" s="465" t="s">
        <v>197</v>
      </c>
      <c r="D245" s="137" t="s">
        <v>195</v>
      </c>
      <c r="E245" s="157">
        <v>0</v>
      </c>
      <c r="F245" s="157">
        <v>0</v>
      </c>
      <c r="G245" s="157">
        <v>0</v>
      </c>
      <c r="H245" s="157">
        <v>0</v>
      </c>
      <c r="I245" s="157">
        <v>0</v>
      </c>
      <c r="J245" s="131">
        <f>SUM(E245:I245)</f>
        <v>0</v>
      </c>
    </row>
    <row r="246" spans="2:10" x14ac:dyDescent="0.2">
      <c r="B246" s="463"/>
      <c r="C246" s="466"/>
      <c r="D246" s="140" t="s">
        <v>196</v>
      </c>
      <c r="E246" s="157">
        <v>0</v>
      </c>
      <c r="F246" s="157">
        <v>0</v>
      </c>
      <c r="G246" s="157">
        <v>0</v>
      </c>
      <c r="H246" s="157">
        <v>0</v>
      </c>
      <c r="I246" s="157">
        <v>0</v>
      </c>
      <c r="J246" s="131">
        <f>SUM(E246:I246)</f>
        <v>0</v>
      </c>
    </row>
    <row r="247" spans="2:10" x14ac:dyDescent="0.2">
      <c r="B247" s="463"/>
      <c r="C247" s="466"/>
      <c r="D247" s="141" t="s">
        <v>197</v>
      </c>
      <c r="E247" s="157">
        <v>0</v>
      </c>
      <c r="F247" s="157">
        <v>0</v>
      </c>
      <c r="G247" s="157">
        <v>0</v>
      </c>
      <c r="H247" s="403">
        <v>131.77367900000002</v>
      </c>
      <c r="I247" s="157">
        <v>0</v>
      </c>
      <c r="J247" s="131">
        <f>SUM(E247:I247)</f>
        <v>131.77367900000002</v>
      </c>
    </row>
    <row r="248" spans="2:10" x14ac:dyDescent="0.2">
      <c r="B248" s="463"/>
      <c r="C248" s="70" t="s">
        <v>205</v>
      </c>
      <c r="D248" s="155"/>
      <c r="E248" s="120">
        <f t="shared" ref="E248:J248" si="72">SUM(E245:E247)</f>
        <v>0</v>
      </c>
      <c r="F248" s="120">
        <f t="shared" si="72"/>
        <v>0</v>
      </c>
      <c r="G248" s="120">
        <f t="shared" si="72"/>
        <v>0</v>
      </c>
      <c r="H248" s="400">
        <f t="shared" si="72"/>
        <v>131.77367900000002</v>
      </c>
      <c r="I248" s="120">
        <f t="shared" si="72"/>
        <v>0</v>
      </c>
      <c r="J248" s="121">
        <f t="shared" si="72"/>
        <v>131.77367900000002</v>
      </c>
    </row>
    <row r="249" spans="2:10" x14ac:dyDescent="0.2">
      <c r="B249" s="463"/>
      <c r="C249" s="467" t="s">
        <v>199</v>
      </c>
      <c r="D249" s="113" t="s">
        <v>195</v>
      </c>
      <c r="E249" s="63">
        <v>147.75030199999992</v>
      </c>
      <c r="F249" s="63">
        <v>78.564579999999992</v>
      </c>
      <c r="G249" s="63">
        <v>119.65917999999999</v>
      </c>
      <c r="H249" s="63">
        <v>179.34228999999999</v>
      </c>
      <c r="I249" s="63">
        <v>128.53651999999997</v>
      </c>
      <c r="J249" s="115">
        <f>SUM(E249:I249)</f>
        <v>653.85287199999982</v>
      </c>
    </row>
    <row r="250" spans="2:10" x14ac:dyDescent="0.2">
      <c r="B250" s="463"/>
      <c r="C250" s="467"/>
      <c r="D250" s="116" t="s">
        <v>196</v>
      </c>
      <c r="E250" s="63">
        <v>325.69425899999987</v>
      </c>
      <c r="F250" s="63">
        <v>375.59266100000008</v>
      </c>
      <c r="G250" s="63">
        <v>37.307059999999993</v>
      </c>
      <c r="H250" s="63">
        <v>179.28330000000003</v>
      </c>
      <c r="I250" s="63">
        <v>171.88119000000009</v>
      </c>
      <c r="J250" s="117">
        <f>SUM(E250:I250)</f>
        <v>1089.7584700000002</v>
      </c>
    </row>
    <row r="251" spans="2:10" x14ac:dyDescent="0.2">
      <c r="B251" s="463"/>
      <c r="C251" s="467"/>
      <c r="D251" s="118" t="s">
        <v>197</v>
      </c>
      <c r="E251" s="403">
        <v>8.6640800000000002</v>
      </c>
      <c r="F251" s="403">
        <v>8.7313500000000026</v>
      </c>
      <c r="G251" s="403">
        <v>9.6699999999999998E-3</v>
      </c>
      <c r="H251" s="157">
        <v>0</v>
      </c>
      <c r="I251" s="157">
        <v>0</v>
      </c>
      <c r="J251" s="135">
        <f>SUM(E251:I251)</f>
        <v>17.405100000000004</v>
      </c>
    </row>
    <row r="252" spans="2:10" x14ac:dyDescent="0.2">
      <c r="B252" s="463"/>
      <c r="C252" s="66" t="s">
        <v>200</v>
      </c>
      <c r="D252" s="155"/>
      <c r="E252" s="400">
        <f t="shared" ref="E252:J252" si="73">SUM(E249:E251)</f>
        <v>482.10864099999981</v>
      </c>
      <c r="F252" s="400">
        <f t="shared" si="73"/>
        <v>462.88859100000008</v>
      </c>
      <c r="G252" s="400">
        <f t="shared" si="73"/>
        <v>156.97590999999997</v>
      </c>
      <c r="H252" s="400">
        <f t="shared" si="73"/>
        <v>358.62558999999999</v>
      </c>
      <c r="I252" s="400">
        <f t="shared" si="73"/>
        <v>300.41771000000006</v>
      </c>
      <c r="J252" s="121">
        <f t="shared" si="73"/>
        <v>1761.0164420000001</v>
      </c>
    </row>
    <row r="253" spans="2:10" x14ac:dyDescent="0.2">
      <c r="B253" s="463"/>
      <c r="C253" s="468" t="s">
        <v>201</v>
      </c>
      <c r="D253" s="113" t="s">
        <v>195</v>
      </c>
      <c r="E253" s="63">
        <v>76.623999999999995</v>
      </c>
      <c r="F253" s="63">
        <v>886.26781900000003</v>
      </c>
      <c r="G253" s="63">
        <v>100.17815900000001</v>
      </c>
      <c r="H253" s="63">
        <v>922.63894099999993</v>
      </c>
      <c r="I253" s="63">
        <v>201.35196099999999</v>
      </c>
      <c r="J253" s="115">
        <f>SUM(E253:I253)</f>
        <v>2187.06088</v>
      </c>
    </row>
    <row r="254" spans="2:10" x14ac:dyDescent="0.2">
      <c r="B254" s="463"/>
      <c r="C254" s="468"/>
      <c r="D254" s="116" t="s">
        <v>196</v>
      </c>
      <c r="E254" s="63">
        <v>2.4550000000000001</v>
      </c>
      <c r="F254" s="401">
        <v>25.847000000000001</v>
      </c>
      <c r="G254" s="157">
        <v>0</v>
      </c>
      <c r="H254" s="157">
        <v>0</v>
      </c>
      <c r="I254" s="63">
        <v>6.6611049999999992</v>
      </c>
      <c r="J254" s="117">
        <f>SUM(E254:I254)</f>
        <v>34.963104999999999</v>
      </c>
    </row>
    <row r="255" spans="2:10" x14ac:dyDescent="0.2">
      <c r="B255" s="463"/>
      <c r="C255" s="468"/>
      <c r="D255" s="118" t="s">
        <v>197</v>
      </c>
      <c r="E255" s="162">
        <v>0</v>
      </c>
      <c r="F255" s="162">
        <v>0</v>
      </c>
      <c r="G255" s="162">
        <v>0</v>
      </c>
      <c r="H255" s="162">
        <v>0</v>
      </c>
      <c r="I255" s="162">
        <v>0</v>
      </c>
      <c r="J255" s="135">
        <f>SUM(E255:I255)</f>
        <v>0</v>
      </c>
    </row>
    <row r="256" spans="2:10" x14ac:dyDescent="0.2">
      <c r="B256" s="463"/>
      <c r="C256" s="69" t="s">
        <v>202</v>
      </c>
      <c r="D256" s="155"/>
      <c r="E256" s="400">
        <f t="shared" ref="E256:J256" si="74">SUM(E253:E255)</f>
        <v>79.078999999999994</v>
      </c>
      <c r="F256" s="400">
        <f t="shared" si="74"/>
        <v>912.11481900000001</v>
      </c>
      <c r="G256" s="400">
        <f t="shared" si="74"/>
        <v>100.17815900000001</v>
      </c>
      <c r="H256" s="400">
        <f t="shared" si="74"/>
        <v>922.63894099999993</v>
      </c>
      <c r="I256" s="400">
        <f t="shared" si="74"/>
        <v>208.01306599999998</v>
      </c>
      <c r="J256" s="121">
        <f t="shared" si="74"/>
        <v>2222.0239849999998</v>
      </c>
    </row>
    <row r="257" spans="2:10" x14ac:dyDescent="0.2">
      <c r="B257" s="463"/>
      <c r="C257" s="469" t="s">
        <v>203</v>
      </c>
      <c r="D257" s="113" t="s">
        <v>195</v>
      </c>
      <c r="E257" s="162">
        <v>0</v>
      </c>
      <c r="F257" s="162">
        <v>0</v>
      </c>
      <c r="G257" s="162">
        <v>0</v>
      </c>
      <c r="H257" s="162">
        <v>0</v>
      </c>
      <c r="I257" s="162">
        <v>0</v>
      </c>
      <c r="J257" s="115">
        <f>SUM(E257:I257)</f>
        <v>0</v>
      </c>
    </row>
    <row r="258" spans="2:10" x14ac:dyDescent="0.2">
      <c r="B258" s="463"/>
      <c r="C258" s="469"/>
      <c r="D258" s="116" t="s">
        <v>196</v>
      </c>
      <c r="E258" s="162">
        <v>0</v>
      </c>
      <c r="F258" s="164">
        <v>4.5229999999999988</v>
      </c>
      <c r="G258" s="162">
        <v>0</v>
      </c>
      <c r="H258" s="162">
        <v>0</v>
      </c>
      <c r="I258" s="63">
        <v>53.334000000000003</v>
      </c>
      <c r="J258" s="117">
        <f>SUM(E258:I258)</f>
        <v>57.856999999999999</v>
      </c>
    </row>
    <row r="259" spans="2:10" x14ac:dyDescent="0.2">
      <c r="B259" s="463"/>
      <c r="C259" s="470"/>
      <c r="D259" s="118" t="s">
        <v>197</v>
      </c>
      <c r="E259" s="162">
        <v>0</v>
      </c>
      <c r="F259" s="162">
        <v>0</v>
      </c>
      <c r="G259" s="162">
        <v>0</v>
      </c>
      <c r="H259" s="162">
        <v>0</v>
      </c>
      <c r="I259" s="162">
        <v>0</v>
      </c>
      <c r="J259" s="135">
        <f>SUM(E259:I259)</f>
        <v>0</v>
      </c>
    </row>
    <row r="260" spans="2:10" x14ac:dyDescent="0.2">
      <c r="B260" s="464"/>
      <c r="C260" s="66" t="s">
        <v>204</v>
      </c>
      <c r="D260" s="155"/>
      <c r="E260" s="120">
        <f t="shared" ref="E260:J260" si="75">SUM(E257:E259)</f>
        <v>0</v>
      </c>
      <c r="F260" s="400">
        <f t="shared" si="75"/>
        <v>4.5229999999999988</v>
      </c>
      <c r="G260" s="120">
        <f t="shared" si="75"/>
        <v>0</v>
      </c>
      <c r="H260" s="120">
        <f t="shared" si="75"/>
        <v>0</v>
      </c>
      <c r="I260" s="400">
        <f t="shared" si="75"/>
        <v>53.334000000000003</v>
      </c>
      <c r="J260" s="121">
        <f t="shared" si="75"/>
        <v>57.856999999999999</v>
      </c>
    </row>
    <row r="261" spans="2:10" x14ac:dyDescent="0.2">
      <c r="B261" s="33" t="s">
        <v>231</v>
      </c>
      <c r="C261" s="47"/>
      <c r="D261" s="136"/>
      <c r="E261" s="402">
        <f t="shared" ref="E261:J261" si="76">+E260+E256+E252+E248</f>
        <v>561.18764099999976</v>
      </c>
      <c r="F261" s="402">
        <f t="shared" si="76"/>
        <v>1379.5264100000002</v>
      </c>
      <c r="G261" s="402">
        <f t="shared" si="76"/>
        <v>257.15406899999999</v>
      </c>
      <c r="H261" s="402">
        <f t="shared" si="76"/>
        <v>1413.0382099999997</v>
      </c>
      <c r="I261" s="402">
        <f t="shared" si="76"/>
        <v>561.76477599999998</v>
      </c>
      <c r="J261" s="127">
        <f t="shared" si="76"/>
        <v>4172.6711059999998</v>
      </c>
    </row>
    <row r="262" spans="2:10" x14ac:dyDescent="0.2">
      <c r="B262" s="71"/>
      <c r="C262" s="165"/>
      <c r="D262" s="166"/>
      <c r="E262" s="167"/>
      <c r="F262" s="167"/>
      <c r="G262" s="167"/>
      <c r="H262" s="167"/>
      <c r="I262" s="167"/>
      <c r="J262" s="167"/>
    </row>
    <row r="263" spans="2:10" x14ac:dyDescent="0.2">
      <c r="B263" s="168" t="s">
        <v>32</v>
      </c>
      <c r="C263" s="109"/>
      <c r="D263" s="169"/>
      <c r="E263" s="170"/>
      <c r="F263" s="170"/>
      <c r="G263" s="170"/>
      <c r="H263" s="170"/>
      <c r="I263" s="170"/>
      <c r="J263" s="170"/>
    </row>
    <row r="264" spans="2:10" x14ac:dyDescent="0.2">
      <c r="B264" s="109" t="s">
        <v>206</v>
      </c>
      <c r="D264" s="171"/>
    </row>
    <row r="265" spans="2:10" x14ac:dyDescent="0.2">
      <c r="B265" s="91" t="s">
        <v>30</v>
      </c>
      <c r="D265" s="171"/>
    </row>
    <row r="266" spans="2:10" x14ac:dyDescent="0.2">
      <c r="B266" s="91" t="s">
        <v>40</v>
      </c>
      <c r="D266" s="171"/>
    </row>
    <row r="267" spans="2:10" x14ac:dyDescent="0.2">
      <c r="B267" s="91" t="s">
        <v>207</v>
      </c>
      <c r="D267" s="171"/>
    </row>
    <row r="268" spans="2:10" x14ac:dyDescent="0.2">
      <c r="B268" s="91" t="s">
        <v>208</v>
      </c>
      <c r="D268" s="171"/>
    </row>
    <row r="269" spans="2:10" x14ac:dyDescent="0.2">
      <c r="B269" s="91" t="s">
        <v>209</v>
      </c>
      <c r="D269" s="171"/>
    </row>
    <row r="270" spans="2:10" x14ac:dyDescent="0.2">
      <c r="B270" s="504" t="s">
        <v>251</v>
      </c>
      <c r="C270" s="504"/>
      <c r="D270" s="504"/>
      <c r="E270" s="504"/>
      <c r="F270" s="504"/>
      <c r="G270" s="504"/>
      <c r="H270" s="504"/>
      <c r="I270" s="504"/>
    </row>
  </sheetData>
  <mergeCells count="77">
    <mergeCell ref="B270:I270"/>
    <mergeCell ref="B245:B260"/>
    <mergeCell ref="C245:C247"/>
    <mergeCell ref="C249:C251"/>
    <mergeCell ref="C253:C255"/>
    <mergeCell ref="C257:C259"/>
    <mergeCell ref="B228:B243"/>
    <mergeCell ref="C228:C230"/>
    <mergeCell ref="C232:C234"/>
    <mergeCell ref="C236:C238"/>
    <mergeCell ref="C240:C242"/>
    <mergeCell ref="B211:B226"/>
    <mergeCell ref="C211:C213"/>
    <mergeCell ref="C215:C217"/>
    <mergeCell ref="C219:C221"/>
    <mergeCell ref="C223:C225"/>
    <mergeCell ref="D5:I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77:B192"/>
    <mergeCell ref="C177:C179"/>
    <mergeCell ref="C181:C183"/>
    <mergeCell ref="C185:C187"/>
    <mergeCell ref="C189:C191"/>
    <mergeCell ref="B160:B175"/>
    <mergeCell ref="C160:C162"/>
    <mergeCell ref="C164:C166"/>
    <mergeCell ref="C168:C170"/>
    <mergeCell ref="C172:C174"/>
    <mergeCell ref="B194:B209"/>
    <mergeCell ref="C194:C196"/>
    <mergeCell ref="C198:C200"/>
    <mergeCell ref="C202:C204"/>
    <mergeCell ref="C206:C208"/>
  </mergeCells>
  <pageMargins left="0.7" right="0.7" top="0.75" bottom="0.75" header="0.3" footer="0.3"/>
  <ignoredErrors>
    <ignoredError sqref="J197 J201 J2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J20"/>
  <sheetViews>
    <sheetView showGridLines="0" workbookViewId="0"/>
  </sheetViews>
  <sheetFormatPr defaultRowHeight="12.75" x14ac:dyDescent="0.2"/>
  <cols>
    <col min="1" max="1" width="5.7109375" style="91" customWidth="1"/>
    <col min="2" max="2" width="33.5703125" style="91" customWidth="1"/>
    <col min="3" max="3" width="16" style="91" customWidth="1"/>
    <col min="4" max="4" width="15.42578125" style="91" customWidth="1"/>
    <col min="5" max="5" width="18.140625" style="91" customWidth="1"/>
    <col min="6" max="6" width="17" style="91" customWidth="1"/>
    <col min="7" max="7" width="15.7109375" style="91" customWidth="1"/>
    <col min="8" max="8" width="15" style="91" customWidth="1"/>
    <col min="9" max="9" width="11.42578125" style="91" customWidth="1"/>
    <col min="10" max="10" width="9.140625" style="91"/>
    <col min="11" max="11" width="14.42578125" style="91" customWidth="1"/>
    <col min="12" max="12" width="12.5703125" style="91" customWidth="1"/>
    <col min="13" max="16" width="12" style="91" customWidth="1"/>
    <col min="17" max="17" width="14.28515625" style="91" customWidth="1"/>
    <col min="18" max="18" width="12" style="91" customWidth="1"/>
    <col min="19" max="16384" width="9.140625" style="91"/>
  </cols>
  <sheetData>
    <row r="1" spans="1:10" x14ac:dyDescent="0.2">
      <c r="A1" s="90"/>
    </row>
    <row r="2" spans="1:10" ht="22.5" customHeight="1" x14ac:dyDescent="0.2">
      <c r="B2" s="92" t="s">
        <v>232</v>
      </c>
      <c r="C2" s="170"/>
      <c r="D2" s="93"/>
      <c r="E2" s="170"/>
      <c r="F2" s="170"/>
      <c r="G2" s="109"/>
      <c r="H2" s="170"/>
      <c r="I2" s="172"/>
    </row>
    <row r="3" spans="1:10" ht="18.75" x14ac:dyDescent="0.2">
      <c r="B3" s="94" t="s">
        <v>31</v>
      </c>
      <c r="C3" s="170"/>
      <c r="D3" s="170"/>
      <c r="E3" s="170"/>
      <c r="F3" s="170"/>
      <c r="G3" s="109"/>
      <c r="H3" s="170"/>
      <c r="I3" s="172"/>
    </row>
    <row r="4" spans="1:10" x14ac:dyDescent="0.2">
      <c r="B4" s="173"/>
    </row>
    <row r="5" spans="1:10" ht="12.75" customHeight="1" x14ac:dyDescent="0.2">
      <c r="B5" s="453" t="s">
        <v>23</v>
      </c>
      <c r="C5" s="457" t="s">
        <v>13</v>
      </c>
      <c r="D5" s="458"/>
      <c r="E5" s="458"/>
      <c r="F5" s="458"/>
      <c r="G5" s="459"/>
      <c r="H5" s="460" t="s">
        <v>72</v>
      </c>
    </row>
    <row r="6" spans="1:10" ht="37.5" customHeight="1" x14ac:dyDescent="0.2">
      <c r="B6" s="454"/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461"/>
    </row>
    <row r="7" spans="1:10" ht="24.95" customHeight="1" x14ac:dyDescent="0.2">
      <c r="B7" s="174" t="s">
        <v>25</v>
      </c>
      <c r="C7" s="175">
        <v>0</v>
      </c>
      <c r="D7" s="175">
        <v>0</v>
      </c>
      <c r="E7" s="175">
        <v>0</v>
      </c>
      <c r="F7" s="406">
        <v>1040.1300000000001</v>
      </c>
      <c r="G7" s="175">
        <v>0</v>
      </c>
      <c r="H7" s="96">
        <f t="shared" ref="H7:H12" si="0">SUM(C7:G7)</f>
        <v>1040.1300000000001</v>
      </c>
    </row>
    <row r="8" spans="1:10" ht="24.95" customHeight="1" x14ac:dyDescent="0.2">
      <c r="B8" s="99" t="s">
        <v>26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00">
        <f t="shared" si="0"/>
        <v>0</v>
      </c>
      <c r="I8" s="97"/>
      <c r="J8" s="97"/>
    </row>
    <row r="9" spans="1:10" ht="24.95" customHeight="1" x14ac:dyDescent="0.2">
      <c r="B9" s="99" t="s">
        <v>38</v>
      </c>
      <c r="C9" s="406">
        <v>6244.0829999999996</v>
      </c>
      <c r="D9" s="406">
        <v>10807.811</v>
      </c>
      <c r="E9" s="175">
        <v>0</v>
      </c>
      <c r="F9" s="406">
        <v>2067.335</v>
      </c>
      <c r="G9" s="175">
        <v>0</v>
      </c>
      <c r="H9" s="100">
        <f t="shared" si="0"/>
        <v>19119.228999999999</v>
      </c>
      <c r="I9" s="14"/>
      <c r="J9" s="97"/>
    </row>
    <row r="10" spans="1:10" ht="24.95" customHeight="1" x14ac:dyDescent="0.2">
      <c r="B10" s="99" t="s">
        <v>28</v>
      </c>
      <c r="C10" s="406">
        <v>3113.942</v>
      </c>
      <c r="D10" s="406">
        <v>434.27799999999996</v>
      </c>
      <c r="E10" s="406">
        <v>10844.155000000001</v>
      </c>
      <c r="F10" s="406">
        <v>614.43700000000001</v>
      </c>
      <c r="G10" s="406">
        <v>1353.5240000000001</v>
      </c>
      <c r="H10" s="100">
        <f t="shared" si="0"/>
        <v>16360.335999999999</v>
      </c>
      <c r="I10" s="97"/>
      <c r="J10" s="97"/>
    </row>
    <row r="11" spans="1:10" ht="24.95" customHeight="1" x14ac:dyDescent="0.2">
      <c r="B11" s="101" t="s">
        <v>29</v>
      </c>
      <c r="C11" s="175">
        <v>0</v>
      </c>
      <c r="D11" s="175">
        <v>0</v>
      </c>
      <c r="E11" s="406">
        <v>200</v>
      </c>
      <c r="F11" s="175">
        <v>0</v>
      </c>
      <c r="G11" s="406">
        <v>3364.3380000000002</v>
      </c>
      <c r="H11" s="100">
        <f t="shared" si="0"/>
        <v>3564.3380000000002</v>
      </c>
      <c r="I11" s="97"/>
    </row>
    <row r="12" spans="1:10" ht="24.95" customHeight="1" x14ac:dyDescent="0.2">
      <c r="B12" s="102" t="s">
        <v>14</v>
      </c>
      <c r="C12" s="406">
        <v>813.88099999999997</v>
      </c>
      <c r="D12" s="406">
        <v>2759.8530000000001</v>
      </c>
      <c r="E12" s="406">
        <v>14678.125</v>
      </c>
      <c r="F12" s="406">
        <v>1860.0549999999998</v>
      </c>
      <c r="G12" s="406">
        <v>3412.2830000000004</v>
      </c>
      <c r="H12" s="100">
        <f t="shared" si="0"/>
        <v>23524.197</v>
      </c>
    </row>
    <row r="13" spans="1:10" ht="24.95" customHeight="1" x14ac:dyDescent="0.2">
      <c r="B13" s="103" t="s">
        <v>34</v>
      </c>
      <c r="C13" s="104">
        <f t="shared" ref="C13:H13" si="1">SUM(C7:C12)</f>
        <v>10171.905999999999</v>
      </c>
      <c r="D13" s="104">
        <f t="shared" si="1"/>
        <v>14001.941999999999</v>
      </c>
      <c r="E13" s="104">
        <f t="shared" si="1"/>
        <v>25722.28</v>
      </c>
      <c r="F13" s="104">
        <f t="shared" si="1"/>
        <v>5581.9570000000003</v>
      </c>
      <c r="G13" s="104">
        <f t="shared" si="1"/>
        <v>8130.1450000000004</v>
      </c>
      <c r="H13" s="106">
        <f t="shared" si="1"/>
        <v>63608.23</v>
      </c>
    </row>
    <row r="14" spans="1:10" x14ac:dyDescent="0.2">
      <c r="B14" s="176" t="s">
        <v>71</v>
      </c>
      <c r="I14" s="177"/>
    </row>
    <row r="15" spans="1:10" ht="6" customHeight="1" x14ac:dyDescent="0.2">
      <c r="B15" s="176"/>
      <c r="C15" s="109"/>
      <c r="D15" s="109"/>
      <c r="E15" s="109"/>
      <c r="F15" s="109"/>
      <c r="G15" s="109"/>
      <c r="I15" s="177"/>
    </row>
    <row r="16" spans="1:10" x14ac:dyDescent="0.2">
      <c r="B16" s="107" t="s">
        <v>32</v>
      </c>
      <c r="C16" s="110"/>
      <c r="D16" s="110"/>
      <c r="E16" s="110"/>
      <c r="F16" s="110"/>
      <c r="G16" s="110"/>
      <c r="H16" s="110"/>
      <c r="I16" s="177"/>
    </row>
    <row r="17" spans="2:9" x14ac:dyDescent="0.2">
      <c r="B17" s="109" t="s">
        <v>233</v>
      </c>
      <c r="C17" s="110"/>
      <c r="D17" s="110"/>
      <c r="E17" s="110"/>
      <c r="F17" s="110"/>
      <c r="G17" s="110"/>
      <c r="H17" s="110"/>
      <c r="I17" s="177"/>
    </row>
    <row r="18" spans="2:9" x14ac:dyDescent="0.2">
      <c r="B18" s="91" t="s">
        <v>234</v>
      </c>
      <c r="I18" s="177"/>
    </row>
    <row r="19" spans="2:9" ht="9" customHeight="1" x14ac:dyDescent="0.2">
      <c r="B19" s="455"/>
      <c r="C19" s="455"/>
      <c r="D19" s="455"/>
      <c r="E19" s="455"/>
      <c r="F19" s="455"/>
      <c r="G19" s="455"/>
      <c r="H19" s="456"/>
      <c r="I19" s="177"/>
    </row>
    <row r="20" spans="2:9" ht="12.75" customHeight="1" x14ac:dyDescent="0.2">
      <c r="B20" s="455"/>
      <c r="C20" s="455"/>
      <c r="D20" s="455"/>
      <c r="E20" s="455"/>
      <c r="F20" s="455"/>
      <c r="G20" s="455"/>
      <c r="H20" s="456"/>
      <c r="I20" s="177"/>
    </row>
  </sheetData>
  <mergeCells count="5">
    <mergeCell ref="H5:H6"/>
    <mergeCell ref="B19:H19"/>
    <mergeCell ref="B20:H20"/>
    <mergeCell ref="B5:B6"/>
    <mergeCell ref="C5:G5"/>
  </mergeCells>
  <phoneticPr fontId="2" type="noConversion"/>
  <pageMargins left="0.75" right="0.75" top="1" bottom="1" header="0.5" footer="0.5"/>
  <pageSetup paperSize="9" scale="93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72"/>
  <sheetViews>
    <sheetView showGridLines="0" workbookViewId="0"/>
  </sheetViews>
  <sheetFormatPr defaultRowHeight="12.75" x14ac:dyDescent="0.2"/>
  <cols>
    <col min="1" max="1" width="3.140625" style="194" customWidth="1"/>
    <col min="2" max="2" width="20" style="194" customWidth="1"/>
    <col min="3" max="3" width="16.28515625" style="194" customWidth="1"/>
    <col min="4" max="4" width="16.140625" style="194" customWidth="1"/>
    <col min="5" max="5" width="14.85546875" style="194" customWidth="1"/>
    <col min="6" max="6" width="11.85546875" style="194" customWidth="1"/>
    <col min="7" max="7" width="17.140625" style="194" customWidth="1"/>
    <col min="8" max="8" width="17.7109375" style="194" customWidth="1"/>
    <col min="9" max="9" width="12.85546875" style="194" customWidth="1"/>
    <col min="10" max="16384" width="9.140625" style="194"/>
  </cols>
  <sheetData>
    <row r="1" spans="1:9" x14ac:dyDescent="0.2">
      <c r="A1" s="90"/>
    </row>
    <row r="2" spans="1:9" ht="18.75" x14ac:dyDescent="0.2">
      <c r="B2" s="112" t="s">
        <v>235</v>
      </c>
      <c r="C2" s="407"/>
      <c r="D2" s="407"/>
      <c r="E2" s="407"/>
      <c r="F2" s="407"/>
      <c r="G2" s="407"/>
      <c r="H2" s="407"/>
      <c r="I2" s="407"/>
    </row>
    <row r="3" spans="1:9" ht="18.75" x14ac:dyDescent="0.2">
      <c r="B3" s="94" t="s">
        <v>31</v>
      </c>
      <c r="C3" s="407"/>
      <c r="D3" s="407"/>
      <c r="E3" s="407"/>
      <c r="F3" s="407"/>
      <c r="G3" s="407"/>
      <c r="H3" s="407"/>
      <c r="I3" s="407"/>
    </row>
    <row r="4" spans="1:9" ht="18" x14ac:dyDescent="0.2">
      <c r="B4" s="195"/>
      <c r="C4" s="407"/>
      <c r="D4" s="407"/>
      <c r="E4" s="407"/>
      <c r="F4" s="407"/>
      <c r="G4" s="407"/>
      <c r="H4" s="407"/>
      <c r="I4" s="407"/>
    </row>
    <row r="5" spans="1:9" x14ac:dyDescent="0.2">
      <c r="B5" s="481" t="s">
        <v>95</v>
      </c>
      <c r="C5" s="483" t="s">
        <v>12</v>
      </c>
      <c r="D5" s="458" t="s">
        <v>87</v>
      </c>
      <c r="E5" s="458"/>
      <c r="F5" s="458"/>
      <c r="G5" s="458"/>
      <c r="H5" s="458"/>
      <c r="I5" s="460" t="s">
        <v>72</v>
      </c>
    </row>
    <row r="6" spans="1:9" x14ac:dyDescent="0.2">
      <c r="B6" s="482"/>
      <c r="C6" s="484"/>
      <c r="D6" s="12" t="s">
        <v>57</v>
      </c>
      <c r="E6" s="12" t="s">
        <v>58</v>
      </c>
      <c r="F6" s="12" t="s">
        <v>59</v>
      </c>
      <c r="G6" s="12" t="s">
        <v>60</v>
      </c>
      <c r="H6" s="13" t="s">
        <v>61</v>
      </c>
      <c r="I6" s="461"/>
    </row>
    <row r="7" spans="1:9" x14ac:dyDescent="0.2">
      <c r="B7" s="479" t="s">
        <v>96</v>
      </c>
      <c r="C7" s="408" t="s">
        <v>14</v>
      </c>
      <c r="D7" s="409">
        <v>2304</v>
      </c>
      <c r="E7" s="410">
        <v>3470</v>
      </c>
      <c r="F7" s="410">
        <v>1923</v>
      </c>
      <c r="G7" s="410">
        <v>3730</v>
      </c>
      <c r="H7" s="410">
        <v>2470</v>
      </c>
      <c r="I7" s="411">
        <f>SUM(D7:H7)</f>
        <v>13897</v>
      </c>
    </row>
    <row r="8" spans="1:9" x14ac:dyDescent="0.2">
      <c r="B8" s="480"/>
      <c r="C8" s="412" t="s">
        <v>97</v>
      </c>
      <c r="D8" s="413">
        <v>5669</v>
      </c>
      <c r="E8" s="414">
        <v>10000</v>
      </c>
      <c r="F8" s="414">
        <v>17969</v>
      </c>
      <c r="G8" s="414">
        <v>14411</v>
      </c>
      <c r="H8" s="414">
        <v>9563</v>
      </c>
      <c r="I8" s="415">
        <f>SUM(D8:H8)</f>
        <v>57612</v>
      </c>
    </row>
    <row r="9" spans="1:9" x14ac:dyDescent="0.2">
      <c r="B9" s="480"/>
      <c r="C9" s="412" t="s">
        <v>98</v>
      </c>
      <c r="D9" s="413">
        <v>7337</v>
      </c>
      <c r="E9" s="414">
        <v>2259</v>
      </c>
      <c r="F9" s="414">
        <v>345</v>
      </c>
      <c r="G9" s="414">
        <v>7674</v>
      </c>
      <c r="H9" s="414">
        <v>194</v>
      </c>
      <c r="I9" s="415">
        <f t="shared" ref="I9:I17" si="0">SUM(D9:H9)</f>
        <v>17809</v>
      </c>
    </row>
    <row r="10" spans="1:9" ht="17.25" customHeight="1" x14ac:dyDescent="0.2">
      <c r="B10" s="48"/>
      <c r="C10" s="416"/>
      <c r="D10" s="402">
        <f t="shared" ref="D10:I10" si="1">SUM(D7:D9)</f>
        <v>15310</v>
      </c>
      <c r="E10" s="402">
        <f t="shared" si="1"/>
        <v>15729</v>
      </c>
      <c r="F10" s="402">
        <f t="shared" si="1"/>
        <v>20237</v>
      </c>
      <c r="G10" s="402">
        <f t="shared" si="1"/>
        <v>25815</v>
      </c>
      <c r="H10" s="402">
        <f t="shared" si="1"/>
        <v>12227</v>
      </c>
      <c r="I10" s="204">
        <f t="shared" si="1"/>
        <v>89318</v>
      </c>
    </row>
    <row r="11" spans="1:9" x14ac:dyDescent="0.2">
      <c r="B11" s="480" t="s">
        <v>99</v>
      </c>
      <c r="C11" s="412" t="s">
        <v>14</v>
      </c>
      <c r="D11" s="413">
        <v>1081</v>
      </c>
      <c r="E11" s="414">
        <v>3430</v>
      </c>
      <c r="F11" s="414">
        <v>1831</v>
      </c>
      <c r="G11" s="414">
        <v>531</v>
      </c>
      <c r="H11" s="417">
        <v>2240</v>
      </c>
      <c r="I11" s="415">
        <f t="shared" si="0"/>
        <v>9113</v>
      </c>
    </row>
    <row r="12" spans="1:9" x14ac:dyDescent="0.2">
      <c r="B12" s="480"/>
      <c r="C12" s="412" t="s">
        <v>97</v>
      </c>
      <c r="D12" s="413">
        <v>14679</v>
      </c>
      <c r="E12" s="414">
        <v>10296</v>
      </c>
      <c r="F12" s="414">
        <v>13064</v>
      </c>
      <c r="G12" s="414">
        <v>12335</v>
      </c>
      <c r="H12" s="417">
        <v>9899</v>
      </c>
      <c r="I12" s="415">
        <f t="shared" si="0"/>
        <v>60273</v>
      </c>
    </row>
    <row r="13" spans="1:9" x14ac:dyDescent="0.2">
      <c r="B13" s="480"/>
      <c r="C13" s="412" t="s">
        <v>98</v>
      </c>
      <c r="D13" s="413">
        <v>7178</v>
      </c>
      <c r="E13" s="414">
        <v>2203</v>
      </c>
      <c r="F13" s="414">
        <v>372</v>
      </c>
      <c r="G13" s="414">
        <v>7397</v>
      </c>
      <c r="H13" s="417">
        <v>3324</v>
      </c>
      <c r="I13" s="415">
        <f t="shared" si="0"/>
        <v>20474</v>
      </c>
    </row>
    <row r="14" spans="1:9" ht="15.75" customHeight="1" x14ac:dyDescent="0.2">
      <c r="B14" s="23"/>
      <c r="C14" s="418"/>
      <c r="D14" s="402">
        <f t="shared" ref="D14:I14" si="2">SUM(D11:D13)</f>
        <v>22938</v>
      </c>
      <c r="E14" s="402">
        <f t="shared" si="2"/>
        <v>15929</v>
      </c>
      <c r="F14" s="402">
        <f t="shared" si="2"/>
        <v>15267</v>
      </c>
      <c r="G14" s="402">
        <f t="shared" si="2"/>
        <v>20263</v>
      </c>
      <c r="H14" s="402">
        <f t="shared" si="2"/>
        <v>15463</v>
      </c>
      <c r="I14" s="204">
        <f t="shared" si="2"/>
        <v>89860</v>
      </c>
    </row>
    <row r="15" spans="1:9" x14ac:dyDescent="0.2">
      <c r="B15" s="480">
        <v>2004</v>
      </c>
      <c r="C15" s="412" t="s">
        <v>14</v>
      </c>
      <c r="D15" s="413">
        <v>4603.7929999999997</v>
      </c>
      <c r="E15" s="414">
        <v>4738.0046548060018</v>
      </c>
      <c r="F15" s="414">
        <v>731.00233300000014</v>
      </c>
      <c r="G15" s="414">
        <v>66.394000000000005</v>
      </c>
      <c r="H15" s="417">
        <v>2883.491</v>
      </c>
      <c r="I15" s="415">
        <f t="shared" si="0"/>
        <v>13022.684987806002</v>
      </c>
    </row>
    <row r="16" spans="1:9" x14ac:dyDescent="0.2">
      <c r="B16" s="480"/>
      <c r="C16" s="412" t="s">
        <v>97</v>
      </c>
      <c r="D16" s="413">
        <v>12294.072</v>
      </c>
      <c r="E16" s="414">
        <v>10611.597</v>
      </c>
      <c r="F16" s="414">
        <v>17196.307999999997</v>
      </c>
      <c r="G16" s="414">
        <v>8217.3663459999989</v>
      </c>
      <c r="H16" s="417">
        <v>7869.0950000000003</v>
      </c>
      <c r="I16" s="415">
        <f t="shared" si="0"/>
        <v>56188.438345999995</v>
      </c>
    </row>
    <row r="17" spans="2:9" x14ac:dyDescent="0.2">
      <c r="B17" s="480"/>
      <c r="C17" s="412" t="s">
        <v>98</v>
      </c>
      <c r="D17" s="413">
        <v>662.58299999999997</v>
      </c>
      <c r="E17" s="414">
        <v>572.81600000000003</v>
      </c>
      <c r="F17" s="414">
        <v>586.01499999999999</v>
      </c>
      <c r="G17" s="414">
        <v>0</v>
      </c>
      <c r="H17" s="417">
        <v>832.11350000000004</v>
      </c>
      <c r="I17" s="415">
        <f t="shared" si="0"/>
        <v>2653.5274999999997</v>
      </c>
    </row>
    <row r="18" spans="2:9" ht="17.25" customHeight="1" x14ac:dyDescent="0.2">
      <c r="B18" s="23"/>
      <c r="C18" s="418"/>
      <c r="D18" s="402">
        <f t="shared" ref="D18:I18" si="3">SUM(D15:D17)</f>
        <v>17560.447999999997</v>
      </c>
      <c r="E18" s="402">
        <f t="shared" si="3"/>
        <v>15922.417654806002</v>
      </c>
      <c r="F18" s="402">
        <f t="shared" si="3"/>
        <v>18513.325332999997</v>
      </c>
      <c r="G18" s="402">
        <f t="shared" si="3"/>
        <v>8283.7603459999991</v>
      </c>
      <c r="H18" s="402">
        <f t="shared" si="3"/>
        <v>11584.699499999999</v>
      </c>
      <c r="I18" s="204">
        <f t="shared" si="3"/>
        <v>71864.650833805994</v>
      </c>
    </row>
    <row r="19" spans="2:9" x14ac:dyDescent="0.2">
      <c r="B19" s="480">
        <v>2005</v>
      </c>
      <c r="C19" s="412" t="s">
        <v>14</v>
      </c>
      <c r="D19" s="419">
        <v>4258.75</v>
      </c>
      <c r="E19" s="419">
        <v>3254.1819999999998</v>
      </c>
      <c r="F19" s="419">
        <v>548.44000000000005</v>
      </c>
      <c r="G19" s="419">
        <v>399.53899999999999</v>
      </c>
      <c r="H19" s="419">
        <v>2214.3069999999998</v>
      </c>
      <c r="I19" s="415">
        <f>SUM(D19:H19)</f>
        <v>10675.218000000001</v>
      </c>
    </row>
    <row r="20" spans="2:9" x14ac:dyDescent="0.2">
      <c r="B20" s="480"/>
      <c r="C20" s="412" t="s">
        <v>97</v>
      </c>
      <c r="D20" s="419">
        <v>12095.683000000001</v>
      </c>
      <c r="E20" s="419">
        <v>10850.396000000001</v>
      </c>
      <c r="F20" s="419">
        <v>15298.666999999999</v>
      </c>
      <c r="G20" s="419">
        <v>8011.982</v>
      </c>
      <c r="H20" s="419">
        <v>6055.1049999999996</v>
      </c>
      <c r="I20" s="415">
        <f>SUM(D20:H20)</f>
        <v>52311.832999999999</v>
      </c>
    </row>
    <row r="21" spans="2:9" x14ac:dyDescent="0.2">
      <c r="B21" s="480"/>
      <c r="C21" s="412" t="s">
        <v>98</v>
      </c>
      <c r="D21" s="419">
        <v>637.23</v>
      </c>
      <c r="E21" s="419">
        <v>581.19299999999998</v>
      </c>
      <c r="F21" s="419">
        <v>2714.826</v>
      </c>
      <c r="G21" s="419">
        <v>0</v>
      </c>
      <c r="H21" s="419">
        <v>2269.768</v>
      </c>
      <c r="I21" s="415">
        <f>SUM(D21:H21)</f>
        <v>6203.0169999999998</v>
      </c>
    </row>
    <row r="22" spans="2:9" ht="16.5" customHeight="1" x14ac:dyDescent="0.2">
      <c r="B22" s="23"/>
      <c r="C22" s="418"/>
      <c r="D22" s="420">
        <f t="shared" ref="D22:I22" si="4">SUM(D19:D21)</f>
        <v>16991.663</v>
      </c>
      <c r="E22" s="420">
        <f t="shared" si="4"/>
        <v>14685.771000000001</v>
      </c>
      <c r="F22" s="420">
        <f t="shared" si="4"/>
        <v>18561.933000000001</v>
      </c>
      <c r="G22" s="420">
        <f t="shared" si="4"/>
        <v>8411.5210000000006</v>
      </c>
      <c r="H22" s="420">
        <f t="shared" si="4"/>
        <v>10539.18</v>
      </c>
      <c r="I22" s="204">
        <f t="shared" si="4"/>
        <v>69190.067999999999</v>
      </c>
    </row>
    <row r="23" spans="2:9" x14ac:dyDescent="0.2">
      <c r="B23" s="480">
        <v>2006</v>
      </c>
      <c r="C23" s="412" t="s">
        <v>14</v>
      </c>
      <c r="D23" s="419">
        <v>4335</v>
      </c>
      <c r="E23" s="419">
        <v>2764.9490000000001</v>
      </c>
      <c r="F23" s="419">
        <v>440.01</v>
      </c>
      <c r="G23" s="419">
        <v>492.27</v>
      </c>
      <c r="H23" s="419">
        <v>2004.92</v>
      </c>
      <c r="I23" s="415">
        <f>SUM(D23:H23)</f>
        <v>10037.149000000001</v>
      </c>
    </row>
    <row r="24" spans="2:9" x14ac:dyDescent="0.2">
      <c r="B24" s="480"/>
      <c r="C24" s="412" t="s">
        <v>97</v>
      </c>
      <c r="D24" s="419">
        <v>12686.589</v>
      </c>
      <c r="E24" s="419">
        <f>12183.553+99.5</f>
        <v>12283.053</v>
      </c>
      <c r="F24" s="419">
        <v>13426.657999999999</v>
      </c>
      <c r="G24" s="419">
        <v>6919.1729999999998</v>
      </c>
      <c r="H24" s="419">
        <v>5412.067</v>
      </c>
      <c r="I24" s="415">
        <f>SUM(D24:H24)</f>
        <v>50727.540000000008</v>
      </c>
    </row>
    <row r="25" spans="2:9" x14ac:dyDescent="0.2">
      <c r="B25" s="485"/>
      <c r="C25" s="421" t="s">
        <v>98</v>
      </c>
      <c r="D25" s="422">
        <v>604.03099999999995</v>
      </c>
      <c r="E25" s="422">
        <v>521.1</v>
      </c>
      <c r="F25" s="422">
        <v>2409.826</v>
      </c>
      <c r="G25" s="422">
        <v>0</v>
      </c>
      <c r="H25" s="422">
        <v>2065.5039999999999</v>
      </c>
      <c r="I25" s="423">
        <f>SUM(D25:H25)</f>
        <v>5600.4609999999993</v>
      </c>
    </row>
    <row r="26" spans="2:9" ht="18.75" customHeight="1" x14ac:dyDescent="0.2">
      <c r="B26" s="103"/>
      <c r="C26" s="418"/>
      <c r="D26" s="104">
        <f t="shared" ref="D26:I26" si="5">SUM(D23:D25)</f>
        <v>17625.62</v>
      </c>
      <c r="E26" s="104">
        <f t="shared" si="5"/>
        <v>15569.102000000001</v>
      </c>
      <c r="F26" s="104">
        <f t="shared" si="5"/>
        <v>16276.493999999999</v>
      </c>
      <c r="G26" s="104">
        <f t="shared" si="5"/>
        <v>7411.4429999999993</v>
      </c>
      <c r="H26" s="104">
        <f t="shared" si="5"/>
        <v>9482.491</v>
      </c>
      <c r="I26" s="204">
        <f t="shared" si="5"/>
        <v>66365.150000000009</v>
      </c>
    </row>
    <row r="27" spans="2:9" x14ac:dyDescent="0.2">
      <c r="B27" s="480">
        <v>2007</v>
      </c>
      <c r="C27" s="412" t="s">
        <v>14</v>
      </c>
      <c r="D27" s="419">
        <v>15395</v>
      </c>
      <c r="E27" s="419">
        <v>2732.8020000000001</v>
      </c>
      <c r="F27" s="419">
        <v>13419.6</v>
      </c>
      <c r="G27" s="419">
        <v>1085.682</v>
      </c>
      <c r="H27" s="419">
        <v>1834.143</v>
      </c>
      <c r="I27" s="415">
        <f>SUM(D27:H27)</f>
        <v>34467.226999999999</v>
      </c>
    </row>
    <row r="28" spans="2:9" x14ac:dyDescent="0.2">
      <c r="B28" s="480"/>
      <c r="C28" s="412" t="s">
        <v>97</v>
      </c>
      <c r="D28" s="419">
        <v>9226.2219999999998</v>
      </c>
      <c r="E28" s="419">
        <f>11090.533+110</f>
        <v>11200.532999999999</v>
      </c>
      <c r="F28" s="419">
        <v>13163.609</v>
      </c>
      <c r="G28" s="419">
        <v>6948.9610000000002</v>
      </c>
      <c r="H28" s="419">
        <v>5085.42</v>
      </c>
      <c r="I28" s="415">
        <f>SUM(D28:H28)</f>
        <v>45624.745000000003</v>
      </c>
    </row>
    <row r="29" spans="2:9" x14ac:dyDescent="0.2">
      <c r="B29" s="485"/>
      <c r="C29" s="421" t="s">
        <v>98</v>
      </c>
      <c r="D29" s="422">
        <v>593.77599999999995</v>
      </c>
      <c r="E29" s="422">
        <v>312.47399999999999</v>
      </c>
      <c r="F29" s="422">
        <v>2399.826</v>
      </c>
      <c r="G29" s="422">
        <v>0</v>
      </c>
      <c r="H29" s="422">
        <v>3996.9319999999998</v>
      </c>
      <c r="I29" s="423">
        <f>SUM(D29:H29)</f>
        <v>7303.0079999999998</v>
      </c>
    </row>
    <row r="30" spans="2:9" ht="18" customHeight="1" x14ac:dyDescent="0.2">
      <c r="B30" s="103"/>
      <c r="C30" s="418"/>
      <c r="D30" s="104">
        <f t="shared" ref="D30:I30" si="6">SUM(D27:D29)</f>
        <v>25214.998000000003</v>
      </c>
      <c r="E30" s="104">
        <f t="shared" si="6"/>
        <v>14245.808999999999</v>
      </c>
      <c r="F30" s="104">
        <f t="shared" si="6"/>
        <v>28983.035000000003</v>
      </c>
      <c r="G30" s="104">
        <f t="shared" si="6"/>
        <v>8034.643</v>
      </c>
      <c r="H30" s="104">
        <f t="shared" si="6"/>
        <v>10916.494999999999</v>
      </c>
      <c r="I30" s="424">
        <f t="shared" si="6"/>
        <v>87394.98000000001</v>
      </c>
    </row>
    <row r="31" spans="2:9" x14ac:dyDescent="0.2">
      <c r="B31" s="480">
        <v>2008</v>
      </c>
      <c r="C31" s="412" t="s">
        <v>14</v>
      </c>
      <c r="D31" s="425">
        <v>2668.3739999999998</v>
      </c>
      <c r="E31" s="426">
        <v>1207.1400000000001</v>
      </c>
      <c r="F31" s="426">
        <v>13140.119000000001</v>
      </c>
      <c r="G31" s="426">
        <v>820.47</v>
      </c>
      <c r="H31" s="426">
        <v>1673.9179999999999</v>
      </c>
      <c r="I31" s="411">
        <f>SUM(D31:H31)</f>
        <v>19510.021000000004</v>
      </c>
    </row>
    <row r="32" spans="2:9" x14ac:dyDescent="0.2">
      <c r="B32" s="480"/>
      <c r="C32" s="412" t="s">
        <v>97</v>
      </c>
      <c r="D32" s="236">
        <v>9876.4529999999995</v>
      </c>
      <c r="E32" s="175">
        <v>10458.6</v>
      </c>
      <c r="F32" s="175">
        <v>14389.19</v>
      </c>
      <c r="G32" s="175">
        <v>6490.1469999999999</v>
      </c>
      <c r="H32" s="175">
        <v>4877.4449999999997</v>
      </c>
      <c r="I32" s="415">
        <f>SUM(D32:H32)</f>
        <v>46091.834999999999</v>
      </c>
    </row>
    <row r="33" spans="2:9" x14ac:dyDescent="0.2">
      <c r="B33" s="480"/>
      <c r="C33" s="412" t="s">
        <v>98</v>
      </c>
      <c r="D33" s="236">
        <v>24</v>
      </c>
      <c r="E33" s="175">
        <v>312.82400000000001</v>
      </c>
      <c r="F33" s="175">
        <v>137</v>
      </c>
      <c r="G33" s="175">
        <v>0</v>
      </c>
      <c r="H33" s="175">
        <v>3440.3739999999998</v>
      </c>
      <c r="I33" s="423">
        <f>SUM(D33:H33)</f>
        <v>3914.1979999999999</v>
      </c>
    </row>
    <row r="34" spans="2:9" ht="18.75" customHeight="1" x14ac:dyDescent="0.2">
      <c r="B34" s="103"/>
      <c r="C34" s="418"/>
      <c r="D34" s="104">
        <f t="shared" ref="D34:I34" si="7">SUM(D31:D33)</f>
        <v>12568.826999999999</v>
      </c>
      <c r="E34" s="104">
        <f t="shared" si="7"/>
        <v>11978.564</v>
      </c>
      <c r="F34" s="104">
        <f t="shared" si="7"/>
        <v>27666.309000000001</v>
      </c>
      <c r="G34" s="104">
        <f t="shared" si="7"/>
        <v>7310.6170000000002</v>
      </c>
      <c r="H34" s="104">
        <f t="shared" si="7"/>
        <v>9991.7369999999992</v>
      </c>
      <c r="I34" s="105">
        <f t="shared" si="7"/>
        <v>69516.054000000004</v>
      </c>
    </row>
    <row r="35" spans="2:9" x14ac:dyDescent="0.2">
      <c r="B35" s="480">
        <v>2009</v>
      </c>
      <c r="C35" s="412" t="s">
        <v>14</v>
      </c>
      <c r="D35" s="425">
        <v>2263.355</v>
      </c>
      <c r="E35" s="426">
        <v>4793.9179999999997</v>
      </c>
      <c r="F35" s="426">
        <v>14250.119000000001</v>
      </c>
      <c r="G35" s="426">
        <v>833.274</v>
      </c>
      <c r="H35" s="426">
        <v>2216.1</v>
      </c>
      <c r="I35" s="411">
        <f>SUM(D35:H35)</f>
        <v>24356.766</v>
      </c>
    </row>
    <row r="36" spans="2:9" x14ac:dyDescent="0.2">
      <c r="B36" s="480"/>
      <c r="C36" s="412" t="s">
        <v>97</v>
      </c>
      <c r="D36" s="236">
        <v>9874.9930000000004</v>
      </c>
      <c r="E36" s="175">
        <v>7530.4470000000001</v>
      </c>
      <c r="F36" s="175">
        <v>13864.585999999999</v>
      </c>
      <c r="G36" s="175">
        <v>5675.45</v>
      </c>
      <c r="H36" s="175">
        <v>2875.0889999999999</v>
      </c>
      <c r="I36" s="415">
        <f>SUM(D36:H36)</f>
        <v>39820.565000000002</v>
      </c>
    </row>
    <row r="37" spans="2:9" x14ac:dyDescent="0.2">
      <c r="B37" s="480"/>
      <c r="C37" s="412" t="s">
        <v>98</v>
      </c>
      <c r="D37" s="236">
        <v>0</v>
      </c>
      <c r="E37" s="175">
        <v>56.183999999999997</v>
      </c>
      <c r="F37" s="175">
        <v>200</v>
      </c>
      <c r="G37" s="175">
        <v>0</v>
      </c>
      <c r="H37" s="175">
        <v>3247.2950000000001</v>
      </c>
      <c r="I37" s="423">
        <f>SUM(D37:H37)</f>
        <v>3503.4790000000003</v>
      </c>
    </row>
    <row r="38" spans="2:9" ht="17.25" customHeight="1" x14ac:dyDescent="0.2">
      <c r="B38" s="103"/>
      <c r="C38" s="418"/>
      <c r="D38" s="104">
        <f t="shared" ref="D38:I38" si="8">SUM(D35:D37)</f>
        <v>12138.348</v>
      </c>
      <c r="E38" s="104">
        <f t="shared" si="8"/>
        <v>12380.548999999999</v>
      </c>
      <c r="F38" s="104">
        <f t="shared" si="8"/>
        <v>28314.705000000002</v>
      </c>
      <c r="G38" s="104">
        <f t="shared" si="8"/>
        <v>6508.7240000000002</v>
      </c>
      <c r="H38" s="104">
        <f t="shared" si="8"/>
        <v>8338.4840000000004</v>
      </c>
      <c r="I38" s="105">
        <f t="shared" si="8"/>
        <v>67680.810000000012</v>
      </c>
    </row>
    <row r="39" spans="2:9" x14ac:dyDescent="0.2">
      <c r="B39" s="480">
        <v>2010</v>
      </c>
      <c r="C39" s="412" t="s">
        <v>14</v>
      </c>
      <c r="D39" s="425">
        <v>2132.0680000000002</v>
      </c>
      <c r="E39" s="426">
        <v>3252.4929999999999</v>
      </c>
      <c r="F39" s="426">
        <v>14593.894</v>
      </c>
      <c r="G39" s="426">
        <v>601.62400000000002</v>
      </c>
      <c r="H39" s="426">
        <v>2090.6770000000001</v>
      </c>
      <c r="I39" s="411">
        <f>SUM(D39:H39)</f>
        <v>22670.756000000001</v>
      </c>
    </row>
    <row r="40" spans="2:9" x14ac:dyDescent="0.2">
      <c r="B40" s="480"/>
      <c r="C40" s="412" t="s">
        <v>97</v>
      </c>
      <c r="D40" s="236">
        <v>12002.659</v>
      </c>
      <c r="E40" s="175">
        <v>7541.5190000000002</v>
      </c>
      <c r="F40" s="175">
        <v>11758.72</v>
      </c>
      <c r="G40" s="175">
        <v>5243.4009999999998</v>
      </c>
      <c r="H40" s="175">
        <v>4693.6400000000003</v>
      </c>
      <c r="I40" s="415">
        <f>SUM(D40:H40)</f>
        <v>41239.938999999998</v>
      </c>
    </row>
    <row r="41" spans="2:9" x14ac:dyDescent="0.2">
      <c r="B41" s="480"/>
      <c r="C41" s="412" t="s">
        <v>98</v>
      </c>
      <c r="D41" s="236">
        <v>7</v>
      </c>
      <c r="E41" s="175">
        <v>61.359000000000002</v>
      </c>
      <c r="F41" s="175">
        <v>200</v>
      </c>
      <c r="G41" s="175">
        <v>0</v>
      </c>
      <c r="H41" s="175">
        <v>4718.848</v>
      </c>
      <c r="I41" s="423">
        <f>SUM(D41:H41)</f>
        <v>4987.2070000000003</v>
      </c>
    </row>
    <row r="42" spans="2:9" ht="17.25" customHeight="1" x14ac:dyDescent="0.2">
      <c r="B42" s="103"/>
      <c r="C42" s="418"/>
      <c r="D42" s="104">
        <f t="shared" ref="D42:I42" si="9">SUM(D39:D41)</f>
        <v>14141.726999999999</v>
      </c>
      <c r="E42" s="104">
        <f t="shared" si="9"/>
        <v>10855.371000000001</v>
      </c>
      <c r="F42" s="104">
        <f t="shared" si="9"/>
        <v>26552.614000000001</v>
      </c>
      <c r="G42" s="104">
        <f t="shared" si="9"/>
        <v>5845.0249999999996</v>
      </c>
      <c r="H42" s="104">
        <f t="shared" si="9"/>
        <v>11503.165000000001</v>
      </c>
      <c r="I42" s="105">
        <f t="shared" si="9"/>
        <v>68897.902000000002</v>
      </c>
    </row>
    <row r="43" spans="2:9" x14ac:dyDescent="0.2">
      <c r="B43" s="480">
        <v>2011</v>
      </c>
      <c r="C43" s="412" t="s">
        <v>14</v>
      </c>
      <c r="D43" s="425">
        <v>2840.7150000000001</v>
      </c>
      <c r="E43" s="426">
        <v>2770.413</v>
      </c>
      <c r="F43" s="426">
        <v>14557.0684</v>
      </c>
      <c r="G43" s="426">
        <v>634.27</v>
      </c>
      <c r="H43" s="426">
        <v>1951.2</v>
      </c>
      <c r="I43" s="411">
        <f>SUM(D43:H43)</f>
        <v>22753.666400000002</v>
      </c>
    </row>
    <row r="44" spans="2:9" x14ac:dyDescent="0.2">
      <c r="B44" s="480"/>
      <c r="C44" s="412" t="s">
        <v>97</v>
      </c>
      <c r="D44" s="236">
        <v>10548.080999999998</v>
      </c>
      <c r="E44" s="175">
        <v>4999.3369999999995</v>
      </c>
      <c r="F44" s="175">
        <v>11898.413</v>
      </c>
      <c r="G44" s="175">
        <v>5098.5789999999997</v>
      </c>
      <c r="H44" s="175">
        <v>4581.8580000000002</v>
      </c>
      <c r="I44" s="415">
        <f>SUM(D44:H44)</f>
        <v>37126.267999999996</v>
      </c>
    </row>
    <row r="45" spans="2:9" x14ac:dyDescent="0.2">
      <c r="B45" s="480"/>
      <c r="C45" s="412" t="s">
        <v>98</v>
      </c>
      <c r="D45" s="236">
        <v>24</v>
      </c>
      <c r="E45" s="175">
        <v>69.896000000000001</v>
      </c>
      <c r="F45" s="175">
        <v>200</v>
      </c>
      <c r="G45" s="175">
        <v>0</v>
      </c>
      <c r="H45" s="175">
        <v>4708.5619999999999</v>
      </c>
      <c r="I45" s="423">
        <f>SUM(D45:H45)</f>
        <v>5002.4579999999996</v>
      </c>
    </row>
    <row r="46" spans="2:9" ht="19.5" customHeight="1" x14ac:dyDescent="0.2">
      <c r="B46" s="103"/>
      <c r="C46" s="418"/>
      <c r="D46" s="104">
        <f t="shared" ref="D46:I46" si="10">SUM(D43:D45)</f>
        <v>13412.795999999998</v>
      </c>
      <c r="E46" s="104">
        <f t="shared" si="10"/>
        <v>7839.6459999999997</v>
      </c>
      <c r="F46" s="104">
        <f t="shared" si="10"/>
        <v>26655.481400000001</v>
      </c>
      <c r="G46" s="104">
        <f t="shared" si="10"/>
        <v>5732.8490000000002</v>
      </c>
      <c r="H46" s="104">
        <f t="shared" si="10"/>
        <v>11241.619999999999</v>
      </c>
      <c r="I46" s="105">
        <f t="shared" si="10"/>
        <v>64882.392399999997</v>
      </c>
    </row>
    <row r="47" spans="2:9" x14ac:dyDescent="0.2">
      <c r="B47" s="480">
        <v>2012</v>
      </c>
      <c r="C47" s="412" t="s">
        <v>14</v>
      </c>
      <c r="D47" s="427">
        <v>2368.2600000000002</v>
      </c>
      <c r="E47" s="428">
        <v>2245.502</v>
      </c>
      <c r="F47" s="428">
        <v>14260.119000000001</v>
      </c>
      <c r="G47" s="428">
        <v>528.178</v>
      </c>
      <c r="H47" s="428">
        <v>1763.5329999999999</v>
      </c>
      <c r="I47" s="411">
        <f>SUM(D47:H47)</f>
        <v>21165.592000000001</v>
      </c>
    </row>
    <row r="48" spans="2:9" x14ac:dyDescent="0.2">
      <c r="B48" s="480"/>
      <c r="C48" s="412" t="s">
        <v>97</v>
      </c>
      <c r="D48" s="429">
        <v>9762.6440000000002</v>
      </c>
      <c r="E48" s="63">
        <v>4655.4560000000001</v>
      </c>
      <c r="F48" s="63">
        <v>11660.932000000001</v>
      </c>
      <c r="G48" s="63">
        <v>4692.1480000000001</v>
      </c>
      <c r="H48" s="63">
        <v>4261.415</v>
      </c>
      <c r="I48" s="415">
        <f>SUM(D48:H48)</f>
        <v>35032.595000000001</v>
      </c>
    </row>
    <row r="49" spans="2:9" x14ac:dyDescent="0.2">
      <c r="B49" s="480"/>
      <c r="C49" s="412" t="s">
        <v>98</v>
      </c>
      <c r="D49" s="429">
        <v>24</v>
      </c>
      <c r="E49" s="63">
        <v>72.287000000000006</v>
      </c>
      <c r="F49" s="63">
        <v>200</v>
      </c>
      <c r="G49" s="175">
        <v>0</v>
      </c>
      <c r="H49" s="63">
        <v>4422.893</v>
      </c>
      <c r="I49" s="423">
        <f>SUM(D49:H49)</f>
        <v>4719.18</v>
      </c>
    </row>
    <row r="50" spans="2:9" ht="19.5" customHeight="1" x14ac:dyDescent="0.2">
      <c r="B50" s="103"/>
      <c r="C50" s="418"/>
      <c r="D50" s="402">
        <f t="shared" ref="D50:I50" si="11">SUM(D47:D49)</f>
        <v>12154.904</v>
      </c>
      <c r="E50" s="402">
        <f t="shared" si="11"/>
        <v>6973.2450000000008</v>
      </c>
      <c r="F50" s="402">
        <f t="shared" si="11"/>
        <v>26121.050999999999</v>
      </c>
      <c r="G50" s="402">
        <f t="shared" si="11"/>
        <v>5220.326</v>
      </c>
      <c r="H50" s="402">
        <f t="shared" si="11"/>
        <v>10447.841</v>
      </c>
      <c r="I50" s="105">
        <f t="shared" si="11"/>
        <v>60917.367000000006</v>
      </c>
    </row>
    <row r="51" spans="2:9" x14ac:dyDescent="0.2">
      <c r="B51" s="480">
        <v>2013</v>
      </c>
      <c r="C51" s="412" t="s">
        <v>14</v>
      </c>
      <c r="D51" s="427">
        <v>1979.3979999999999</v>
      </c>
      <c r="E51" s="428">
        <v>5399.8360000000002</v>
      </c>
      <c r="F51" s="428">
        <v>15736.119000000001</v>
      </c>
      <c r="G51" s="428">
        <v>1949.8130000000001</v>
      </c>
      <c r="H51" s="428">
        <v>1618.864</v>
      </c>
      <c r="I51" s="411">
        <f>SUM(D51:H51)</f>
        <v>26684.030000000006</v>
      </c>
    </row>
    <row r="52" spans="2:9" x14ac:dyDescent="0.2">
      <c r="B52" s="480"/>
      <c r="C52" s="412" t="s">
        <v>97</v>
      </c>
      <c r="D52" s="429">
        <v>9332.3209999999999</v>
      </c>
      <c r="E52" s="63">
        <v>15089.22</v>
      </c>
      <c r="F52" s="63">
        <v>11450.227999999999</v>
      </c>
      <c r="G52" s="63">
        <v>4643.8670000000002</v>
      </c>
      <c r="H52" s="63">
        <v>3051.4870000000001</v>
      </c>
      <c r="I52" s="415">
        <f>SUM(D52:H52)</f>
        <v>43567.123</v>
      </c>
    </row>
    <row r="53" spans="2:9" x14ac:dyDescent="0.2">
      <c r="B53" s="480"/>
      <c r="C53" s="412" t="s">
        <v>98</v>
      </c>
      <c r="D53" s="429">
        <v>24</v>
      </c>
      <c r="E53" s="63">
        <v>73.731999999999999</v>
      </c>
      <c r="F53" s="63">
        <v>200</v>
      </c>
      <c r="G53" s="175">
        <v>0</v>
      </c>
      <c r="H53" s="63">
        <v>3832.1959999999999</v>
      </c>
      <c r="I53" s="423">
        <f>SUM(D53:H53)</f>
        <v>4129.9279999999999</v>
      </c>
    </row>
    <row r="54" spans="2:9" ht="21" customHeight="1" x14ac:dyDescent="0.2">
      <c r="B54" s="103"/>
      <c r="C54" s="418"/>
      <c r="D54" s="402">
        <f t="shared" ref="D54:I54" si="12">SUM(D51:D53)</f>
        <v>11335.718999999999</v>
      </c>
      <c r="E54" s="402">
        <f t="shared" si="12"/>
        <v>20562.788</v>
      </c>
      <c r="F54" s="402">
        <f t="shared" si="12"/>
        <v>27386.347000000002</v>
      </c>
      <c r="G54" s="402">
        <f t="shared" si="12"/>
        <v>6593.68</v>
      </c>
      <c r="H54" s="402">
        <f t="shared" si="12"/>
        <v>8502.5470000000005</v>
      </c>
      <c r="I54" s="105">
        <f t="shared" si="12"/>
        <v>74381.081000000006</v>
      </c>
    </row>
    <row r="55" spans="2:9" x14ac:dyDescent="0.2">
      <c r="B55" s="480">
        <v>2014</v>
      </c>
      <c r="C55" s="412" t="s">
        <v>14</v>
      </c>
      <c r="D55" s="63">
        <v>1039.52</v>
      </c>
      <c r="E55" s="63">
        <v>3259.7909999999997</v>
      </c>
      <c r="F55" s="63">
        <v>15696.048000000001</v>
      </c>
      <c r="G55" s="63">
        <v>1900.6390000000001</v>
      </c>
      <c r="H55" s="63">
        <v>1955.8140000000001</v>
      </c>
      <c r="I55" s="411">
        <f>SUM(D55:H55)</f>
        <v>23851.811999999998</v>
      </c>
    </row>
    <row r="56" spans="2:9" x14ac:dyDescent="0.2">
      <c r="B56" s="480"/>
      <c r="C56" s="412" t="s">
        <v>97</v>
      </c>
      <c r="D56" s="63">
        <v>10117.069</v>
      </c>
      <c r="E56" s="63">
        <v>11381.902</v>
      </c>
      <c r="F56" s="63">
        <v>11155.842999999999</v>
      </c>
      <c r="G56" s="63">
        <v>3667.2489999999993</v>
      </c>
      <c r="H56" s="63">
        <v>2449.1750000000002</v>
      </c>
      <c r="I56" s="415">
        <f>SUM(D56:H56)</f>
        <v>38771.237999999998</v>
      </c>
    </row>
    <row r="57" spans="2:9" x14ac:dyDescent="0.2">
      <c r="B57" s="480"/>
      <c r="C57" s="412" t="s">
        <v>98</v>
      </c>
      <c r="D57" s="175">
        <v>0</v>
      </c>
      <c r="E57" s="63">
        <v>78.081000000000003</v>
      </c>
      <c r="F57" s="63">
        <v>200</v>
      </c>
      <c r="G57" s="175">
        <v>0</v>
      </c>
      <c r="H57" s="63">
        <v>3209.3040000000001</v>
      </c>
      <c r="I57" s="423">
        <f>SUM(D57:H57)</f>
        <v>3487.3850000000002</v>
      </c>
    </row>
    <row r="58" spans="2:9" x14ac:dyDescent="0.2">
      <c r="B58" s="103"/>
      <c r="C58" s="418"/>
      <c r="D58" s="402">
        <f t="shared" ref="D58:I58" si="13">SUM(D55:D57)</f>
        <v>11156.589</v>
      </c>
      <c r="E58" s="402">
        <f t="shared" si="13"/>
        <v>14719.773999999999</v>
      </c>
      <c r="F58" s="402">
        <f t="shared" si="13"/>
        <v>27051.891</v>
      </c>
      <c r="G58" s="402">
        <f t="shared" si="13"/>
        <v>5567.887999999999</v>
      </c>
      <c r="H58" s="402">
        <f t="shared" si="13"/>
        <v>7614.2930000000006</v>
      </c>
      <c r="I58" s="105">
        <f t="shared" si="13"/>
        <v>66110.434999999998</v>
      </c>
    </row>
    <row r="59" spans="2:9" x14ac:dyDescent="0.2">
      <c r="B59" s="480">
        <v>2015</v>
      </c>
      <c r="C59" s="412" t="s">
        <v>14</v>
      </c>
      <c r="D59" s="63">
        <v>892.96</v>
      </c>
      <c r="E59" s="63">
        <v>2603.52</v>
      </c>
      <c r="F59" s="63">
        <v>15476.734</v>
      </c>
      <c r="G59" s="63">
        <v>2774.1320000000001</v>
      </c>
      <c r="H59" s="63">
        <v>3575.1789999999996</v>
      </c>
      <c r="I59" s="411">
        <f>SUM(D59:H59)</f>
        <v>25322.525000000001</v>
      </c>
    </row>
    <row r="60" spans="2:9" x14ac:dyDescent="0.2">
      <c r="B60" s="480"/>
      <c r="C60" s="412" t="s">
        <v>97</v>
      </c>
      <c r="D60" s="63">
        <v>9762.848</v>
      </c>
      <c r="E60" s="63">
        <v>11445.339</v>
      </c>
      <c r="F60" s="63">
        <v>10375.637000000001</v>
      </c>
      <c r="G60" s="63">
        <v>4524.3099999999995</v>
      </c>
      <c r="H60" s="63">
        <v>1495.7570000000001</v>
      </c>
      <c r="I60" s="415">
        <f>SUM(D60:H60)</f>
        <v>37603.890999999996</v>
      </c>
    </row>
    <row r="61" spans="2:9" x14ac:dyDescent="0.2">
      <c r="B61" s="480"/>
      <c r="C61" s="412" t="s">
        <v>98</v>
      </c>
      <c r="D61" s="175">
        <v>0</v>
      </c>
      <c r="E61" s="63">
        <v>74.846999999999994</v>
      </c>
      <c r="F61" s="63">
        <v>200</v>
      </c>
      <c r="G61" s="175">
        <v>0</v>
      </c>
      <c r="H61" s="63">
        <v>3164.23</v>
      </c>
      <c r="I61" s="423">
        <f>SUM(D61:H61)</f>
        <v>3439.0770000000002</v>
      </c>
    </row>
    <row r="62" spans="2:9" x14ac:dyDescent="0.2">
      <c r="B62" s="103"/>
      <c r="C62" s="418"/>
      <c r="D62" s="402">
        <f t="shared" ref="D62:I62" si="14">SUM(D59:D61)</f>
        <v>10655.808000000001</v>
      </c>
      <c r="E62" s="402">
        <f t="shared" si="14"/>
        <v>14123.706</v>
      </c>
      <c r="F62" s="402">
        <f t="shared" si="14"/>
        <v>26052.370999999999</v>
      </c>
      <c r="G62" s="402">
        <f t="shared" si="14"/>
        <v>7298.4419999999991</v>
      </c>
      <c r="H62" s="402">
        <f t="shared" si="14"/>
        <v>8235.1659999999993</v>
      </c>
      <c r="I62" s="105">
        <f t="shared" si="14"/>
        <v>66365.493000000002</v>
      </c>
    </row>
    <row r="63" spans="2:9" x14ac:dyDescent="0.2">
      <c r="B63" s="480">
        <v>2016</v>
      </c>
      <c r="C63" s="412" t="s">
        <v>14</v>
      </c>
      <c r="D63" s="63">
        <v>813.88099999999997</v>
      </c>
      <c r="E63" s="63">
        <v>2759.8530000000001</v>
      </c>
      <c r="F63" s="63">
        <v>14678.125</v>
      </c>
      <c r="G63" s="63">
        <v>1860.0549999999998</v>
      </c>
      <c r="H63" s="63">
        <v>3412.2830000000004</v>
      </c>
      <c r="I63" s="411">
        <f>SUM(D63:H63)</f>
        <v>23524.197</v>
      </c>
    </row>
    <row r="64" spans="2:9" x14ac:dyDescent="0.2">
      <c r="B64" s="480"/>
      <c r="C64" s="412" t="s">
        <v>97</v>
      </c>
      <c r="D64" s="63">
        <v>9358.0249999999996</v>
      </c>
      <c r="E64" s="63">
        <v>11242.089</v>
      </c>
      <c r="F64" s="63">
        <v>10844.155000000001</v>
      </c>
      <c r="G64" s="63">
        <v>3721.902</v>
      </c>
      <c r="H64" s="63">
        <v>1353.5240000000001</v>
      </c>
      <c r="I64" s="415">
        <f>SUM(D64:H64)</f>
        <v>36519.695</v>
      </c>
    </row>
    <row r="65" spans="2:9" x14ac:dyDescent="0.2">
      <c r="B65" s="480"/>
      <c r="C65" s="412" t="s">
        <v>98</v>
      </c>
      <c r="D65" s="175">
        <v>0</v>
      </c>
      <c r="E65" s="63">
        <v>0</v>
      </c>
      <c r="F65" s="63">
        <v>200</v>
      </c>
      <c r="G65" s="175">
        <v>0</v>
      </c>
      <c r="H65" s="63">
        <v>3364.3380000000002</v>
      </c>
      <c r="I65" s="423">
        <f>SUM(D65:H65)</f>
        <v>3564.3380000000002</v>
      </c>
    </row>
    <row r="66" spans="2:9" x14ac:dyDescent="0.2">
      <c r="B66" s="103"/>
      <c r="C66" s="418"/>
      <c r="D66" s="402">
        <f t="shared" ref="D66:I66" si="15">SUM(D63:D65)</f>
        <v>10171.905999999999</v>
      </c>
      <c r="E66" s="402">
        <f t="shared" si="15"/>
        <v>14001.941999999999</v>
      </c>
      <c r="F66" s="402">
        <f t="shared" si="15"/>
        <v>25722.28</v>
      </c>
      <c r="G66" s="402">
        <f t="shared" si="15"/>
        <v>5581.9570000000003</v>
      </c>
      <c r="H66" s="402">
        <f t="shared" si="15"/>
        <v>8130.1450000000004</v>
      </c>
      <c r="I66" s="105">
        <f t="shared" si="15"/>
        <v>63608.23</v>
      </c>
    </row>
    <row r="67" spans="2:9" x14ac:dyDescent="0.2">
      <c r="B67" s="430"/>
      <c r="C67" s="407"/>
      <c r="D67" s="407"/>
      <c r="E67" s="407"/>
      <c r="F67" s="407"/>
      <c r="G67" s="407"/>
      <c r="H67" s="407"/>
      <c r="I67" s="407"/>
    </row>
    <row r="68" spans="2:9" x14ac:dyDescent="0.2">
      <c r="B68" s="431" t="s">
        <v>32</v>
      </c>
      <c r="C68" s="407"/>
      <c r="D68" s="407"/>
      <c r="E68" s="407"/>
      <c r="F68" s="407"/>
      <c r="G68" s="407"/>
      <c r="H68" s="407"/>
      <c r="I68" s="407"/>
    </row>
    <row r="69" spans="2:9" x14ac:dyDescent="0.2">
      <c r="B69" s="97" t="s">
        <v>100</v>
      </c>
      <c r="C69" s="407"/>
      <c r="D69" s="407"/>
      <c r="E69" s="407"/>
      <c r="F69" s="407"/>
      <c r="G69" s="407"/>
      <c r="H69" s="407"/>
      <c r="I69" s="407"/>
    </row>
    <row r="70" spans="2:9" x14ac:dyDescent="0.2">
      <c r="B70" s="97" t="s">
        <v>101</v>
      </c>
      <c r="C70" s="407"/>
      <c r="D70" s="407"/>
      <c r="E70" s="407"/>
      <c r="F70" s="407"/>
      <c r="G70" s="407"/>
      <c r="H70" s="407"/>
      <c r="I70" s="407"/>
    </row>
    <row r="71" spans="2:9" x14ac:dyDescent="0.2">
      <c r="B71" s="97" t="s">
        <v>102</v>
      </c>
      <c r="C71" s="407"/>
      <c r="D71" s="407"/>
      <c r="E71" s="407"/>
      <c r="F71" s="407"/>
      <c r="G71" s="407"/>
      <c r="H71" s="407"/>
      <c r="I71" s="407"/>
    </row>
    <row r="72" spans="2:9" x14ac:dyDescent="0.2">
      <c r="B72" s="97" t="s">
        <v>103</v>
      </c>
      <c r="C72" s="407"/>
      <c r="D72" s="407"/>
      <c r="E72" s="407"/>
      <c r="F72" s="407"/>
      <c r="G72" s="407"/>
      <c r="H72" s="407"/>
      <c r="I72" s="407"/>
    </row>
  </sheetData>
  <mergeCells count="19">
    <mergeCell ref="B63:B65"/>
    <mergeCell ref="B39:B41"/>
    <mergeCell ref="B43:B45"/>
    <mergeCell ref="B47:B49"/>
    <mergeCell ref="B51:B53"/>
    <mergeCell ref="B59:B61"/>
    <mergeCell ref="B55:B57"/>
    <mergeCell ref="I5:I6"/>
    <mergeCell ref="B7:B9"/>
    <mergeCell ref="B35:B37"/>
    <mergeCell ref="B11:B13"/>
    <mergeCell ref="B5:B6"/>
    <mergeCell ref="C5:C6"/>
    <mergeCell ref="D5:H5"/>
    <mergeCell ref="B15:B17"/>
    <mergeCell ref="B19:B21"/>
    <mergeCell ref="B23:B25"/>
    <mergeCell ref="B27:B29"/>
    <mergeCell ref="B31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N24"/>
  <sheetViews>
    <sheetView showGridLines="0" workbookViewId="0"/>
  </sheetViews>
  <sheetFormatPr defaultRowHeight="12.75" x14ac:dyDescent="0.2"/>
  <cols>
    <col min="1" max="1" width="5.7109375" style="91" customWidth="1"/>
    <col min="2" max="2" width="33" style="91" customWidth="1"/>
    <col min="3" max="3" width="13.42578125" style="91" customWidth="1"/>
    <col min="4" max="4" width="17.28515625" style="91" customWidth="1"/>
    <col min="5" max="5" width="14.140625" style="91" customWidth="1"/>
    <col min="6" max="6" width="16.140625" style="91" customWidth="1"/>
    <col min="7" max="7" width="19.85546875" style="91" customWidth="1"/>
    <col min="8" max="8" width="14.85546875" style="91" customWidth="1"/>
    <col min="9" max="9" width="12.5703125" style="91" customWidth="1"/>
    <col min="10" max="17" width="9.140625" style="91"/>
    <col min="18" max="18" width="15.85546875" style="91" customWidth="1"/>
    <col min="19" max="16384" width="9.140625" style="91"/>
  </cols>
  <sheetData>
    <row r="1" spans="1:8" ht="12.75" customHeight="1" x14ac:dyDescent="0.2">
      <c r="A1" s="90"/>
    </row>
    <row r="2" spans="1:8" ht="18.75" x14ac:dyDescent="0.2">
      <c r="B2" s="92" t="s">
        <v>236</v>
      </c>
    </row>
    <row r="3" spans="1:8" ht="18.75" x14ac:dyDescent="0.2">
      <c r="B3" s="94" t="s">
        <v>17</v>
      </c>
      <c r="D3" s="93"/>
    </row>
    <row r="4" spans="1:8" x14ac:dyDescent="0.2">
      <c r="B4" s="180"/>
      <c r="E4" s="181"/>
    </row>
    <row r="5" spans="1:8" ht="12.75" customHeight="1" x14ac:dyDescent="0.2">
      <c r="B5" s="486" t="s">
        <v>12</v>
      </c>
      <c r="C5" s="457" t="s">
        <v>13</v>
      </c>
      <c r="D5" s="458"/>
      <c r="E5" s="458"/>
      <c r="F5" s="458"/>
      <c r="G5" s="459"/>
      <c r="H5" s="460" t="s">
        <v>72</v>
      </c>
    </row>
    <row r="6" spans="1:8" s="18" customFormat="1" ht="42.75" customHeight="1" x14ac:dyDescent="0.2">
      <c r="B6" s="487"/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461"/>
    </row>
    <row r="7" spans="1:8" ht="19.5" customHeight="1" x14ac:dyDescent="0.2">
      <c r="B7" s="182" t="s">
        <v>33</v>
      </c>
      <c r="C7" s="72">
        <v>175.28240200000019</v>
      </c>
      <c r="D7" s="63">
        <v>99.900163000000035</v>
      </c>
      <c r="E7" s="63">
        <v>66.142749000000052</v>
      </c>
      <c r="F7" s="63">
        <v>123.85753800000001</v>
      </c>
      <c r="G7" s="63">
        <v>155.72798899999995</v>
      </c>
      <c r="H7" s="64">
        <f>SUM(C7:G7)</f>
        <v>620.91084100000023</v>
      </c>
    </row>
    <row r="8" spans="1:8" ht="19.5" customHeight="1" x14ac:dyDescent="0.2">
      <c r="B8" s="183" t="s">
        <v>7</v>
      </c>
      <c r="C8" s="73">
        <v>578.058359</v>
      </c>
      <c r="D8" s="63">
        <v>548.77537199999972</v>
      </c>
      <c r="E8" s="63">
        <v>768.3736330000005</v>
      </c>
      <c r="F8" s="63">
        <v>362.67554800000028</v>
      </c>
      <c r="G8" s="63">
        <v>450.73663899999991</v>
      </c>
      <c r="H8" s="64">
        <f>SUM(C8:G8)</f>
        <v>2708.6195510000002</v>
      </c>
    </row>
    <row r="9" spans="1:8" ht="19.5" customHeight="1" x14ac:dyDescent="0.2">
      <c r="B9" s="183" t="s">
        <v>8</v>
      </c>
      <c r="C9" s="390">
        <v>9.4384780000000053</v>
      </c>
      <c r="D9" s="63">
        <v>0.96889899999999984</v>
      </c>
      <c r="E9" s="63">
        <v>3.4819999999999999E-3</v>
      </c>
      <c r="F9" s="63">
        <v>0.97423099999999985</v>
      </c>
      <c r="G9" s="63">
        <v>0.54773500000000008</v>
      </c>
      <c r="H9" s="64">
        <f>SUM(C9:G9)</f>
        <v>11.932825000000005</v>
      </c>
    </row>
    <row r="10" spans="1:8" ht="19.5" customHeight="1" x14ac:dyDescent="0.2">
      <c r="B10" s="184" t="s">
        <v>10</v>
      </c>
      <c r="C10" s="73">
        <v>84.180643000000003</v>
      </c>
      <c r="D10" s="63">
        <v>92.681315999999981</v>
      </c>
      <c r="E10" s="63">
        <v>87.793175000000005</v>
      </c>
      <c r="F10" s="63">
        <v>68.979185000000072</v>
      </c>
      <c r="G10" s="63">
        <v>99.01314100000009</v>
      </c>
      <c r="H10" s="64">
        <f>SUM(C10:G10)</f>
        <v>432.64746000000014</v>
      </c>
    </row>
    <row r="11" spans="1:8" ht="19.5" customHeight="1" x14ac:dyDescent="0.2">
      <c r="B11" s="185" t="s">
        <v>75</v>
      </c>
      <c r="C11" s="186" t="s">
        <v>213</v>
      </c>
      <c r="D11" s="63">
        <v>22.026340000000001</v>
      </c>
      <c r="E11" s="63">
        <v>140.31019000000001</v>
      </c>
      <c r="F11" s="187" t="s">
        <v>213</v>
      </c>
      <c r="G11" s="63">
        <v>90.416160000000019</v>
      </c>
      <c r="H11" s="64">
        <f>SUM(C11:G11)</f>
        <v>252.75269000000003</v>
      </c>
    </row>
    <row r="12" spans="1:8" ht="19.5" customHeight="1" x14ac:dyDescent="0.2">
      <c r="B12" s="103" t="s">
        <v>11</v>
      </c>
      <c r="C12" s="402">
        <f t="shared" ref="C12:H12" si="0">SUM(C7:C11)</f>
        <v>846.95988200000022</v>
      </c>
      <c r="D12" s="402">
        <f t="shared" si="0"/>
        <v>764.35208999999975</v>
      </c>
      <c r="E12" s="402">
        <f t="shared" si="0"/>
        <v>1062.6232290000005</v>
      </c>
      <c r="F12" s="402">
        <f t="shared" si="0"/>
        <v>556.48650200000031</v>
      </c>
      <c r="G12" s="402">
        <f t="shared" si="0"/>
        <v>796.44166399999995</v>
      </c>
      <c r="H12" s="127">
        <f t="shared" si="0"/>
        <v>4026.8633670000008</v>
      </c>
    </row>
    <row r="13" spans="1:8" ht="19.5" customHeight="1" x14ac:dyDescent="0.2">
      <c r="B13" s="188" t="s">
        <v>0</v>
      </c>
      <c r="C13" s="72">
        <v>134.08710000000005</v>
      </c>
      <c r="D13" s="63">
        <v>216.89519200000007</v>
      </c>
      <c r="E13" s="63">
        <v>91.240837999999997</v>
      </c>
      <c r="F13" s="63">
        <v>97.521260999999996</v>
      </c>
      <c r="G13" s="63">
        <v>71.642395999999991</v>
      </c>
      <c r="H13" s="64">
        <f t="shared" ref="H13:H18" si="1">SUM(C13:G13)</f>
        <v>611.38678700000014</v>
      </c>
    </row>
    <row r="14" spans="1:8" ht="19.5" customHeight="1" x14ac:dyDescent="0.2">
      <c r="B14" s="98" t="s">
        <v>1</v>
      </c>
      <c r="C14" s="73">
        <v>583.28730700000028</v>
      </c>
      <c r="D14" s="63">
        <v>532.64885699999934</v>
      </c>
      <c r="E14" s="63">
        <v>296.01532900000012</v>
      </c>
      <c r="F14" s="63">
        <v>341.99670899999984</v>
      </c>
      <c r="G14" s="63">
        <v>983.66149199999961</v>
      </c>
      <c r="H14" s="64">
        <f t="shared" si="1"/>
        <v>2737.6096939999993</v>
      </c>
    </row>
    <row r="15" spans="1:8" ht="19.5" customHeight="1" x14ac:dyDescent="0.2">
      <c r="B15" s="98" t="s">
        <v>2</v>
      </c>
      <c r="C15" s="73">
        <v>90.783465999999947</v>
      </c>
      <c r="D15" s="63">
        <v>0.85785699999999998</v>
      </c>
      <c r="E15" s="63">
        <v>120.65802300000004</v>
      </c>
      <c r="F15" s="63">
        <v>411.15835000000015</v>
      </c>
      <c r="G15" s="63">
        <v>42.822839000000187</v>
      </c>
      <c r="H15" s="64">
        <f t="shared" si="1"/>
        <v>666.28053500000033</v>
      </c>
    </row>
    <row r="16" spans="1:8" ht="19.5" customHeight="1" x14ac:dyDescent="0.2">
      <c r="B16" s="183" t="s">
        <v>3</v>
      </c>
      <c r="C16" s="73">
        <v>37.963728000000025</v>
      </c>
      <c r="D16" s="63">
        <v>0.40950000000000003</v>
      </c>
      <c r="E16" s="189" t="s">
        <v>213</v>
      </c>
      <c r="F16" s="63">
        <v>8.8759000000000005E-2</v>
      </c>
      <c r="G16" s="189" t="s">
        <v>213</v>
      </c>
      <c r="H16" s="64">
        <f t="shared" si="1"/>
        <v>38.461987000000029</v>
      </c>
    </row>
    <row r="17" spans="2:14" ht="19.5" customHeight="1" x14ac:dyDescent="0.2">
      <c r="B17" s="183" t="s">
        <v>4</v>
      </c>
      <c r="C17" s="73">
        <v>81.685390000000012</v>
      </c>
      <c r="D17" s="63">
        <v>71.709350000000001</v>
      </c>
      <c r="E17" s="178">
        <v>115.30121000000001</v>
      </c>
      <c r="F17" s="63">
        <v>308.3172600000002</v>
      </c>
      <c r="G17" s="179">
        <v>80.217200000000005</v>
      </c>
      <c r="H17" s="64">
        <f t="shared" si="1"/>
        <v>657.23041000000035</v>
      </c>
    </row>
    <row r="18" spans="2:14" ht="19.5" customHeight="1" x14ac:dyDescent="0.2">
      <c r="B18" s="185" t="s">
        <v>5</v>
      </c>
      <c r="C18" s="74">
        <v>140.88005999999999</v>
      </c>
      <c r="D18" s="63">
        <v>408.34324499999997</v>
      </c>
      <c r="E18" s="63">
        <v>178.52585299999998</v>
      </c>
      <c r="F18" s="63">
        <v>269.49393099999992</v>
      </c>
      <c r="G18" s="63">
        <v>308.66437000000002</v>
      </c>
      <c r="H18" s="64">
        <f t="shared" si="1"/>
        <v>1305.9074589999998</v>
      </c>
    </row>
    <row r="19" spans="2:14" ht="19.5" customHeight="1" x14ac:dyDescent="0.2">
      <c r="B19" s="103" t="s">
        <v>6</v>
      </c>
      <c r="C19" s="432">
        <f t="shared" ref="C19:F19" si="2">SUM(C13:C18)</f>
        <v>1068.6870510000003</v>
      </c>
      <c r="D19" s="432">
        <f t="shared" si="2"/>
        <v>1230.8640009999992</v>
      </c>
      <c r="E19" s="432">
        <f t="shared" si="2"/>
        <v>801.74125300000014</v>
      </c>
      <c r="F19" s="432">
        <f t="shared" si="2"/>
        <v>1428.5762700000002</v>
      </c>
      <c r="G19" s="432">
        <f>SUM(G13:G18)</f>
        <v>1487.0082969999999</v>
      </c>
      <c r="H19" s="190">
        <f>SUM(H13:H18)</f>
        <v>6016.8768719999998</v>
      </c>
    </row>
    <row r="20" spans="2:14" ht="20.100000000000001" customHeight="1" x14ac:dyDescent="0.2">
      <c r="B20" s="191" t="s">
        <v>81</v>
      </c>
      <c r="C20" s="72">
        <v>8.3999500000000005</v>
      </c>
      <c r="D20" s="63">
        <v>9.3217589999999984</v>
      </c>
      <c r="E20" s="63">
        <v>6.2229979999999987</v>
      </c>
      <c r="F20" s="63">
        <v>13.01291</v>
      </c>
      <c r="G20" s="63">
        <v>21.559763</v>
      </c>
      <c r="H20" s="64">
        <f>SUM(C20:G20)</f>
        <v>58.517379999999989</v>
      </c>
    </row>
    <row r="21" spans="2:14" ht="20.25" customHeight="1" x14ac:dyDescent="0.2">
      <c r="B21" s="192" t="s">
        <v>35</v>
      </c>
      <c r="C21" s="74">
        <v>255.71720600000006</v>
      </c>
      <c r="D21" s="63">
        <v>15.457936999999998</v>
      </c>
      <c r="E21" s="63">
        <v>247.34000900000007</v>
      </c>
      <c r="F21" s="63">
        <v>37.438151000000005</v>
      </c>
      <c r="G21" s="63">
        <v>349.29299100000031</v>
      </c>
      <c r="H21" s="64">
        <f>SUM(C21:G21)</f>
        <v>905.24629400000049</v>
      </c>
    </row>
    <row r="22" spans="2:14" ht="20.25" customHeight="1" x14ac:dyDescent="0.2">
      <c r="B22" s="103" t="s">
        <v>82</v>
      </c>
      <c r="C22" s="433">
        <f t="shared" ref="C22:G22" si="3">SUM(C20:C21)</f>
        <v>264.11715600000008</v>
      </c>
      <c r="D22" s="402">
        <f t="shared" si="3"/>
        <v>24.779695999999994</v>
      </c>
      <c r="E22" s="402">
        <f t="shared" si="3"/>
        <v>253.56300700000006</v>
      </c>
      <c r="F22" s="402">
        <f t="shared" si="3"/>
        <v>50.451061000000003</v>
      </c>
      <c r="G22" s="402">
        <f t="shared" si="3"/>
        <v>370.85275400000029</v>
      </c>
      <c r="H22" s="127">
        <f>SUM(H20:H21)</f>
        <v>963.76367400000049</v>
      </c>
    </row>
    <row r="23" spans="2:14" x14ac:dyDescent="0.2"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</row>
    <row r="24" spans="2:14" x14ac:dyDescent="0.2">
      <c r="H24" s="175"/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J212"/>
  <sheetViews>
    <sheetView showGridLines="0" workbookViewId="0"/>
  </sheetViews>
  <sheetFormatPr defaultRowHeight="12.75" x14ac:dyDescent="0.2"/>
  <cols>
    <col min="1" max="1" width="5.28515625" style="194" customWidth="1"/>
    <col min="2" max="2" width="12.5703125" style="194" customWidth="1"/>
    <col min="3" max="3" width="12.42578125" style="194" customWidth="1"/>
    <col min="4" max="4" width="18.42578125" style="194" customWidth="1"/>
    <col min="5" max="5" width="12.85546875" style="194" customWidth="1"/>
    <col min="6" max="6" width="14.28515625" style="194" customWidth="1"/>
    <col min="7" max="7" width="13.7109375" style="194" customWidth="1"/>
    <col min="8" max="8" width="17.5703125" style="194" customWidth="1"/>
    <col min="9" max="9" width="16.28515625" style="194" customWidth="1"/>
    <col min="10" max="10" width="16" style="194" customWidth="1"/>
    <col min="11" max="16384" width="9.140625" style="194"/>
  </cols>
  <sheetData>
    <row r="1" spans="1:10" x14ac:dyDescent="0.2">
      <c r="A1" s="90"/>
    </row>
    <row r="2" spans="1:10" ht="18.75" x14ac:dyDescent="0.2">
      <c r="B2" s="32" t="s">
        <v>237</v>
      </c>
      <c r="C2" s="30"/>
      <c r="D2" s="30"/>
      <c r="E2" s="31"/>
      <c r="F2" s="31"/>
      <c r="G2" s="31"/>
      <c r="H2" s="31"/>
      <c r="I2" s="31"/>
      <c r="J2" s="31"/>
    </row>
    <row r="3" spans="1:10" ht="18.75" x14ac:dyDescent="0.2">
      <c r="B3" s="94" t="s">
        <v>17</v>
      </c>
      <c r="C3" s="30"/>
      <c r="D3" s="30"/>
      <c r="E3" s="31"/>
      <c r="F3" s="31"/>
      <c r="G3" s="31"/>
      <c r="H3" s="31"/>
      <c r="I3" s="31"/>
      <c r="J3" s="31"/>
    </row>
    <row r="4" spans="1:10" ht="18" x14ac:dyDescent="0.2">
      <c r="B4" s="195"/>
      <c r="C4" s="30"/>
      <c r="D4" s="30"/>
      <c r="E4" s="31"/>
      <c r="F4" s="31"/>
      <c r="G4" s="31"/>
      <c r="H4" s="31"/>
      <c r="I4" s="31"/>
      <c r="J4" s="31"/>
    </row>
    <row r="5" spans="1:10" x14ac:dyDescent="0.2">
      <c r="B5" s="88" t="s">
        <v>83</v>
      </c>
      <c r="C5" s="40" t="s">
        <v>83</v>
      </c>
      <c r="D5" s="41"/>
      <c r="E5" s="493" t="s">
        <v>87</v>
      </c>
      <c r="F5" s="493"/>
      <c r="G5" s="493"/>
      <c r="H5" s="493"/>
      <c r="I5" s="493"/>
      <c r="J5" s="85" t="s">
        <v>83</v>
      </c>
    </row>
    <row r="6" spans="1:10" x14ac:dyDescent="0.2">
      <c r="B6" s="42" t="s">
        <v>95</v>
      </c>
      <c r="C6" s="43" t="s">
        <v>12</v>
      </c>
      <c r="D6" s="44"/>
      <c r="E6" s="12" t="s">
        <v>57</v>
      </c>
      <c r="F6" s="12" t="s">
        <v>58</v>
      </c>
      <c r="G6" s="12" t="s">
        <v>59</v>
      </c>
      <c r="H6" s="12" t="s">
        <v>60</v>
      </c>
      <c r="I6" s="13" t="s">
        <v>61</v>
      </c>
      <c r="J6" s="45" t="s">
        <v>72</v>
      </c>
    </row>
    <row r="7" spans="1:10" x14ac:dyDescent="0.2">
      <c r="B7" s="494" t="s">
        <v>104</v>
      </c>
      <c r="C7" s="497" t="s">
        <v>105</v>
      </c>
      <c r="D7" s="196" t="s">
        <v>105</v>
      </c>
      <c r="E7" s="129">
        <v>383</v>
      </c>
      <c r="F7" s="130">
        <v>378</v>
      </c>
      <c r="G7" s="130">
        <v>174</v>
      </c>
      <c r="H7" s="130">
        <v>291</v>
      </c>
      <c r="I7" s="197">
        <v>307</v>
      </c>
      <c r="J7" s="131">
        <f>SUM(E7:I7)</f>
        <v>1533</v>
      </c>
    </row>
    <row r="8" spans="1:10" x14ac:dyDescent="0.2">
      <c r="B8" s="495"/>
      <c r="C8" s="497"/>
      <c r="D8" s="196" t="s">
        <v>106</v>
      </c>
      <c r="E8" s="129">
        <v>64</v>
      </c>
      <c r="F8" s="130">
        <v>123</v>
      </c>
      <c r="G8" s="130">
        <v>57</v>
      </c>
      <c r="H8" s="130">
        <v>108</v>
      </c>
      <c r="I8" s="197">
        <v>119</v>
      </c>
      <c r="J8" s="131">
        <f>SUM(E8:I8)</f>
        <v>471</v>
      </c>
    </row>
    <row r="9" spans="1:10" x14ac:dyDescent="0.2">
      <c r="B9" s="495"/>
      <c r="C9" s="65" t="s">
        <v>11</v>
      </c>
      <c r="D9" s="198"/>
      <c r="E9" s="199">
        <f t="shared" ref="E9:J9" si="0">SUBTOTAL(9,E7:E8)</f>
        <v>447</v>
      </c>
      <c r="F9" s="120">
        <f t="shared" si="0"/>
        <v>501</v>
      </c>
      <c r="G9" s="120">
        <f t="shared" si="0"/>
        <v>231</v>
      </c>
      <c r="H9" s="120">
        <f t="shared" si="0"/>
        <v>399</v>
      </c>
      <c r="I9" s="200">
        <f t="shared" si="0"/>
        <v>426</v>
      </c>
      <c r="J9" s="121">
        <f t="shared" si="0"/>
        <v>2004</v>
      </c>
    </row>
    <row r="10" spans="1:10" x14ac:dyDescent="0.2">
      <c r="B10" s="495"/>
      <c r="C10" s="491" t="s">
        <v>107</v>
      </c>
      <c r="D10" s="201" t="s">
        <v>0</v>
      </c>
      <c r="E10" s="123">
        <v>88</v>
      </c>
      <c r="F10" s="124">
        <v>16</v>
      </c>
      <c r="G10" s="124">
        <v>0</v>
      </c>
      <c r="H10" s="124">
        <v>0</v>
      </c>
      <c r="I10" s="202">
        <v>13.231999999999999</v>
      </c>
      <c r="J10" s="117">
        <f t="shared" ref="J10:J16" si="1">SUM(E10:I10)</f>
        <v>117.232</v>
      </c>
    </row>
    <row r="11" spans="1:10" x14ac:dyDescent="0.2">
      <c r="B11" s="495"/>
      <c r="C11" s="491"/>
      <c r="D11" s="201" t="s">
        <v>1</v>
      </c>
      <c r="E11" s="123">
        <v>111</v>
      </c>
      <c r="F11" s="124">
        <v>0</v>
      </c>
      <c r="G11" s="124">
        <v>285</v>
      </c>
      <c r="H11" s="124">
        <v>18</v>
      </c>
      <c r="I11" s="202">
        <v>226</v>
      </c>
      <c r="J11" s="117">
        <f t="shared" si="1"/>
        <v>640</v>
      </c>
    </row>
    <row r="12" spans="1:10" x14ac:dyDescent="0.2">
      <c r="B12" s="495"/>
      <c r="C12" s="491"/>
      <c r="D12" s="201" t="s">
        <v>3</v>
      </c>
      <c r="E12" s="123">
        <v>6</v>
      </c>
      <c r="F12" s="124">
        <v>0</v>
      </c>
      <c r="G12" s="124">
        <v>0</v>
      </c>
      <c r="H12" s="124">
        <v>4</v>
      </c>
      <c r="I12" s="202">
        <v>0</v>
      </c>
      <c r="J12" s="117">
        <f t="shared" si="1"/>
        <v>10</v>
      </c>
    </row>
    <row r="13" spans="1:10" x14ac:dyDescent="0.2">
      <c r="B13" s="495"/>
      <c r="C13" s="491"/>
      <c r="D13" s="201" t="s">
        <v>4</v>
      </c>
      <c r="E13" s="123">
        <v>0</v>
      </c>
      <c r="F13" s="124">
        <v>18</v>
      </c>
      <c r="G13" s="124">
        <v>19</v>
      </c>
      <c r="H13" s="124">
        <v>0</v>
      </c>
      <c r="I13" s="202">
        <v>21</v>
      </c>
      <c r="J13" s="117">
        <f t="shared" si="1"/>
        <v>58</v>
      </c>
    </row>
    <row r="14" spans="1:10" x14ac:dyDescent="0.2">
      <c r="B14" s="495"/>
      <c r="C14" s="491"/>
      <c r="D14" s="201" t="s">
        <v>5</v>
      </c>
      <c r="E14" s="123">
        <v>0</v>
      </c>
      <c r="F14" s="124">
        <v>39</v>
      </c>
      <c r="G14" s="124">
        <v>0</v>
      </c>
      <c r="H14" s="124">
        <v>0</v>
      </c>
      <c r="I14" s="202">
        <v>0</v>
      </c>
      <c r="J14" s="117">
        <f t="shared" si="1"/>
        <v>39</v>
      </c>
    </row>
    <row r="15" spans="1:10" x14ac:dyDescent="0.2">
      <c r="B15" s="495"/>
      <c r="C15" s="66" t="s">
        <v>6</v>
      </c>
      <c r="D15" s="203"/>
      <c r="E15" s="199">
        <f t="shared" ref="E15:J15" si="2">SUBTOTAL(9,E10:E14)</f>
        <v>205</v>
      </c>
      <c r="F15" s="120">
        <f t="shared" si="2"/>
        <v>73</v>
      </c>
      <c r="G15" s="120">
        <f t="shared" si="2"/>
        <v>304</v>
      </c>
      <c r="H15" s="120">
        <f t="shared" si="2"/>
        <v>22</v>
      </c>
      <c r="I15" s="200">
        <f t="shared" si="2"/>
        <v>260.23199999999997</v>
      </c>
      <c r="J15" s="121">
        <f t="shared" si="2"/>
        <v>864.23199999999997</v>
      </c>
    </row>
    <row r="16" spans="1:10" x14ac:dyDescent="0.2">
      <c r="B16" s="495"/>
      <c r="C16" s="89" t="s">
        <v>108</v>
      </c>
      <c r="D16" s="201" t="s">
        <v>109</v>
      </c>
      <c r="E16" s="123">
        <v>264</v>
      </c>
      <c r="F16" s="124">
        <v>42</v>
      </c>
      <c r="G16" s="124">
        <v>34</v>
      </c>
      <c r="H16" s="124">
        <v>52</v>
      </c>
      <c r="I16" s="202">
        <v>341</v>
      </c>
      <c r="J16" s="117">
        <f t="shared" si="1"/>
        <v>733</v>
      </c>
    </row>
    <row r="17" spans="2:10" x14ac:dyDescent="0.2">
      <c r="B17" s="496"/>
      <c r="C17" s="66" t="s">
        <v>110</v>
      </c>
      <c r="D17" s="198"/>
      <c r="E17" s="199">
        <f t="shared" ref="E17:J17" si="3">SUBTOTAL(9,E16:E16)</f>
        <v>264</v>
      </c>
      <c r="F17" s="120">
        <f t="shared" si="3"/>
        <v>42</v>
      </c>
      <c r="G17" s="120">
        <f t="shared" si="3"/>
        <v>34</v>
      </c>
      <c r="H17" s="120">
        <f t="shared" si="3"/>
        <v>52</v>
      </c>
      <c r="I17" s="200">
        <f t="shared" si="3"/>
        <v>341</v>
      </c>
      <c r="J17" s="121">
        <f t="shared" si="3"/>
        <v>733</v>
      </c>
    </row>
    <row r="18" spans="2:10" ht="28.5" customHeight="1" x14ac:dyDescent="0.2">
      <c r="B18" s="46" t="s">
        <v>111</v>
      </c>
      <c r="C18" s="47"/>
      <c r="D18" s="47"/>
      <c r="E18" s="193">
        <f t="shared" ref="E18:J18" si="4">SUBTOTAL(9,E7:E16)</f>
        <v>916</v>
      </c>
      <c r="F18" s="104">
        <f t="shared" si="4"/>
        <v>616</v>
      </c>
      <c r="G18" s="104">
        <f t="shared" si="4"/>
        <v>569</v>
      </c>
      <c r="H18" s="104">
        <f t="shared" si="4"/>
        <v>473</v>
      </c>
      <c r="I18" s="204">
        <f t="shared" si="4"/>
        <v>1027.232</v>
      </c>
      <c r="J18" s="127">
        <f t="shared" si="4"/>
        <v>3601.232</v>
      </c>
    </row>
    <row r="19" spans="2:10" x14ac:dyDescent="0.2">
      <c r="B19" s="494" t="s">
        <v>112</v>
      </c>
      <c r="C19" s="488" t="s">
        <v>105</v>
      </c>
      <c r="D19" s="196" t="s">
        <v>105</v>
      </c>
      <c r="E19" s="129">
        <v>432.36</v>
      </c>
      <c r="F19" s="130">
        <v>493.291</v>
      </c>
      <c r="G19" s="130">
        <v>359.80799999999999</v>
      </c>
      <c r="H19" s="130">
        <v>464.73</v>
      </c>
      <c r="I19" s="197">
        <v>490.88900000000001</v>
      </c>
      <c r="J19" s="131">
        <f t="shared" ref="J19:J28" si="5">SUM(E19:I19)</f>
        <v>2241.078</v>
      </c>
    </row>
    <row r="20" spans="2:10" x14ac:dyDescent="0.2">
      <c r="B20" s="495"/>
      <c r="C20" s="489"/>
      <c r="D20" s="196" t="s">
        <v>106</v>
      </c>
      <c r="E20" s="129">
        <v>43.728000000000002</v>
      </c>
      <c r="F20" s="130">
        <v>132.81700000000001</v>
      </c>
      <c r="G20" s="130">
        <v>11.76</v>
      </c>
      <c r="H20" s="130">
        <v>2.5</v>
      </c>
      <c r="I20" s="197">
        <v>117.54300000000001</v>
      </c>
      <c r="J20" s="131">
        <f t="shared" si="5"/>
        <v>308.34800000000001</v>
      </c>
    </row>
    <row r="21" spans="2:10" x14ac:dyDescent="0.2">
      <c r="B21" s="495"/>
      <c r="C21" s="66" t="s">
        <v>11</v>
      </c>
      <c r="D21" s="198"/>
      <c r="E21" s="199">
        <f t="shared" ref="E21:J21" si="6">SUBTOTAL(9,E19:E20)</f>
        <v>476.08800000000002</v>
      </c>
      <c r="F21" s="120">
        <f t="shared" si="6"/>
        <v>626.10799999999995</v>
      </c>
      <c r="G21" s="120">
        <f t="shared" si="6"/>
        <v>371.56799999999998</v>
      </c>
      <c r="H21" s="120">
        <f t="shared" si="6"/>
        <v>467.23</v>
      </c>
      <c r="I21" s="200">
        <f t="shared" si="6"/>
        <v>608.43200000000002</v>
      </c>
      <c r="J21" s="121">
        <f t="shared" si="6"/>
        <v>2549.4259999999999</v>
      </c>
    </row>
    <row r="22" spans="2:10" x14ac:dyDescent="0.2">
      <c r="B22" s="495"/>
      <c r="C22" s="490" t="s">
        <v>107</v>
      </c>
      <c r="D22" s="201" t="s">
        <v>0</v>
      </c>
      <c r="E22" s="123">
        <v>78.219750204399233</v>
      </c>
      <c r="F22" s="124">
        <v>0.99614998197555549</v>
      </c>
      <c r="G22" s="124">
        <v>3.3413899993896483</v>
      </c>
      <c r="H22" s="124">
        <v>4.0976200022697444</v>
      </c>
      <c r="I22" s="202">
        <v>0</v>
      </c>
      <c r="J22" s="117">
        <f t="shared" si="5"/>
        <v>86.654910188034179</v>
      </c>
    </row>
    <row r="23" spans="2:10" x14ac:dyDescent="0.2">
      <c r="B23" s="495"/>
      <c r="C23" s="491"/>
      <c r="D23" s="201" t="s">
        <v>1</v>
      </c>
      <c r="E23" s="123">
        <v>206.036</v>
      </c>
      <c r="F23" s="124">
        <v>53.034000000000006</v>
      </c>
      <c r="G23" s="124">
        <v>7.42</v>
      </c>
      <c r="H23" s="124">
        <v>114.404</v>
      </c>
      <c r="I23" s="202">
        <v>311.10200000000003</v>
      </c>
      <c r="J23" s="117">
        <f t="shared" si="5"/>
        <v>691.99600000000009</v>
      </c>
    </row>
    <row r="24" spans="2:10" x14ac:dyDescent="0.2">
      <c r="B24" s="495"/>
      <c r="C24" s="491"/>
      <c r="D24" s="201" t="s">
        <v>3</v>
      </c>
      <c r="E24" s="123">
        <v>12.185</v>
      </c>
      <c r="F24" s="124">
        <v>0</v>
      </c>
      <c r="G24" s="124">
        <v>0</v>
      </c>
      <c r="H24" s="124">
        <v>0</v>
      </c>
      <c r="I24" s="202">
        <v>0</v>
      </c>
      <c r="J24" s="117">
        <f t="shared" si="5"/>
        <v>12.185</v>
      </c>
    </row>
    <row r="25" spans="2:10" x14ac:dyDescent="0.2">
      <c r="B25" s="495"/>
      <c r="C25" s="491"/>
      <c r="D25" s="201" t="s">
        <v>4</v>
      </c>
      <c r="E25" s="123">
        <v>0</v>
      </c>
      <c r="F25" s="124">
        <v>33.128999999999998</v>
      </c>
      <c r="G25" s="124">
        <v>27.125</v>
      </c>
      <c r="H25" s="124">
        <v>15.702999999999999</v>
      </c>
      <c r="I25" s="202">
        <v>17.577999999999999</v>
      </c>
      <c r="J25" s="117">
        <f t="shared" si="5"/>
        <v>93.534999999999997</v>
      </c>
    </row>
    <row r="26" spans="2:10" x14ac:dyDescent="0.2">
      <c r="B26" s="495"/>
      <c r="C26" s="492"/>
      <c r="D26" s="201" t="s">
        <v>5</v>
      </c>
      <c r="E26" s="123">
        <v>0</v>
      </c>
      <c r="F26" s="124">
        <v>31.210350007772448</v>
      </c>
      <c r="G26" s="124">
        <v>344.88177401733401</v>
      </c>
      <c r="H26" s="124">
        <v>0</v>
      </c>
      <c r="I26" s="202">
        <v>0</v>
      </c>
      <c r="J26" s="117">
        <f t="shared" si="5"/>
        <v>376.09212402510644</v>
      </c>
    </row>
    <row r="27" spans="2:10" x14ac:dyDescent="0.2">
      <c r="B27" s="495"/>
      <c r="C27" s="66" t="s">
        <v>6</v>
      </c>
      <c r="D27" s="198"/>
      <c r="E27" s="199">
        <f t="shared" ref="E27:J27" si="7">SUBTOTAL(9,E22:E26)</f>
        <v>296.44075020439925</v>
      </c>
      <c r="F27" s="120">
        <f t="shared" si="7"/>
        <v>118.36949998974801</v>
      </c>
      <c r="G27" s="120">
        <f t="shared" si="7"/>
        <v>382.76816401672363</v>
      </c>
      <c r="H27" s="120">
        <f t="shared" si="7"/>
        <v>134.20462000226973</v>
      </c>
      <c r="I27" s="200">
        <f t="shared" si="7"/>
        <v>328.68</v>
      </c>
      <c r="J27" s="121">
        <f t="shared" si="7"/>
        <v>1260.4630342131406</v>
      </c>
    </row>
    <row r="28" spans="2:10" x14ac:dyDescent="0.2">
      <c r="B28" s="495"/>
      <c r="C28" s="498" t="s">
        <v>108</v>
      </c>
      <c r="D28" s="498" t="s">
        <v>109</v>
      </c>
      <c r="E28" s="123">
        <v>375.34500000000003</v>
      </c>
      <c r="F28" s="124">
        <v>48.552</v>
      </c>
      <c r="G28" s="124">
        <v>63.280999999999999</v>
      </c>
      <c r="H28" s="124">
        <v>46.067</v>
      </c>
      <c r="I28" s="202">
        <v>335.95499999999998</v>
      </c>
      <c r="J28" s="117">
        <f t="shared" si="5"/>
        <v>869.2</v>
      </c>
    </row>
    <row r="29" spans="2:10" x14ac:dyDescent="0.2">
      <c r="B29" s="496"/>
      <c r="C29" s="67" t="s">
        <v>110</v>
      </c>
      <c r="D29" s="205"/>
      <c r="E29" s="206">
        <f t="shared" ref="E29:J29" si="8">SUBTOTAL(9,E28:E28)</f>
        <v>375.34500000000003</v>
      </c>
      <c r="F29" s="125">
        <f t="shared" si="8"/>
        <v>48.552</v>
      </c>
      <c r="G29" s="125">
        <f t="shared" si="8"/>
        <v>63.280999999999999</v>
      </c>
      <c r="H29" s="125">
        <f t="shared" si="8"/>
        <v>46.067</v>
      </c>
      <c r="I29" s="207">
        <f t="shared" si="8"/>
        <v>335.95499999999998</v>
      </c>
      <c r="J29" s="115">
        <f t="shared" si="8"/>
        <v>869.2</v>
      </c>
    </row>
    <row r="30" spans="2:10" ht="22.5" customHeight="1" x14ac:dyDescent="0.2">
      <c r="B30" s="23" t="s">
        <v>113</v>
      </c>
      <c r="C30" s="47"/>
      <c r="D30" s="47"/>
      <c r="E30" s="193">
        <f t="shared" ref="E30:J30" si="9">SUBTOTAL(9,E19:E28)</f>
        <v>1147.8737502043991</v>
      </c>
      <c r="F30" s="104">
        <f t="shared" si="9"/>
        <v>793.02949998974805</v>
      </c>
      <c r="G30" s="104">
        <f t="shared" si="9"/>
        <v>817.61716401672356</v>
      </c>
      <c r="H30" s="104">
        <f t="shared" si="9"/>
        <v>647.50162000226976</v>
      </c>
      <c r="I30" s="204">
        <f t="shared" si="9"/>
        <v>1273.067</v>
      </c>
      <c r="J30" s="127">
        <f t="shared" si="9"/>
        <v>4679.0890342131406</v>
      </c>
    </row>
    <row r="31" spans="2:10" x14ac:dyDescent="0.2">
      <c r="B31" s="462" t="s">
        <v>114</v>
      </c>
      <c r="C31" s="488" t="s">
        <v>105</v>
      </c>
      <c r="D31" s="196" t="s">
        <v>105</v>
      </c>
      <c r="E31" s="129">
        <v>578.02791462263372</v>
      </c>
      <c r="F31" s="130">
        <v>589.36279975472769</v>
      </c>
      <c r="G31" s="130">
        <v>495.18518891738364</v>
      </c>
      <c r="H31" s="130">
        <v>524.4102403069586</v>
      </c>
      <c r="I31" s="197">
        <v>365.37788327340235</v>
      </c>
      <c r="J31" s="131">
        <f t="shared" ref="J31:J42" si="10">SUM(E31:I31)</f>
        <v>2552.364026875106</v>
      </c>
    </row>
    <row r="32" spans="2:10" x14ac:dyDescent="0.2">
      <c r="B32" s="463"/>
      <c r="C32" s="489"/>
      <c r="D32" s="196" t="s">
        <v>106</v>
      </c>
      <c r="E32" s="129">
        <v>38.567179697275158</v>
      </c>
      <c r="F32" s="130">
        <v>142.93755381906033</v>
      </c>
      <c r="G32" s="130">
        <v>8.5688849880695344</v>
      </c>
      <c r="H32" s="130">
        <v>1.25</v>
      </c>
      <c r="I32" s="197">
        <v>138.04548580180852</v>
      </c>
      <c r="J32" s="131">
        <f t="shared" si="10"/>
        <v>329.36910430621356</v>
      </c>
    </row>
    <row r="33" spans="2:10" x14ac:dyDescent="0.2">
      <c r="B33" s="463"/>
      <c r="C33" s="66" t="s">
        <v>11</v>
      </c>
      <c r="D33" s="198"/>
      <c r="E33" s="199">
        <f t="shared" ref="E33:J33" si="11">SUBTOTAL(9,E31:E32)</f>
        <v>616.59509431990887</v>
      </c>
      <c r="F33" s="120">
        <f t="shared" si="11"/>
        <v>732.30035357378802</v>
      </c>
      <c r="G33" s="120">
        <f t="shared" si="11"/>
        <v>503.7540739054532</v>
      </c>
      <c r="H33" s="120">
        <f t="shared" si="11"/>
        <v>525.6602403069586</v>
      </c>
      <c r="I33" s="200">
        <f t="shared" si="11"/>
        <v>503.42336907521087</v>
      </c>
      <c r="J33" s="121">
        <f t="shared" si="11"/>
        <v>2881.7331311813195</v>
      </c>
    </row>
    <row r="34" spans="2:10" x14ac:dyDescent="0.2">
      <c r="B34" s="463"/>
      <c r="C34" s="490" t="s">
        <v>107</v>
      </c>
      <c r="D34" s="201" t="s">
        <v>0</v>
      </c>
      <c r="E34" s="123">
        <v>93.932716525018222</v>
      </c>
      <c r="F34" s="124">
        <v>3.7835699524879458</v>
      </c>
      <c r="G34" s="124">
        <v>18.69597259354591</v>
      </c>
      <c r="H34" s="124">
        <v>9.4973499348908668</v>
      </c>
      <c r="I34" s="202">
        <v>155.0459600830078</v>
      </c>
      <c r="J34" s="117">
        <f t="shared" si="10"/>
        <v>280.95556908895077</v>
      </c>
    </row>
    <row r="35" spans="2:10" x14ac:dyDescent="0.2">
      <c r="B35" s="463"/>
      <c r="C35" s="491"/>
      <c r="D35" s="201" t="s">
        <v>1</v>
      </c>
      <c r="E35" s="123">
        <v>210.18346257066727</v>
      </c>
      <c r="F35" s="124">
        <v>96.864999999999995</v>
      </c>
      <c r="G35" s="124">
        <v>12.779660003662109</v>
      </c>
      <c r="H35" s="124">
        <v>39.000013877565038</v>
      </c>
      <c r="I35" s="202">
        <v>350.57008512639999</v>
      </c>
      <c r="J35" s="117">
        <f t="shared" si="10"/>
        <v>709.3982215782944</v>
      </c>
    </row>
    <row r="36" spans="2:10" x14ac:dyDescent="0.2">
      <c r="B36" s="463"/>
      <c r="C36" s="491"/>
      <c r="D36" s="201" t="s">
        <v>2</v>
      </c>
      <c r="E36" s="123">
        <v>0</v>
      </c>
      <c r="F36" s="124">
        <v>0</v>
      </c>
      <c r="G36" s="124">
        <v>0</v>
      </c>
      <c r="H36" s="124">
        <v>12.49600599324447</v>
      </c>
      <c r="I36" s="202">
        <v>0</v>
      </c>
      <c r="J36" s="117">
        <f t="shared" si="10"/>
        <v>12.49600599324447</v>
      </c>
    </row>
    <row r="37" spans="2:10" x14ac:dyDescent="0.2">
      <c r="B37" s="463"/>
      <c r="C37" s="491"/>
      <c r="D37" s="201" t="s">
        <v>3</v>
      </c>
      <c r="E37" s="123">
        <v>27.868429808001967</v>
      </c>
      <c r="F37" s="124">
        <v>0</v>
      </c>
      <c r="G37" s="124">
        <v>0</v>
      </c>
      <c r="H37" s="124">
        <v>0</v>
      </c>
      <c r="I37" s="202">
        <v>0</v>
      </c>
      <c r="J37" s="117">
        <f t="shared" si="10"/>
        <v>27.868429808001967</v>
      </c>
    </row>
    <row r="38" spans="2:10" x14ac:dyDescent="0.2">
      <c r="B38" s="463"/>
      <c r="C38" s="491"/>
      <c r="D38" s="201" t="s">
        <v>4</v>
      </c>
      <c r="E38" s="123">
        <v>13.587</v>
      </c>
      <c r="F38" s="124">
        <v>55.017990173339847</v>
      </c>
      <c r="G38" s="124">
        <v>33.919800098419188</v>
      </c>
      <c r="H38" s="124">
        <v>13.676089920043946</v>
      </c>
      <c r="I38" s="202">
        <v>4.4213100585937504</v>
      </c>
      <c r="J38" s="117">
        <f t="shared" si="10"/>
        <v>120.62219025039673</v>
      </c>
    </row>
    <row r="39" spans="2:10" x14ac:dyDescent="0.2">
      <c r="B39" s="463"/>
      <c r="C39" s="492"/>
      <c r="D39" s="201" t="s">
        <v>5</v>
      </c>
      <c r="E39" s="123">
        <v>0</v>
      </c>
      <c r="F39" s="124">
        <v>22.702810003519058</v>
      </c>
      <c r="G39" s="124">
        <v>338.21002537536623</v>
      </c>
      <c r="H39" s="124">
        <v>0</v>
      </c>
      <c r="I39" s="202">
        <v>0</v>
      </c>
      <c r="J39" s="117">
        <f t="shared" si="10"/>
        <v>360.91283537888529</v>
      </c>
    </row>
    <row r="40" spans="2:10" x14ac:dyDescent="0.2">
      <c r="B40" s="463"/>
      <c r="C40" s="66" t="s">
        <v>6</v>
      </c>
      <c r="D40" s="198"/>
      <c r="E40" s="199">
        <f t="shared" ref="E40:J40" si="12">SUBTOTAL(9,E34:E39)</f>
        <v>345.57160890368743</v>
      </c>
      <c r="F40" s="120">
        <f t="shared" si="12"/>
        <v>178.36937012934686</v>
      </c>
      <c r="G40" s="120">
        <f t="shared" si="12"/>
        <v>403.60545807099345</v>
      </c>
      <c r="H40" s="120">
        <f t="shared" si="12"/>
        <v>74.669459725744318</v>
      </c>
      <c r="I40" s="200">
        <f t="shared" si="12"/>
        <v>510.03735526800153</v>
      </c>
      <c r="J40" s="121">
        <f t="shared" si="12"/>
        <v>1512.2532520977736</v>
      </c>
    </row>
    <row r="41" spans="2:10" x14ac:dyDescent="0.2">
      <c r="B41" s="463"/>
      <c r="C41" s="490" t="s">
        <v>108</v>
      </c>
      <c r="D41" s="201" t="s">
        <v>18</v>
      </c>
      <c r="E41" s="123">
        <v>38.26925</v>
      </c>
      <c r="F41" s="124">
        <v>0.71599999999999997</v>
      </c>
      <c r="G41" s="124">
        <v>167.28760094356537</v>
      </c>
      <c r="H41" s="124">
        <v>7.2738150174617768</v>
      </c>
      <c r="I41" s="202">
        <v>1.3402999687194825</v>
      </c>
      <c r="J41" s="117">
        <f t="shared" si="10"/>
        <v>214.88696592974662</v>
      </c>
    </row>
    <row r="42" spans="2:10" x14ac:dyDescent="0.2">
      <c r="B42" s="463"/>
      <c r="C42" s="492"/>
      <c r="D42" s="201" t="s">
        <v>109</v>
      </c>
      <c r="E42" s="123">
        <v>329.74849712848663</v>
      </c>
      <c r="F42" s="124">
        <v>27.495330952048302</v>
      </c>
      <c r="G42" s="124">
        <v>82.962085062503817</v>
      </c>
      <c r="H42" s="124">
        <v>51.661886814470861</v>
      </c>
      <c r="I42" s="202">
        <v>387.69263659073408</v>
      </c>
      <c r="J42" s="117">
        <f t="shared" si="10"/>
        <v>879.56043654824362</v>
      </c>
    </row>
    <row r="43" spans="2:10" x14ac:dyDescent="0.2">
      <c r="B43" s="464"/>
      <c r="C43" s="67" t="s">
        <v>110</v>
      </c>
      <c r="D43" s="205"/>
      <c r="E43" s="206">
        <f t="shared" ref="E43:J43" si="13">SUBTOTAL(9,E41:E42)</f>
        <v>368.01774712848663</v>
      </c>
      <c r="F43" s="125">
        <f t="shared" si="13"/>
        <v>28.211330952048304</v>
      </c>
      <c r="G43" s="125">
        <f t="shared" si="13"/>
        <v>250.24968600606917</v>
      </c>
      <c r="H43" s="125">
        <f t="shared" si="13"/>
        <v>58.93570183193264</v>
      </c>
      <c r="I43" s="207">
        <f t="shared" si="13"/>
        <v>389.03293655945356</v>
      </c>
      <c r="J43" s="115">
        <f t="shared" si="13"/>
        <v>1094.4474024779902</v>
      </c>
    </row>
    <row r="44" spans="2:10" x14ac:dyDescent="0.2">
      <c r="B44" s="33" t="s">
        <v>115</v>
      </c>
      <c r="C44" s="47"/>
      <c r="D44" s="47"/>
      <c r="E44" s="193">
        <f t="shared" ref="E44:J44" si="14">SUBTOTAL(9,E31:E42)</f>
        <v>1330.1844503520831</v>
      </c>
      <c r="F44" s="104">
        <f t="shared" si="14"/>
        <v>938.88105465518322</v>
      </c>
      <c r="G44" s="104">
        <f t="shared" si="14"/>
        <v>1157.6092179825157</v>
      </c>
      <c r="H44" s="104">
        <f t="shared" si="14"/>
        <v>659.26540186463558</v>
      </c>
      <c r="I44" s="104">
        <f t="shared" si="14"/>
        <v>1402.4936609026661</v>
      </c>
      <c r="J44" s="127">
        <f t="shared" si="14"/>
        <v>5488.4337857570845</v>
      </c>
    </row>
    <row r="45" spans="2:10" x14ac:dyDescent="0.2">
      <c r="B45" s="462">
        <v>2005</v>
      </c>
      <c r="C45" s="488" t="s">
        <v>105</v>
      </c>
      <c r="D45" s="196" t="s">
        <v>105</v>
      </c>
      <c r="E45" s="129">
        <f>598380.322737949/1000</f>
        <v>598.38032273794897</v>
      </c>
      <c r="F45" s="130">
        <f>671954.808967557/1000</f>
        <v>671.95480896755703</v>
      </c>
      <c r="G45" s="130">
        <f>699940.729465127/1000</f>
        <v>699.94072946512699</v>
      </c>
      <c r="H45" s="130">
        <f>665991.45689698/1000</f>
        <v>665.99145689697991</v>
      </c>
      <c r="I45" s="197">
        <f>512911.306625472/1000</f>
        <v>512.91130662547198</v>
      </c>
      <c r="J45" s="131">
        <f t="shared" ref="J45:J56" si="15">SUM(E45:I45)</f>
        <v>3149.1786246930851</v>
      </c>
    </row>
    <row r="46" spans="2:10" x14ac:dyDescent="0.2">
      <c r="B46" s="463"/>
      <c r="C46" s="489"/>
      <c r="D46" s="196" t="s">
        <v>106</v>
      </c>
      <c r="E46" s="129">
        <f>6548.85099506378/1000</f>
        <v>6.5488509950637797</v>
      </c>
      <c r="F46" s="130">
        <f>10870.560974121/1000</f>
        <v>10.870560974120998</v>
      </c>
      <c r="G46" s="130">
        <f>14169.2434317041/1000</f>
        <v>14.1692434317041</v>
      </c>
      <c r="H46" s="130">
        <v>1.25</v>
      </c>
      <c r="I46" s="197">
        <f>13809.048076421/1000</f>
        <v>13.809048076421</v>
      </c>
      <c r="J46" s="131">
        <f t="shared" si="15"/>
        <v>46.647703477309882</v>
      </c>
    </row>
    <row r="47" spans="2:10" x14ac:dyDescent="0.2">
      <c r="B47" s="463"/>
      <c r="C47" s="66" t="s">
        <v>11</v>
      </c>
      <c r="D47" s="198"/>
      <c r="E47" s="199">
        <f t="shared" ref="E47:J47" si="16">SUBTOTAL(9,E45:E46)</f>
        <v>604.9291737330127</v>
      </c>
      <c r="F47" s="120">
        <f t="shared" si="16"/>
        <v>682.82536994167799</v>
      </c>
      <c r="G47" s="120">
        <f t="shared" si="16"/>
        <v>714.1099728968311</v>
      </c>
      <c r="H47" s="120">
        <f t="shared" si="16"/>
        <v>667.24145689697991</v>
      </c>
      <c r="I47" s="200">
        <f t="shared" si="16"/>
        <v>526.72035470189303</v>
      </c>
      <c r="J47" s="121">
        <f t="shared" si="16"/>
        <v>3195.8263281703948</v>
      </c>
    </row>
    <row r="48" spans="2:10" x14ac:dyDescent="0.2">
      <c r="B48" s="463"/>
      <c r="C48" s="490" t="s">
        <v>107</v>
      </c>
      <c r="D48" s="201" t="s">
        <v>0</v>
      </c>
      <c r="E48" s="123">
        <f>90451.9702767916/1000</f>
        <v>90.451970276791599</v>
      </c>
      <c r="F48" s="124">
        <f>18112.4599761962/1000</f>
        <v>18.112459976196202</v>
      </c>
      <c r="G48" s="124">
        <f>13629.6095390319/1000</f>
        <v>13.6296095390319</v>
      </c>
      <c r="H48" s="124">
        <f>8567.96993777528/1000</f>
        <v>8.5679699377752812</v>
      </c>
      <c r="I48" s="202">
        <f>193349/1000</f>
        <v>193.34899999999999</v>
      </c>
      <c r="J48" s="117">
        <f t="shared" si="15"/>
        <v>324.111009729795</v>
      </c>
    </row>
    <row r="49" spans="2:10" x14ac:dyDescent="0.2">
      <c r="B49" s="463"/>
      <c r="C49" s="491"/>
      <c r="D49" s="201" t="s">
        <v>1</v>
      </c>
      <c r="E49" s="123">
        <f>196969.889982224/1000</f>
        <v>196.969889982224</v>
      </c>
      <c r="F49" s="124">
        <f>214109.705030859/1000</f>
        <v>214.109705030859</v>
      </c>
      <c r="G49" s="124">
        <f>11529.6520051956/1000</f>
        <v>11.529652005195599</v>
      </c>
      <c r="H49" s="124">
        <f>86215.2372851372/1000</f>
        <v>86.215237285137206</v>
      </c>
      <c r="I49" s="202">
        <f>315824.470115662/1000</f>
        <v>315.82447011566205</v>
      </c>
      <c r="J49" s="117">
        <f t="shared" si="15"/>
        <v>824.64895441907788</v>
      </c>
    </row>
    <row r="50" spans="2:10" x14ac:dyDescent="0.2">
      <c r="B50" s="463"/>
      <c r="C50" s="491"/>
      <c r="D50" s="201" t="s">
        <v>2</v>
      </c>
      <c r="E50" s="123">
        <f>17462.8018765449/1000</f>
        <v>17.462801876544901</v>
      </c>
      <c r="F50" s="124">
        <v>0</v>
      </c>
      <c r="G50" s="124">
        <v>0</v>
      </c>
      <c r="H50" s="124">
        <f>13587.8968913044/1000</f>
        <v>13.5878968913044</v>
      </c>
      <c r="I50" s="202">
        <f>15084.6430245339/1000</f>
        <v>15.0846430245339</v>
      </c>
      <c r="J50" s="117">
        <f t="shared" si="15"/>
        <v>46.135341792383201</v>
      </c>
    </row>
    <row r="51" spans="2:10" x14ac:dyDescent="0.2">
      <c r="B51" s="463"/>
      <c r="C51" s="491"/>
      <c r="D51" s="201" t="s">
        <v>3</v>
      </c>
      <c r="E51" s="123">
        <f>37555.9699300453/1000</f>
        <v>37.5559699300453</v>
      </c>
      <c r="F51" s="124">
        <f>85.8000011444091/1000</f>
        <v>8.5800001144409097E-2</v>
      </c>
      <c r="G51" s="124">
        <v>0</v>
      </c>
      <c r="H51" s="124">
        <f>423.600000232458/1000</f>
        <v>0.42360000023245797</v>
      </c>
      <c r="I51" s="202">
        <v>0</v>
      </c>
      <c r="J51" s="117">
        <f t="shared" si="15"/>
        <v>38.065369931422161</v>
      </c>
    </row>
    <row r="52" spans="2:10" x14ac:dyDescent="0.2">
      <c r="B52" s="463"/>
      <c r="C52" s="491"/>
      <c r="D52" s="201" t="s">
        <v>4</v>
      </c>
      <c r="E52" s="123">
        <v>12.297000000000001</v>
      </c>
      <c r="F52" s="124">
        <f>59912.1203918457/1000</f>
        <v>59.912120391845704</v>
      </c>
      <c r="G52" s="124">
        <f>47161.8601264953/1000</f>
        <v>47.161860126495306</v>
      </c>
      <c r="H52" s="124">
        <f>15973.251296997/1000</f>
        <v>15.973251296996999</v>
      </c>
      <c r="I52" s="202">
        <v>0</v>
      </c>
      <c r="J52" s="117">
        <f t="shared" si="15"/>
        <v>135.34423181533802</v>
      </c>
    </row>
    <row r="53" spans="2:10" x14ac:dyDescent="0.2">
      <c r="B53" s="463"/>
      <c r="C53" s="492"/>
      <c r="D53" s="201" t="s">
        <v>5</v>
      </c>
      <c r="E53" s="123">
        <v>0</v>
      </c>
      <c r="F53" s="124">
        <f>19932.680065155/1000</f>
        <v>19.932680065155001</v>
      </c>
      <c r="G53" s="124">
        <f>150777.589904785/1000</f>
        <v>150.777589904785</v>
      </c>
      <c r="H53" s="124">
        <v>0</v>
      </c>
      <c r="I53" s="202">
        <v>0</v>
      </c>
      <c r="J53" s="117">
        <f t="shared" si="15"/>
        <v>170.71026996994001</v>
      </c>
    </row>
    <row r="54" spans="2:10" x14ac:dyDescent="0.2">
      <c r="B54" s="463"/>
      <c r="C54" s="66" t="s">
        <v>6</v>
      </c>
      <c r="D54" s="198"/>
      <c r="E54" s="199">
        <f t="shared" ref="E54:J54" si="17">SUBTOTAL(9,E48:E53)</f>
        <v>354.73763206560585</v>
      </c>
      <c r="F54" s="120">
        <f t="shared" si="17"/>
        <v>312.15276546520033</v>
      </c>
      <c r="G54" s="120">
        <f t="shared" si="17"/>
        <v>223.09871157550782</v>
      </c>
      <c r="H54" s="120">
        <f t="shared" si="17"/>
        <v>124.76795541144634</v>
      </c>
      <c r="I54" s="200">
        <f t="shared" si="17"/>
        <v>524.25811314019597</v>
      </c>
      <c r="J54" s="121">
        <f t="shared" si="17"/>
        <v>1539.0151776579562</v>
      </c>
    </row>
    <row r="55" spans="2:10" x14ac:dyDescent="0.2">
      <c r="B55" s="463"/>
      <c r="C55" s="490" t="s">
        <v>108</v>
      </c>
      <c r="D55" s="201" t="s">
        <v>18</v>
      </c>
      <c r="E55" s="123">
        <f>28661.2100005149/1000</f>
        <v>28.661210000514899</v>
      </c>
      <c r="F55" s="124">
        <f>7239.36048698425/1000</f>
        <v>7.2393604869842498</v>
      </c>
      <c r="G55" s="124">
        <f>66189.180295229/1000</f>
        <v>66.189180295229008</v>
      </c>
      <c r="H55" s="124">
        <f>8664.41672605276/1000</f>
        <v>8.6644167260527585</v>
      </c>
      <c r="I55" s="202">
        <f>17073.6779648065/1000</f>
        <v>17.0736779648065</v>
      </c>
      <c r="J55" s="117">
        <f t="shared" si="15"/>
        <v>127.82784547358742</v>
      </c>
    </row>
    <row r="56" spans="2:10" x14ac:dyDescent="0.2">
      <c r="B56" s="463"/>
      <c r="C56" s="492"/>
      <c r="D56" s="201" t="s">
        <v>109</v>
      </c>
      <c r="E56" s="123">
        <f>346185.561662197/1000</f>
        <v>346.18556166219702</v>
      </c>
      <c r="F56" s="124">
        <f>35174.8598003387/1000</f>
        <v>35.174859800338702</v>
      </c>
      <c r="G56" s="124">
        <f>111483.736185074/1000</f>
        <v>111.48373618507399</v>
      </c>
      <c r="H56" s="124">
        <f>57199.7347429902/1000</f>
        <v>57.199734742990202</v>
      </c>
      <c r="I56" s="202">
        <f>348380.571010202/1000</f>
        <v>348.380571010202</v>
      </c>
      <c r="J56" s="117">
        <f t="shared" si="15"/>
        <v>898.42446340080187</v>
      </c>
    </row>
    <row r="57" spans="2:10" x14ac:dyDescent="0.2">
      <c r="B57" s="464"/>
      <c r="C57" s="67" t="s">
        <v>110</v>
      </c>
      <c r="D57" s="205"/>
      <c r="E57" s="125">
        <f t="shared" ref="E57:J57" si="18">SUBTOTAL(9,E55:E56)</f>
        <v>374.84677166271194</v>
      </c>
      <c r="F57" s="125">
        <f t="shared" si="18"/>
        <v>42.414220287322948</v>
      </c>
      <c r="G57" s="125">
        <f t="shared" si="18"/>
        <v>177.672916480303</v>
      </c>
      <c r="H57" s="125">
        <f t="shared" si="18"/>
        <v>65.864151469042966</v>
      </c>
      <c r="I57" s="125">
        <f t="shared" si="18"/>
        <v>365.45424897500851</v>
      </c>
      <c r="J57" s="207">
        <f t="shared" si="18"/>
        <v>1026.2523088743892</v>
      </c>
    </row>
    <row r="58" spans="2:10" x14ac:dyDescent="0.2">
      <c r="B58" s="33" t="s">
        <v>116</v>
      </c>
      <c r="C58" s="47"/>
      <c r="D58" s="47"/>
      <c r="E58" s="104">
        <f t="shared" ref="E58:J58" si="19">SUBTOTAL(9,E45:E56)</f>
        <v>1334.5135774613304</v>
      </c>
      <c r="F58" s="104">
        <f t="shared" si="19"/>
        <v>1037.3923556942011</v>
      </c>
      <c r="G58" s="104">
        <f t="shared" si="19"/>
        <v>1114.8816009526417</v>
      </c>
      <c r="H58" s="104">
        <f t="shared" si="19"/>
        <v>857.87356377746914</v>
      </c>
      <c r="I58" s="104">
        <f t="shared" si="19"/>
        <v>1416.4327168170973</v>
      </c>
      <c r="J58" s="127">
        <f t="shared" si="19"/>
        <v>5761.0938147027409</v>
      </c>
    </row>
    <row r="59" spans="2:10" x14ac:dyDescent="0.2">
      <c r="B59" s="462">
        <v>2006</v>
      </c>
      <c r="C59" s="488" t="s">
        <v>105</v>
      </c>
      <c r="D59" s="196" t="s">
        <v>105</v>
      </c>
      <c r="E59" s="129">
        <v>598.01077698159918</v>
      </c>
      <c r="F59" s="130">
        <v>643.15495509466348</v>
      </c>
      <c r="G59" s="130">
        <v>482.17936292029918</v>
      </c>
      <c r="H59" s="130">
        <v>667.75453083976981</v>
      </c>
      <c r="I59" s="197">
        <v>468.71504143288917</v>
      </c>
      <c r="J59" s="131">
        <f>SUM(E59:I59)</f>
        <v>2859.814667269221</v>
      </c>
    </row>
    <row r="60" spans="2:10" x14ac:dyDescent="0.2">
      <c r="B60" s="463"/>
      <c r="C60" s="489"/>
      <c r="D60" s="196" t="s">
        <v>106</v>
      </c>
      <c r="E60" s="129">
        <v>70.545379799842834</v>
      </c>
      <c r="F60" s="130">
        <v>38.931699780758471</v>
      </c>
      <c r="G60" s="130">
        <v>53.002302539899944</v>
      </c>
      <c r="H60" s="130">
        <v>65.491675481156676</v>
      </c>
      <c r="I60" s="197">
        <v>115.05832199088438</v>
      </c>
      <c r="J60" s="131">
        <f>SUM(E60:I60)</f>
        <v>343.02937959254228</v>
      </c>
    </row>
    <row r="61" spans="2:10" x14ac:dyDescent="0.2">
      <c r="B61" s="463"/>
      <c r="C61" s="66" t="s">
        <v>11</v>
      </c>
      <c r="D61" s="198"/>
      <c r="E61" s="199">
        <f t="shared" ref="E61:J61" si="20">SUBTOTAL(9,E59:E60)</f>
        <v>668.55615678144204</v>
      </c>
      <c r="F61" s="120">
        <f t="shared" si="20"/>
        <v>682.08665487542191</v>
      </c>
      <c r="G61" s="120">
        <f t="shared" si="20"/>
        <v>535.18166546019916</v>
      </c>
      <c r="H61" s="120">
        <f t="shared" si="20"/>
        <v>733.24620632092649</v>
      </c>
      <c r="I61" s="200">
        <f t="shared" si="20"/>
        <v>583.7733634237735</v>
      </c>
      <c r="J61" s="121">
        <f t="shared" si="20"/>
        <v>3202.8440468617632</v>
      </c>
    </row>
    <row r="62" spans="2:10" x14ac:dyDescent="0.2">
      <c r="B62" s="463"/>
      <c r="C62" s="490" t="s">
        <v>107</v>
      </c>
      <c r="D62" s="201" t="s">
        <v>0</v>
      </c>
      <c r="E62" s="123">
        <v>93.214540236622099</v>
      </c>
      <c r="F62" s="124">
        <v>87.141614884138107</v>
      </c>
      <c r="G62" s="124">
        <v>27.871660209655762</v>
      </c>
      <c r="H62" s="124">
        <v>8.8458699121139936</v>
      </c>
      <c r="I62" s="202">
        <v>245.53582049611211</v>
      </c>
      <c r="J62" s="117">
        <f t="shared" ref="J62:J67" si="21">SUM(E62:I62)</f>
        <v>462.60950573864204</v>
      </c>
    </row>
    <row r="63" spans="2:10" x14ac:dyDescent="0.2">
      <c r="B63" s="463"/>
      <c r="C63" s="491"/>
      <c r="D63" s="201" t="s">
        <v>1</v>
      </c>
      <c r="E63" s="123">
        <v>157.71343185424806</v>
      </c>
      <c r="F63" s="124">
        <v>142.7081083080806</v>
      </c>
      <c r="G63" s="124">
        <v>9.4326392884254453</v>
      </c>
      <c r="H63" s="124">
        <v>240.97600145423414</v>
      </c>
      <c r="I63" s="202">
        <v>341.6832800292969</v>
      </c>
      <c r="J63" s="117">
        <f t="shared" si="21"/>
        <v>892.51346093428515</v>
      </c>
    </row>
    <row r="64" spans="2:10" x14ac:dyDescent="0.2">
      <c r="B64" s="463"/>
      <c r="C64" s="491"/>
      <c r="D64" s="201" t="s">
        <v>2</v>
      </c>
      <c r="E64" s="123">
        <v>18.248030063629152</v>
      </c>
      <c r="F64" s="124">
        <v>0.42700999069213869</v>
      </c>
      <c r="G64" s="124">
        <v>0</v>
      </c>
      <c r="H64" s="124">
        <v>13.802215979307425</v>
      </c>
      <c r="I64" s="202">
        <v>16.397350364923476</v>
      </c>
      <c r="J64" s="117">
        <f t="shared" si="21"/>
        <v>48.874606398552189</v>
      </c>
    </row>
    <row r="65" spans="2:10" x14ac:dyDescent="0.2">
      <c r="B65" s="463"/>
      <c r="C65" s="491"/>
      <c r="D65" s="201" t="s">
        <v>3</v>
      </c>
      <c r="E65" s="123">
        <v>50.530782000671955</v>
      </c>
      <c r="F65" s="124">
        <v>0.20569999694824218</v>
      </c>
      <c r="G65" s="124">
        <v>0</v>
      </c>
      <c r="H65" s="124">
        <v>5.9032682522651155E-2</v>
      </c>
      <c r="I65" s="202">
        <v>0</v>
      </c>
      <c r="J65" s="117">
        <f t="shared" si="21"/>
        <v>50.795514680142844</v>
      </c>
    </row>
    <row r="66" spans="2:10" x14ac:dyDescent="0.2">
      <c r="B66" s="463"/>
      <c r="C66" s="491"/>
      <c r="D66" s="201" t="s">
        <v>4</v>
      </c>
      <c r="E66" s="123">
        <v>15.732430046081543</v>
      </c>
      <c r="F66" s="124">
        <v>57.717259979248048</v>
      </c>
      <c r="G66" s="124">
        <v>60.258124750852588</v>
      </c>
      <c r="H66" s="124">
        <v>88.391899982213971</v>
      </c>
      <c r="I66" s="202">
        <v>0</v>
      </c>
      <c r="J66" s="117">
        <f t="shared" si="21"/>
        <v>222.09971475839615</v>
      </c>
    </row>
    <row r="67" spans="2:10" x14ac:dyDescent="0.2">
      <c r="B67" s="463"/>
      <c r="C67" s="492"/>
      <c r="D67" s="201" t="s">
        <v>5</v>
      </c>
      <c r="E67" s="123">
        <v>0</v>
      </c>
      <c r="F67" s="124">
        <v>37.489849984645844</v>
      </c>
      <c r="G67" s="124">
        <v>104.66265637207032</v>
      </c>
      <c r="H67" s="124">
        <v>0</v>
      </c>
      <c r="I67" s="202">
        <v>0</v>
      </c>
      <c r="J67" s="117">
        <f t="shared" si="21"/>
        <v>142.15250635671617</v>
      </c>
    </row>
    <row r="68" spans="2:10" x14ac:dyDescent="0.2">
      <c r="B68" s="463"/>
      <c r="C68" s="66" t="s">
        <v>6</v>
      </c>
      <c r="D68" s="198"/>
      <c r="E68" s="199">
        <f t="shared" ref="E68:J68" si="22">SUBTOTAL(9,E62:E67)</f>
        <v>335.43921420125281</v>
      </c>
      <c r="F68" s="120">
        <f t="shared" si="22"/>
        <v>325.68954314375299</v>
      </c>
      <c r="G68" s="120">
        <f t="shared" si="22"/>
        <v>202.22508062100411</v>
      </c>
      <c r="H68" s="120">
        <f t="shared" si="22"/>
        <v>352.07502001039211</v>
      </c>
      <c r="I68" s="200">
        <f t="shared" si="22"/>
        <v>603.61645089033243</v>
      </c>
      <c r="J68" s="121">
        <f t="shared" si="22"/>
        <v>1819.0453088667348</v>
      </c>
    </row>
    <row r="69" spans="2:10" x14ac:dyDescent="0.2">
      <c r="B69" s="463"/>
      <c r="C69" s="490" t="s">
        <v>108</v>
      </c>
      <c r="D69" s="201" t="s">
        <v>18</v>
      </c>
      <c r="E69" s="123">
        <v>8.3684240074157721</v>
      </c>
      <c r="F69" s="124">
        <v>8.2565043220520025</v>
      </c>
      <c r="G69" s="124">
        <v>13.058650007367135</v>
      </c>
      <c r="H69" s="124">
        <v>10.593769992828369</v>
      </c>
      <c r="I69" s="202">
        <v>24.496196620836855</v>
      </c>
      <c r="J69" s="117">
        <f>SUM(E69:I69)</f>
        <v>64.773544950500138</v>
      </c>
    </row>
    <row r="70" spans="2:10" x14ac:dyDescent="0.2">
      <c r="B70" s="463"/>
      <c r="C70" s="492"/>
      <c r="D70" s="201" t="s">
        <v>109</v>
      </c>
      <c r="E70" s="123">
        <v>439.46127064573767</v>
      </c>
      <c r="F70" s="124">
        <v>49.426977929949757</v>
      </c>
      <c r="G70" s="124">
        <v>95.334825897455218</v>
      </c>
      <c r="H70" s="124">
        <v>60.910707138715779</v>
      </c>
      <c r="I70" s="202">
        <v>362.06251403890548</v>
      </c>
      <c r="J70" s="117">
        <f>SUM(E70:I70)</f>
        <v>1007.1962956507639</v>
      </c>
    </row>
    <row r="71" spans="2:10" x14ac:dyDescent="0.2">
      <c r="B71" s="464"/>
      <c r="C71" s="67" t="s">
        <v>110</v>
      </c>
      <c r="D71" s="205"/>
      <c r="E71" s="125">
        <f t="shared" ref="E71:J71" si="23">SUBTOTAL(9,E69:E70)</f>
        <v>447.82969465315347</v>
      </c>
      <c r="F71" s="125">
        <f t="shared" si="23"/>
        <v>57.68348225200176</v>
      </c>
      <c r="G71" s="125">
        <f t="shared" si="23"/>
        <v>108.39347590482235</v>
      </c>
      <c r="H71" s="125">
        <f t="shared" si="23"/>
        <v>71.504477131544149</v>
      </c>
      <c r="I71" s="125">
        <f t="shared" si="23"/>
        <v>386.55871065974236</v>
      </c>
      <c r="J71" s="207">
        <f t="shared" si="23"/>
        <v>1071.969840601264</v>
      </c>
    </row>
    <row r="72" spans="2:10" x14ac:dyDescent="0.2">
      <c r="B72" s="33" t="s">
        <v>117</v>
      </c>
      <c r="C72" s="47"/>
      <c r="D72" s="47"/>
      <c r="E72" s="104">
        <f t="shared" ref="E72:J72" si="24">SUBTOTAL(9,E59:E70)</f>
        <v>1451.8250656358482</v>
      </c>
      <c r="F72" s="104">
        <f t="shared" si="24"/>
        <v>1065.4596802711767</v>
      </c>
      <c r="G72" s="104">
        <f t="shared" si="24"/>
        <v>845.80022198602546</v>
      </c>
      <c r="H72" s="104">
        <f t="shared" si="24"/>
        <v>1156.8257034628627</v>
      </c>
      <c r="I72" s="104">
        <f t="shared" si="24"/>
        <v>1573.9485249738484</v>
      </c>
      <c r="J72" s="127">
        <f t="shared" si="24"/>
        <v>6093.8591963297613</v>
      </c>
    </row>
    <row r="73" spans="2:10" x14ac:dyDescent="0.2">
      <c r="B73" s="462">
        <v>2007</v>
      </c>
      <c r="C73" s="488" t="s">
        <v>105</v>
      </c>
      <c r="D73" s="208" t="s">
        <v>105</v>
      </c>
      <c r="E73" s="130">
        <v>635.11523490228876</v>
      </c>
      <c r="F73" s="130">
        <v>965.36424159261298</v>
      </c>
      <c r="G73" s="130">
        <v>461.61940106276933</v>
      </c>
      <c r="H73" s="130">
        <v>564.63341645007336</v>
      </c>
      <c r="I73" s="130">
        <v>550.75301051901272</v>
      </c>
      <c r="J73" s="131">
        <f t="shared" ref="J73:J84" si="25">SUM(E73:I73)</f>
        <v>3177.4853045267573</v>
      </c>
    </row>
    <row r="74" spans="2:10" x14ac:dyDescent="0.2">
      <c r="B74" s="463"/>
      <c r="C74" s="489"/>
      <c r="D74" s="209" t="s">
        <v>106</v>
      </c>
      <c r="E74" s="130">
        <v>42.133489921569826</v>
      </c>
      <c r="F74" s="130">
        <v>40.456552835106848</v>
      </c>
      <c r="G74" s="130">
        <v>78.126182544767858</v>
      </c>
      <c r="H74" s="130">
        <v>75.379698590278394</v>
      </c>
      <c r="I74" s="130">
        <v>114.16592408340797</v>
      </c>
      <c r="J74" s="131">
        <f t="shared" si="25"/>
        <v>350.26184797513088</v>
      </c>
    </row>
    <row r="75" spans="2:10" x14ac:dyDescent="0.2">
      <c r="B75" s="463"/>
      <c r="C75" s="66" t="s">
        <v>11</v>
      </c>
      <c r="D75" s="210"/>
      <c r="E75" s="199">
        <f t="shared" ref="E75:J75" si="26">SUM(E73:E74)</f>
        <v>677.24872482385854</v>
      </c>
      <c r="F75" s="120">
        <f t="shared" si="26"/>
        <v>1005.8207944277199</v>
      </c>
      <c r="G75" s="120">
        <f t="shared" si="26"/>
        <v>539.74558360753713</v>
      </c>
      <c r="H75" s="120">
        <f t="shared" si="26"/>
        <v>640.01311504035175</v>
      </c>
      <c r="I75" s="120">
        <f t="shared" si="26"/>
        <v>664.91893460242068</v>
      </c>
      <c r="J75" s="121">
        <f t="shared" si="26"/>
        <v>3527.7471525018882</v>
      </c>
    </row>
    <row r="76" spans="2:10" x14ac:dyDescent="0.2">
      <c r="B76" s="463"/>
      <c r="C76" s="490" t="s">
        <v>107</v>
      </c>
      <c r="D76" s="201" t="s">
        <v>0</v>
      </c>
      <c r="E76" s="123">
        <v>129.64984987053276</v>
      </c>
      <c r="F76" s="124">
        <v>79.992000000000004</v>
      </c>
      <c r="G76" s="124">
        <v>58.108254010677335</v>
      </c>
      <c r="H76" s="124">
        <v>9.6373500025868424</v>
      </c>
      <c r="I76" s="124">
        <v>352.13567996883393</v>
      </c>
      <c r="J76" s="117">
        <f t="shared" si="25"/>
        <v>629.52313385263096</v>
      </c>
    </row>
    <row r="77" spans="2:10" x14ac:dyDescent="0.2">
      <c r="B77" s="463"/>
      <c r="C77" s="491"/>
      <c r="D77" s="201" t="s">
        <v>1</v>
      </c>
      <c r="E77" s="123">
        <v>137.78937832455338</v>
      </c>
      <c r="F77" s="124">
        <v>141.82777685303242</v>
      </c>
      <c r="G77" s="124">
        <v>14.122940002441407</v>
      </c>
      <c r="H77" s="124">
        <v>171.15111161246895</v>
      </c>
      <c r="I77" s="124">
        <v>345.52288006591795</v>
      </c>
      <c r="J77" s="117">
        <f t="shared" si="25"/>
        <v>810.41408685841407</v>
      </c>
    </row>
    <row r="78" spans="2:10" x14ac:dyDescent="0.2">
      <c r="B78" s="463"/>
      <c r="C78" s="491"/>
      <c r="D78" s="201" t="s">
        <v>2</v>
      </c>
      <c r="E78" s="123">
        <v>45.897848565113186</v>
      </c>
      <c r="F78" s="124">
        <v>0.45705999455600976</v>
      </c>
      <c r="G78" s="124">
        <v>0</v>
      </c>
      <c r="H78" s="124">
        <v>23.958538387323497</v>
      </c>
      <c r="I78" s="124">
        <v>3.4301001803949474E-2</v>
      </c>
      <c r="J78" s="117">
        <f t="shared" si="25"/>
        <v>70.347747948796652</v>
      </c>
    </row>
    <row r="79" spans="2:10" x14ac:dyDescent="0.2">
      <c r="B79" s="463"/>
      <c r="C79" s="491"/>
      <c r="D79" s="201" t="s">
        <v>3</v>
      </c>
      <c r="E79" s="123">
        <v>36.527983007191565</v>
      </c>
      <c r="F79" s="124">
        <v>0.15160000002384186</v>
      </c>
      <c r="G79" s="124">
        <v>0</v>
      </c>
      <c r="H79" s="124">
        <v>6.1873252085293644E-2</v>
      </c>
      <c r="I79" s="124">
        <v>0</v>
      </c>
      <c r="J79" s="117">
        <f t="shared" si="25"/>
        <v>36.741456259300698</v>
      </c>
    </row>
    <row r="80" spans="2:10" x14ac:dyDescent="0.2">
      <c r="B80" s="463"/>
      <c r="C80" s="491"/>
      <c r="D80" s="201" t="s">
        <v>4</v>
      </c>
      <c r="E80" s="123">
        <v>85.424549804687501</v>
      </c>
      <c r="F80" s="124">
        <v>45.313207763671876</v>
      </c>
      <c r="G80" s="124">
        <v>78.138006896018979</v>
      </c>
      <c r="H80" s="124">
        <v>100.71399452209472</v>
      </c>
      <c r="I80" s="124">
        <v>15.178419921874999</v>
      </c>
      <c r="J80" s="117">
        <f t="shared" si="25"/>
        <v>324.76817890834803</v>
      </c>
    </row>
    <row r="81" spans="2:10" x14ac:dyDescent="0.2">
      <c r="B81" s="463"/>
      <c r="C81" s="492"/>
      <c r="D81" s="201" t="s">
        <v>5</v>
      </c>
      <c r="E81" s="123">
        <v>4.160460052490234</v>
      </c>
      <c r="F81" s="124">
        <v>46.475150116324421</v>
      </c>
      <c r="G81" s="124">
        <v>82.508085937499999</v>
      </c>
      <c r="H81" s="124">
        <v>0</v>
      </c>
      <c r="I81" s="124">
        <v>0</v>
      </c>
      <c r="J81" s="117">
        <f t="shared" si="25"/>
        <v>133.14369610631465</v>
      </c>
    </row>
    <row r="82" spans="2:10" x14ac:dyDescent="0.2">
      <c r="B82" s="463"/>
      <c r="C82" s="66" t="s">
        <v>6</v>
      </c>
      <c r="D82" s="210"/>
      <c r="E82" s="120">
        <f t="shared" ref="E82:J82" si="27">SUM(E76:E81)</f>
        <v>439.45006962456858</v>
      </c>
      <c r="F82" s="120">
        <f t="shared" si="27"/>
        <v>314.21679472760854</v>
      </c>
      <c r="G82" s="120">
        <f t="shared" si="27"/>
        <v>232.8772868466377</v>
      </c>
      <c r="H82" s="120">
        <f t="shared" si="27"/>
        <v>305.52286777655928</v>
      </c>
      <c r="I82" s="120">
        <f t="shared" si="27"/>
        <v>712.87128095843082</v>
      </c>
      <c r="J82" s="121">
        <f t="shared" si="27"/>
        <v>2004.9382999338052</v>
      </c>
    </row>
    <row r="83" spans="2:10" x14ac:dyDescent="0.2">
      <c r="B83" s="463"/>
      <c r="C83" s="490" t="s">
        <v>108</v>
      </c>
      <c r="D83" s="201" t="s">
        <v>18</v>
      </c>
      <c r="E83" s="123">
        <v>11.023547988891602</v>
      </c>
      <c r="F83" s="124">
        <v>5.503683001279831</v>
      </c>
      <c r="G83" s="124">
        <v>16.063037594534457</v>
      </c>
      <c r="H83" s="124">
        <v>9.2844350317418574</v>
      </c>
      <c r="I83" s="124">
        <v>17.566144112721087</v>
      </c>
      <c r="J83" s="117">
        <f t="shared" si="25"/>
        <v>59.440847729168837</v>
      </c>
    </row>
    <row r="84" spans="2:10" x14ac:dyDescent="0.2">
      <c r="B84" s="463"/>
      <c r="C84" s="492"/>
      <c r="D84" s="201" t="s">
        <v>109</v>
      </c>
      <c r="E84" s="123">
        <v>410.70144157287388</v>
      </c>
      <c r="F84" s="124">
        <v>38.348722038015723</v>
      </c>
      <c r="G84" s="124">
        <v>83.716083842153665</v>
      </c>
      <c r="H84" s="124">
        <v>63.200758948859715</v>
      </c>
      <c r="I84" s="124">
        <v>354.56101787090302</v>
      </c>
      <c r="J84" s="117">
        <f t="shared" si="25"/>
        <v>950.52802427280608</v>
      </c>
    </row>
    <row r="85" spans="2:10" x14ac:dyDescent="0.2">
      <c r="B85" s="464"/>
      <c r="C85" s="67" t="s">
        <v>110</v>
      </c>
      <c r="D85" s="210"/>
      <c r="E85" s="120">
        <f t="shared" ref="E85:J85" si="28">SUM(E83:E84)</f>
        <v>421.72498956176548</v>
      </c>
      <c r="F85" s="120">
        <f t="shared" si="28"/>
        <v>43.852405039295554</v>
      </c>
      <c r="G85" s="120">
        <f t="shared" si="28"/>
        <v>99.779121436688115</v>
      </c>
      <c r="H85" s="120">
        <f t="shared" si="28"/>
        <v>72.485193980601565</v>
      </c>
      <c r="I85" s="120">
        <f t="shared" si="28"/>
        <v>372.12716198362409</v>
      </c>
      <c r="J85" s="121">
        <f t="shared" si="28"/>
        <v>1009.9688720019749</v>
      </c>
    </row>
    <row r="86" spans="2:10" x14ac:dyDescent="0.2">
      <c r="B86" s="33" t="s">
        <v>118</v>
      </c>
      <c r="C86" s="47"/>
      <c r="D86" s="47"/>
      <c r="E86" s="105">
        <f t="shared" ref="E86:J86" si="29">+E85+E82+E75</f>
        <v>1538.4237840101925</v>
      </c>
      <c r="F86" s="105">
        <f t="shared" si="29"/>
        <v>1363.889994194624</v>
      </c>
      <c r="G86" s="105">
        <f t="shared" si="29"/>
        <v>872.40199189086297</v>
      </c>
      <c r="H86" s="105">
        <f t="shared" si="29"/>
        <v>1018.0211767975126</v>
      </c>
      <c r="I86" s="105">
        <f t="shared" si="29"/>
        <v>1749.9173775444756</v>
      </c>
      <c r="J86" s="127">
        <f t="shared" si="29"/>
        <v>6542.654324437668</v>
      </c>
    </row>
    <row r="87" spans="2:10" x14ac:dyDescent="0.2">
      <c r="B87" s="462">
        <v>2008</v>
      </c>
      <c r="C87" s="490" t="s">
        <v>105</v>
      </c>
      <c r="D87" s="211" t="s">
        <v>105</v>
      </c>
      <c r="E87" s="124">
        <v>637.09821923426728</v>
      </c>
      <c r="F87" s="124">
        <v>552.74309070417701</v>
      </c>
      <c r="G87" s="124">
        <v>432.58902989310775</v>
      </c>
      <c r="H87" s="124">
        <v>590.20939647424598</v>
      </c>
      <c r="I87" s="124">
        <v>425.1841192458977</v>
      </c>
      <c r="J87" s="117">
        <f>SUM(E87:I87)</f>
        <v>2637.8238555516955</v>
      </c>
    </row>
    <row r="88" spans="2:10" x14ac:dyDescent="0.2">
      <c r="B88" s="463"/>
      <c r="C88" s="492"/>
      <c r="D88" s="86" t="s">
        <v>106</v>
      </c>
      <c r="E88" s="124">
        <v>56.525849716186521</v>
      </c>
      <c r="F88" s="124">
        <v>43.353496860809635</v>
      </c>
      <c r="G88" s="124">
        <v>54.215670942516994</v>
      </c>
      <c r="H88" s="124">
        <v>71.996460096497074</v>
      </c>
      <c r="I88" s="124">
        <v>103.24569005507233</v>
      </c>
      <c r="J88" s="117">
        <f>SUM(E88:I88)</f>
        <v>329.33716767108251</v>
      </c>
    </row>
    <row r="89" spans="2:10" x14ac:dyDescent="0.2">
      <c r="B89" s="463"/>
      <c r="C89" s="66" t="s">
        <v>11</v>
      </c>
      <c r="D89" s="210"/>
      <c r="E89" s="199">
        <f t="shared" ref="E89:J89" si="30">SUM(E87:E88)</f>
        <v>693.62406895045376</v>
      </c>
      <c r="F89" s="120">
        <f t="shared" si="30"/>
        <v>596.09658756498663</v>
      </c>
      <c r="G89" s="120">
        <f t="shared" si="30"/>
        <v>486.80470083562477</v>
      </c>
      <c r="H89" s="120">
        <f t="shared" si="30"/>
        <v>662.20585657074309</v>
      </c>
      <c r="I89" s="120">
        <f t="shared" si="30"/>
        <v>528.42980930097008</v>
      </c>
      <c r="J89" s="121">
        <f t="shared" si="30"/>
        <v>2967.1610232227781</v>
      </c>
    </row>
    <row r="90" spans="2:10" x14ac:dyDescent="0.2">
      <c r="B90" s="463"/>
      <c r="C90" s="490" t="s">
        <v>107</v>
      </c>
      <c r="D90" s="201" t="s">
        <v>0</v>
      </c>
      <c r="E90" s="123">
        <v>158.37013009402153</v>
      </c>
      <c r="F90" s="124">
        <v>66.302999999999997</v>
      </c>
      <c r="G90" s="124">
        <v>71.061900105953214</v>
      </c>
      <c r="H90" s="124">
        <v>10.078211815625428</v>
      </c>
      <c r="I90" s="124">
        <v>301.2178031241894</v>
      </c>
      <c r="J90" s="117">
        <f t="shared" ref="J90:J95" si="31">SUM(E90:I90)</f>
        <v>607.03104513978951</v>
      </c>
    </row>
    <row r="91" spans="2:10" x14ac:dyDescent="0.2">
      <c r="B91" s="463"/>
      <c r="C91" s="491"/>
      <c r="D91" s="201" t="s">
        <v>1</v>
      </c>
      <c r="E91" s="123">
        <v>124.15135520231725</v>
      </c>
      <c r="F91" s="124">
        <v>138.64426810495556</v>
      </c>
      <c r="G91" s="124">
        <v>21.025760009765627</v>
      </c>
      <c r="H91" s="124">
        <v>139.83280851080167</v>
      </c>
      <c r="I91" s="124">
        <v>327.69791944382712</v>
      </c>
      <c r="J91" s="117">
        <f t="shared" si="31"/>
        <v>751.35211127166724</v>
      </c>
    </row>
    <row r="92" spans="2:10" x14ac:dyDescent="0.2">
      <c r="B92" s="463"/>
      <c r="C92" s="491"/>
      <c r="D92" s="201" t="s">
        <v>2</v>
      </c>
      <c r="E92" s="123">
        <v>103.61570334299554</v>
      </c>
      <c r="F92" s="124">
        <v>0.68713498781621452</v>
      </c>
      <c r="G92" s="124">
        <v>15.425648518625646</v>
      </c>
      <c r="H92" s="124">
        <v>38.166537578393644</v>
      </c>
      <c r="I92" s="124">
        <v>0</v>
      </c>
      <c r="J92" s="117">
        <f t="shared" si="31"/>
        <v>157.89502442783106</v>
      </c>
    </row>
    <row r="93" spans="2:10" x14ac:dyDescent="0.2">
      <c r="B93" s="463"/>
      <c r="C93" s="491"/>
      <c r="D93" s="201" t="s">
        <v>3</v>
      </c>
      <c r="E93" s="123">
        <v>39.78909977583308</v>
      </c>
      <c r="F93" s="124">
        <v>7.6700000025331977E-2</v>
      </c>
      <c r="G93" s="124">
        <v>0</v>
      </c>
      <c r="H93" s="124">
        <v>0.14402078696014359</v>
      </c>
      <c r="I93" s="124">
        <v>0</v>
      </c>
      <c r="J93" s="117">
        <f t="shared" si="31"/>
        <v>40.009820562818554</v>
      </c>
    </row>
    <row r="94" spans="2:10" x14ac:dyDescent="0.2">
      <c r="B94" s="463"/>
      <c r="C94" s="491"/>
      <c r="D94" s="201" t="s">
        <v>4</v>
      </c>
      <c r="E94" s="123">
        <v>89.614470603942863</v>
      </c>
      <c r="F94" s="124">
        <v>45.451170043945311</v>
      </c>
      <c r="G94" s="124">
        <v>81.596679854393003</v>
      </c>
      <c r="H94" s="124">
        <v>91.390921907424939</v>
      </c>
      <c r="I94" s="124">
        <v>31.963140747070312</v>
      </c>
      <c r="J94" s="117">
        <f t="shared" si="31"/>
        <v>340.0163831567765</v>
      </c>
    </row>
    <row r="95" spans="2:10" x14ac:dyDescent="0.2">
      <c r="B95" s="463"/>
      <c r="C95" s="492"/>
      <c r="D95" s="201" t="s">
        <v>5</v>
      </c>
      <c r="E95" s="123">
        <v>4.5302199707031248</v>
      </c>
      <c r="F95" s="124">
        <v>88.295888635158533</v>
      </c>
      <c r="G95" s="124">
        <v>63.803623046875003</v>
      </c>
      <c r="H95" s="124">
        <v>0</v>
      </c>
      <c r="I95" s="124">
        <v>0</v>
      </c>
      <c r="J95" s="117">
        <f t="shared" si="31"/>
        <v>156.62973165273667</v>
      </c>
    </row>
    <row r="96" spans="2:10" x14ac:dyDescent="0.2">
      <c r="B96" s="463"/>
      <c r="C96" s="66" t="s">
        <v>6</v>
      </c>
      <c r="D96" s="210"/>
      <c r="E96" s="120">
        <f t="shared" ref="E96:J96" si="32">SUM(E90:E95)</f>
        <v>520.0709789898134</v>
      </c>
      <c r="F96" s="120">
        <f t="shared" si="32"/>
        <v>339.45816177190096</v>
      </c>
      <c r="G96" s="120">
        <f t="shared" si="32"/>
        <v>252.91361153561249</v>
      </c>
      <c r="H96" s="120">
        <f t="shared" si="32"/>
        <v>279.61250059920582</v>
      </c>
      <c r="I96" s="120">
        <f t="shared" si="32"/>
        <v>660.87886331508673</v>
      </c>
      <c r="J96" s="121">
        <f t="shared" si="32"/>
        <v>2052.9341162116193</v>
      </c>
    </row>
    <row r="97" spans="2:10" x14ac:dyDescent="0.2">
      <c r="B97" s="463"/>
      <c r="C97" s="490" t="s">
        <v>108</v>
      </c>
      <c r="D97" s="201" t="s">
        <v>18</v>
      </c>
      <c r="E97" s="123">
        <v>31.8231849899291</v>
      </c>
      <c r="F97" s="124">
        <v>6.0799288481473903</v>
      </c>
      <c r="G97" s="124">
        <v>17.679077622011299</v>
      </c>
      <c r="H97" s="124">
        <v>13.5004689178466</v>
      </c>
      <c r="I97" s="124">
        <v>20.7573259686529</v>
      </c>
      <c r="J97" s="117">
        <f>SUM(E97:I97)</f>
        <v>89.839986346587295</v>
      </c>
    </row>
    <row r="98" spans="2:10" x14ac:dyDescent="0.2">
      <c r="B98" s="463"/>
      <c r="C98" s="492"/>
      <c r="D98" s="201" t="s">
        <v>109</v>
      </c>
      <c r="E98" s="123">
        <v>335.81261519525401</v>
      </c>
      <c r="F98" s="124">
        <v>40.132304950527796</v>
      </c>
      <c r="G98" s="124">
        <v>122.95081444781999</v>
      </c>
      <c r="H98" s="124">
        <v>37.498021260125498</v>
      </c>
      <c r="I98" s="124">
        <v>385.172927168071</v>
      </c>
      <c r="J98" s="117">
        <f>SUM(E98:I98)</f>
        <v>921.56668302179833</v>
      </c>
    </row>
    <row r="99" spans="2:10" x14ac:dyDescent="0.2">
      <c r="B99" s="464"/>
      <c r="C99" s="67" t="s">
        <v>110</v>
      </c>
      <c r="D99" s="210"/>
      <c r="E99" s="120">
        <f t="shared" ref="E99:J99" si="33">SUM(E97:E98)</f>
        <v>367.63580018518309</v>
      </c>
      <c r="F99" s="120">
        <f t="shared" si="33"/>
        <v>46.212233798675186</v>
      </c>
      <c r="G99" s="120">
        <f t="shared" si="33"/>
        <v>140.6298920698313</v>
      </c>
      <c r="H99" s="120">
        <f t="shared" si="33"/>
        <v>50.998490177972101</v>
      </c>
      <c r="I99" s="120">
        <f t="shared" si="33"/>
        <v>405.93025313672388</v>
      </c>
      <c r="J99" s="121">
        <f t="shared" si="33"/>
        <v>1011.4066693683856</v>
      </c>
    </row>
    <row r="100" spans="2:10" x14ac:dyDescent="0.2">
      <c r="B100" s="33" t="s">
        <v>119</v>
      </c>
      <c r="C100" s="47"/>
      <c r="D100" s="47"/>
      <c r="E100" s="105">
        <f t="shared" ref="E100:J100" si="34">+E99+E96+E89</f>
        <v>1581.3308481254503</v>
      </c>
      <c r="F100" s="105">
        <f t="shared" si="34"/>
        <v>981.76698313556278</v>
      </c>
      <c r="G100" s="105">
        <f t="shared" si="34"/>
        <v>880.34820444106856</v>
      </c>
      <c r="H100" s="105">
        <f t="shared" si="34"/>
        <v>992.816847347921</v>
      </c>
      <c r="I100" s="105">
        <f t="shared" si="34"/>
        <v>1595.2389257527807</v>
      </c>
      <c r="J100" s="127">
        <f t="shared" si="34"/>
        <v>6031.5018088027828</v>
      </c>
    </row>
    <row r="101" spans="2:10" x14ac:dyDescent="0.2">
      <c r="B101" s="462">
        <v>2009</v>
      </c>
      <c r="C101" s="490" t="s">
        <v>105</v>
      </c>
      <c r="D101" s="211" t="s">
        <v>105</v>
      </c>
      <c r="E101" s="124">
        <v>555.43354999999997</v>
      </c>
      <c r="F101" s="124">
        <v>442.20898</v>
      </c>
      <c r="G101" s="124">
        <v>469.54108999999988</v>
      </c>
      <c r="H101" s="124">
        <v>579.45780999999999</v>
      </c>
      <c r="I101" s="124">
        <v>342.19558000000006</v>
      </c>
      <c r="J101" s="117">
        <f>SUM(E101:I101)</f>
        <v>2388.8370099999997</v>
      </c>
    </row>
    <row r="102" spans="2:10" x14ac:dyDescent="0.2">
      <c r="B102" s="463"/>
      <c r="C102" s="492"/>
      <c r="D102" s="86" t="s">
        <v>106</v>
      </c>
      <c r="E102" s="124">
        <v>77.437579999999969</v>
      </c>
      <c r="F102" s="124">
        <v>41.816929999999971</v>
      </c>
      <c r="G102" s="124">
        <v>49.76052</v>
      </c>
      <c r="H102" s="124">
        <v>71.591399999999993</v>
      </c>
      <c r="I102" s="124">
        <v>97.681230000000028</v>
      </c>
      <c r="J102" s="117">
        <f>SUM(E102:I102)</f>
        <v>338.28765999999996</v>
      </c>
    </row>
    <row r="103" spans="2:10" x14ac:dyDescent="0.2">
      <c r="B103" s="463"/>
      <c r="C103" s="66" t="s">
        <v>11</v>
      </c>
      <c r="D103" s="210"/>
      <c r="E103" s="199">
        <f t="shared" ref="E103:J103" si="35">SUM(E101:E102)</f>
        <v>632.87112999999999</v>
      </c>
      <c r="F103" s="120">
        <f t="shared" si="35"/>
        <v>484.02590999999995</v>
      </c>
      <c r="G103" s="120">
        <f t="shared" si="35"/>
        <v>519.30160999999987</v>
      </c>
      <c r="H103" s="120">
        <f t="shared" si="35"/>
        <v>651.04921000000002</v>
      </c>
      <c r="I103" s="120">
        <f t="shared" si="35"/>
        <v>439.87681000000009</v>
      </c>
      <c r="J103" s="121">
        <f t="shared" si="35"/>
        <v>2727.1246699999997</v>
      </c>
    </row>
    <row r="104" spans="2:10" x14ac:dyDescent="0.2">
      <c r="B104" s="463"/>
      <c r="C104" s="490" t="s">
        <v>107</v>
      </c>
      <c r="D104" s="201" t="s">
        <v>0</v>
      </c>
      <c r="E104" s="123">
        <v>200.01380999999998</v>
      </c>
      <c r="F104" s="124">
        <v>78.716049999999996</v>
      </c>
      <c r="G104" s="124">
        <v>66.723530000000011</v>
      </c>
      <c r="H104" s="124">
        <v>25.062480000000001</v>
      </c>
      <c r="I104" s="124">
        <v>270.41313999999994</v>
      </c>
      <c r="J104" s="117">
        <f t="shared" ref="J104:J109" si="36">SUM(E104:I104)</f>
        <v>640.92900999999995</v>
      </c>
    </row>
    <row r="105" spans="2:10" x14ac:dyDescent="0.2">
      <c r="B105" s="463"/>
      <c r="C105" s="491"/>
      <c r="D105" s="201" t="s">
        <v>1</v>
      </c>
      <c r="E105" s="123">
        <v>108.56522</v>
      </c>
      <c r="F105" s="124">
        <v>122.32961999999998</v>
      </c>
      <c r="G105" s="124">
        <v>81.260890000000003</v>
      </c>
      <c r="H105" s="124">
        <v>176.74725999999995</v>
      </c>
      <c r="I105" s="124">
        <v>413.82624000000004</v>
      </c>
      <c r="J105" s="117">
        <f t="shared" si="36"/>
        <v>902.72922999999992</v>
      </c>
    </row>
    <row r="106" spans="2:10" x14ac:dyDescent="0.2">
      <c r="B106" s="463"/>
      <c r="C106" s="491"/>
      <c r="D106" s="201" t="s">
        <v>2</v>
      </c>
      <c r="E106" s="123">
        <v>87.981199999999959</v>
      </c>
      <c r="F106" s="124">
        <v>0</v>
      </c>
      <c r="G106" s="124">
        <v>208.39605999999998</v>
      </c>
      <c r="H106" s="124">
        <v>100.67054999999995</v>
      </c>
      <c r="I106" s="124">
        <v>12.01356</v>
      </c>
      <c r="J106" s="117">
        <f t="shared" si="36"/>
        <v>409.06136999999984</v>
      </c>
    </row>
    <row r="107" spans="2:10" x14ac:dyDescent="0.2">
      <c r="B107" s="463"/>
      <c r="C107" s="491"/>
      <c r="D107" s="201" t="s">
        <v>3</v>
      </c>
      <c r="E107" s="123">
        <v>33.665049999999987</v>
      </c>
      <c r="F107" s="124">
        <v>0.11803999999999999</v>
      </c>
      <c r="G107" s="124">
        <v>0</v>
      </c>
      <c r="H107" s="124">
        <v>7.5679999999999997E-2</v>
      </c>
      <c r="I107" s="124">
        <v>0</v>
      </c>
      <c r="J107" s="117">
        <f t="shared" si="36"/>
        <v>33.858769999999986</v>
      </c>
    </row>
    <row r="108" spans="2:10" x14ac:dyDescent="0.2">
      <c r="B108" s="463"/>
      <c r="C108" s="491"/>
      <c r="D108" s="201" t="s">
        <v>4</v>
      </c>
      <c r="E108" s="123">
        <v>119.227</v>
      </c>
      <c r="F108" s="124">
        <v>48.337949999999999</v>
      </c>
      <c r="G108" s="124">
        <v>126.07093</v>
      </c>
      <c r="H108" s="124">
        <v>99.709609999999998</v>
      </c>
      <c r="I108" s="124">
        <v>44.672110000000004</v>
      </c>
      <c r="J108" s="117">
        <f t="shared" si="36"/>
        <v>438.01760000000002</v>
      </c>
    </row>
    <row r="109" spans="2:10" x14ac:dyDescent="0.2">
      <c r="B109" s="463"/>
      <c r="C109" s="492"/>
      <c r="D109" s="201" t="s">
        <v>5</v>
      </c>
      <c r="E109" s="123">
        <v>2.9272</v>
      </c>
      <c r="F109" s="124">
        <v>119.38406999999999</v>
      </c>
      <c r="G109" s="124">
        <v>80.822389999999999</v>
      </c>
      <c r="H109" s="124">
        <v>0</v>
      </c>
      <c r="I109" s="124">
        <v>55.193739999999991</v>
      </c>
      <c r="J109" s="117">
        <f t="shared" si="36"/>
        <v>258.32740000000001</v>
      </c>
    </row>
    <row r="110" spans="2:10" x14ac:dyDescent="0.2">
      <c r="B110" s="463"/>
      <c r="C110" s="66" t="s">
        <v>6</v>
      </c>
      <c r="D110" s="210"/>
      <c r="E110" s="120">
        <f t="shared" ref="E110:J110" si="37">SUM(E104:E109)</f>
        <v>552.37947999999994</v>
      </c>
      <c r="F110" s="120">
        <f t="shared" si="37"/>
        <v>368.88572999999997</v>
      </c>
      <c r="G110" s="120">
        <f t="shared" si="37"/>
        <v>563.27380000000005</v>
      </c>
      <c r="H110" s="120">
        <f t="shared" si="37"/>
        <v>402.26557999999989</v>
      </c>
      <c r="I110" s="120">
        <f t="shared" si="37"/>
        <v>796.11878999999999</v>
      </c>
      <c r="J110" s="121">
        <f t="shared" si="37"/>
        <v>2682.9233799999997</v>
      </c>
    </row>
    <row r="111" spans="2:10" x14ac:dyDescent="0.2">
      <c r="B111" s="463"/>
      <c r="C111" s="490" t="s">
        <v>108</v>
      </c>
      <c r="D111" s="201" t="s">
        <v>81</v>
      </c>
      <c r="E111" s="123">
        <v>33.250360000000001</v>
      </c>
      <c r="F111" s="124">
        <v>19.72944</v>
      </c>
      <c r="G111" s="124">
        <v>14.75366</v>
      </c>
      <c r="H111" s="124">
        <v>15.11225</v>
      </c>
      <c r="I111" s="124">
        <v>14.91638</v>
      </c>
      <c r="J111" s="117">
        <f>SUM(E111:I111)</f>
        <v>97.762090000000001</v>
      </c>
    </row>
    <row r="112" spans="2:10" x14ac:dyDescent="0.2">
      <c r="B112" s="463"/>
      <c r="C112" s="492"/>
      <c r="D112" s="201" t="s">
        <v>109</v>
      </c>
      <c r="E112" s="123">
        <v>387.95695000000006</v>
      </c>
      <c r="F112" s="124">
        <v>29.218</v>
      </c>
      <c r="G112" s="124">
        <v>138.40406999999996</v>
      </c>
      <c r="H112" s="124">
        <v>45.806609999999999</v>
      </c>
      <c r="I112" s="124">
        <v>337.57270000000011</v>
      </c>
      <c r="J112" s="117">
        <f>SUM(E112:I112)</f>
        <v>938.95833000000016</v>
      </c>
    </row>
    <row r="113" spans="2:10" x14ac:dyDescent="0.2">
      <c r="B113" s="464"/>
      <c r="C113" s="67" t="s">
        <v>110</v>
      </c>
      <c r="D113" s="210"/>
      <c r="E113" s="120">
        <f t="shared" ref="E113:J113" si="38">SUM(E111:E112)</f>
        <v>421.20731000000006</v>
      </c>
      <c r="F113" s="120">
        <f t="shared" si="38"/>
        <v>48.94744</v>
      </c>
      <c r="G113" s="120">
        <f t="shared" si="38"/>
        <v>153.15772999999996</v>
      </c>
      <c r="H113" s="120">
        <f t="shared" si="38"/>
        <v>60.918859999999995</v>
      </c>
      <c r="I113" s="120">
        <f t="shared" si="38"/>
        <v>352.48908000000011</v>
      </c>
      <c r="J113" s="121">
        <f t="shared" si="38"/>
        <v>1036.7204200000001</v>
      </c>
    </row>
    <row r="114" spans="2:10" x14ac:dyDescent="0.2">
      <c r="B114" s="33" t="s">
        <v>120</v>
      </c>
      <c r="C114" s="47"/>
      <c r="D114" s="47"/>
      <c r="E114" s="105">
        <f t="shared" ref="E114:J114" si="39">+E113+E110+E103</f>
        <v>1606.4579200000001</v>
      </c>
      <c r="F114" s="105">
        <f t="shared" si="39"/>
        <v>901.85907999999995</v>
      </c>
      <c r="G114" s="105">
        <f t="shared" si="39"/>
        <v>1235.7331399999998</v>
      </c>
      <c r="H114" s="105">
        <f t="shared" si="39"/>
        <v>1114.2336499999999</v>
      </c>
      <c r="I114" s="105">
        <f t="shared" si="39"/>
        <v>1588.48468</v>
      </c>
      <c r="J114" s="127">
        <f t="shared" si="39"/>
        <v>6446.7684699999991</v>
      </c>
    </row>
    <row r="115" spans="2:10" x14ac:dyDescent="0.2">
      <c r="B115" s="462">
        <v>2010</v>
      </c>
      <c r="C115" s="490" t="s">
        <v>105</v>
      </c>
      <c r="D115" s="211" t="s">
        <v>105</v>
      </c>
      <c r="E115" s="124">
        <v>555.26616400000069</v>
      </c>
      <c r="F115" s="124">
        <v>435.24072000000024</v>
      </c>
      <c r="G115" s="124">
        <v>585.2736920000001</v>
      </c>
      <c r="H115" s="124">
        <v>643.75096900000074</v>
      </c>
      <c r="I115" s="124">
        <v>327.91289899999992</v>
      </c>
      <c r="J115" s="117">
        <f>SUM(E115:I115)</f>
        <v>2547.4444440000016</v>
      </c>
    </row>
    <row r="116" spans="2:10" x14ac:dyDescent="0.2">
      <c r="B116" s="463"/>
      <c r="C116" s="492"/>
      <c r="D116" s="86" t="s">
        <v>106</v>
      </c>
      <c r="E116" s="124">
        <v>54.472282999999997</v>
      </c>
      <c r="F116" s="124">
        <v>39.068275000000021</v>
      </c>
      <c r="G116" s="124">
        <v>50.648170000000007</v>
      </c>
      <c r="H116" s="124">
        <v>68.438504999999935</v>
      </c>
      <c r="I116" s="124">
        <v>104.58759000000001</v>
      </c>
      <c r="J116" s="117">
        <f>SUM(E116:I116)</f>
        <v>317.21482299999997</v>
      </c>
    </row>
    <row r="117" spans="2:10" x14ac:dyDescent="0.2">
      <c r="B117" s="463"/>
      <c r="C117" s="66" t="s">
        <v>11</v>
      </c>
      <c r="D117" s="210"/>
      <c r="E117" s="199">
        <f t="shared" ref="E117:J117" si="40">SUM(E115:E116)</f>
        <v>609.73844700000063</v>
      </c>
      <c r="F117" s="120">
        <f t="shared" si="40"/>
        <v>474.30899500000027</v>
      </c>
      <c r="G117" s="120">
        <f t="shared" si="40"/>
        <v>635.92186200000015</v>
      </c>
      <c r="H117" s="120">
        <f t="shared" si="40"/>
        <v>712.1894740000007</v>
      </c>
      <c r="I117" s="120">
        <f t="shared" si="40"/>
        <v>432.5004889999999</v>
      </c>
      <c r="J117" s="121">
        <f t="shared" si="40"/>
        <v>2864.6592670000014</v>
      </c>
    </row>
    <row r="118" spans="2:10" x14ac:dyDescent="0.2">
      <c r="B118" s="463"/>
      <c r="C118" s="490" t="s">
        <v>107</v>
      </c>
      <c r="D118" s="201" t="s">
        <v>0</v>
      </c>
      <c r="E118" s="123">
        <v>125.46208</v>
      </c>
      <c r="F118" s="124">
        <v>92.005825000000002</v>
      </c>
      <c r="G118" s="124">
        <v>83.157930000000007</v>
      </c>
      <c r="H118" s="124">
        <v>33.406010000000002</v>
      </c>
      <c r="I118" s="124">
        <v>86.808739000000003</v>
      </c>
      <c r="J118" s="117">
        <f t="shared" ref="J118:J123" si="41">SUM(E118:I118)</f>
        <v>420.84058399999998</v>
      </c>
    </row>
    <row r="119" spans="2:10" x14ac:dyDescent="0.2">
      <c r="B119" s="463"/>
      <c r="C119" s="491"/>
      <c r="D119" s="201" t="s">
        <v>1</v>
      </c>
      <c r="E119" s="123">
        <v>169.34652399999996</v>
      </c>
      <c r="F119" s="124">
        <v>217.68695700000001</v>
      </c>
      <c r="G119" s="124">
        <v>258.22971999999993</v>
      </c>
      <c r="H119" s="124">
        <v>154.03764100000004</v>
      </c>
      <c r="I119" s="124">
        <v>539.65625499999976</v>
      </c>
      <c r="J119" s="117">
        <f t="shared" si="41"/>
        <v>1338.9570969999995</v>
      </c>
    </row>
    <row r="120" spans="2:10" x14ac:dyDescent="0.2">
      <c r="B120" s="463"/>
      <c r="C120" s="491"/>
      <c r="D120" s="201" t="s">
        <v>2</v>
      </c>
      <c r="E120" s="123">
        <v>131.33746399999995</v>
      </c>
      <c r="F120" s="124">
        <v>5.9261000000000001E-2</v>
      </c>
      <c r="G120" s="124">
        <v>254.39127300000001</v>
      </c>
      <c r="H120" s="124">
        <v>193.02593000000007</v>
      </c>
      <c r="I120" s="124">
        <v>18.633853999999999</v>
      </c>
      <c r="J120" s="117">
        <f t="shared" si="41"/>
        <v>597.44778200000007</v>
      </c>
    </row>
    <row r="121" spans="2:10" x14ac:dyDescent="0.2">
      <c r="B121" s="463"/>
      <c r="C121" s="491"/>
      <c r="D121" s="201" t="s">
        <v>3</v>
      </c>
      <c r="E121" s="123">
        <v>27.089414000000001</v>
      </c>
      <c r="F121" s="124">
        <v>7.1999999999999995E-2</v>
      </c>
      <c r="G121" s="124"/>
      <c r="H121" s="124">
        <v>2.2649000000000002E-2</v>
      </c>
      <c r="I121" s="124"/>
      <c r="J121" s="117">
        <f t="shared" si="41"/>
        <v>27.184063000000002</v>
      </c>
    </row>
    <row r="122" spans="2:10" x14ac:dyDescent="0.2">
      <c r="B122" s="463"/>
      <c r="C122" s="491"/>
      <c r="D122" s="201" t="s">
        <v>4</v>
      </c>
      <c r="E122" s="123">
        <v>97.874134999999995</v>
      </c>
      <c r="F122" s="124">
        <v>68.168440000000004</v>
      </c>
      <c r="G122" s="124">
        <v>143.02781999999996</v>
      </c>
      <c r="H122" s="124">
        <v>112.207882</v>
      </c>
      <c r="I122" s="124">
        <v>39.462110000000003</v>
      </c>
      <c r="J122" s="117">
        <f t="shared" si="41"/>
        <v>460.74038699999994</v>
      </c>
    </row>
    <row r="123" spans="2:10" x14ac:dyDescent="0.2">
      <c r="B123" s="463"/>
      <c r="C123" s="492"/>
      <c r="D123" s="201" t="s">
        <v>5</v>
      </c>
      <c r="E123" s="123">
        <v>1.5959700000000001</v>
      </c>
      <c r="F123" s="124">
        <v>146.11814399999997</v>
      </c>
      <c r="G123" s="124">
        <v>203.03564600000001</v>
      </c>
      <c r="H123" s="124">
        <v>37.617460000000001</v>
      </c>
      <c r="I123" s="124">
        <v>48.541696999999999</v>
      </c>
      <c r="J123" s="117">
        <f t="shared" si="41"/>
        <v>436.90891699999997</v>
      </c>
    </row>
    <row r="124" spans="2:10" x14ac:dyDescent="0.2">
      <c r="B124" s="463"/>
      <c r="C124" s="66" t="s">
        <v>6</v>
      </c>
      <c r="D124" s="210"/>
      <c r="E124" s="120">
        <f t="shared" ref="E124:J124" si="42">SUM(E118:E123)</f>
        <v>552.70558699999981</v>
      </c>
      <c r="F124" s="120">
        <f t="shared" si="42"/>
        <v>524.11062700000002</v>
      </c>
      <c r="G124" s="120">
        <f t="shared" si="42"/>
        <v>941.84238899999991</v>
      </c>
      <c r="H124" s="120">
        <f t="shared" si="42"/>
        <v>530.31757200000015</v>
      </c>
      <c r="I124" s="120">
        <f t="shared" si="42"/>
        <v>733.1026549999998</v>
      </c>
      <c r="J124" s="121">
        <f t="shared" si="42"/>
        <v>3282.0788299999995</v>
      </c>
    </row>
    <row r="125" spans="2:10" x14ac:dyDescent="0.2">
      <c r="B125" s="463"/>
      <c r="C125" s="490" t="s">
        <v>108</v>
      </c>
      <c r="D125" s="201" t="s">
        <v>81</v>
      </c>
      <c r="E125" s="123">
        <v>48.743339999999996</v>
      </c>
      <c r="F125" s="124">
        <v>6.0473899999999983</v>
      </c>
      <c r="G125" s="124">
        <v>8.7011040000000008</v>
      </c>
      <c r="H125" s="124">
        <v>12.349856000000001</v>
      </c>
      <c r="I125" s="124">
        <v>15.552923</v>
      </c>
      <c r="J125" s="117">
        <f>SUM(E125:I125)</f>
        <v>91.394612999999993</v>
      </c>
    </row>
    <row r="126" spans="2:10" x14ac:dyDescent="0.2">
      <c r="B126" s="463"/>
      <c r="C126" s="492"/>
      <c r="D126" s="201" t="s">
        <v>109</v>
      </c>
      <c r="E126" s="123">
        <v>458.01161800000011</v>
      </c>
      <c r="F126" s="124">
        <v>55.391576000000008</v>
      </c>
      <c r="G126" s="124">
        <v>177.66087099999999</v>
      </c>
      <c r="H126" s="124">
        <v>45.820618000000003</v>
      </c>
      <c r="I126" s="124">
        <v>323.67215499999998</v>
      </c>
      <c r="J126" s="117">
        <f>SUM(E126:I126)</f>
        <v>1060.556838</v>
      </c>
    </row>
    <row r="127" spans="2:10" x14ac:dyDescent="0.2">
      <c r="B127" s="464"/>
      <c r="C127" s="67" t="s">
        <v>110</v>
      </c>
      <c r="D127" s="210"/>
      <c r="E127" s="120">
        <f t="shared" ref="E127:J127" si="43">SUM(E125:E126)</f>
        <v>506.7549580000001</v>
      </c>
      <c r="F127" s="120">
        <f t="shared" si="43"/>
        <v>61.438966000000008</v>
      </c>
      <c r="G127" s="120">
        <f t="shared" si="43"/>
        <v>186.36197499999997</v>
      </c>
      <c r="H127" s="120">
        <f t="shared" si="43"/>
        <v>58.170474000000006</v>
      </c>
      <c r="I127" s="120">
        <f t="shared" si="43"/>
        <v>339.225078</v>
      </c>
      <c r="J127" s="121">
        <f t="shared" si="43"/>
        <v>1151.9514509999999</v>
      </c>
    </row>
    <row r="128" spans="2:10" x14ac:dyDescent="0.2">
      <c r="B128" s="33" t="s">
        <v>121</v>
      </c>
      <c r="C128" s="47"/>
      <c r="D128" s="47"/>
      <c r="E128" s="105">
        <f t="shared" ref="E128:J128" si="44">+E127+E124+E117</f>
        <v>1669.1989920000005</v>
      </c>
      <c r="F128" s="105">
        <f t="shared" si="44"/>
        <v>1059.8585880000003</v>
      </c>
      <c r="G128" s="105">
        <f t="shared" si="44"/>
        <v>1764.1262260000001</v>
      </c>
      <c r="H128" s="105">
        <f t="shared" si="44"/>
        <v>1300.6775200000009</v>
      </c>
      <c r="I128" s="105">
        <f t="shared" si="44"/>
        <v>1504.8282219999996</v>
      </c>
      <c r="J128" s="127">
        <f t="shared" si="44"/>
        <v>7298.6895480000003</v>
      </c>
    </row>
    <row r="129" spans="2:10" x14ac:dyDescent="0.2">
      <c r="B129" s="462">
        <v>2011</v>
      </c>
      <c r="C129" s="490" t="s">
        <v>105</v>
      </c>
      <c r="D129" s="211" t="s">
        <v>105</v>
      </c>
      <c r="E129" s="124">
        <v>540.26133099999993</v>
      </c>
      <c r="F129" s="124">
        <v>466.03652899999992</v>
      </c>
      <c r="G129" s="124">
        <v>765.89049</v>
      </c>
      <c r="H129" s="124">
        <v>697.12755300000003</v>
      </c>
      <c r="I129" s="124">
        <v>365.47614199999998</v>
      </c>
      <c r="J129" s="117">
        <f>SUM(E129:I129)</f>
        <v>2834.7920449999997</v>
      </c>
    </row>
    <row r="130" spans="2:10" x14ac:dyDescent="0.2">
      <c r="B130" s="463"/>
      <c r="C130" s="492"/>
      <c r="D130" s="86" t="s">
        <v>106</v>
      </c>
      <c r="E130" s="124">
        <v>58.601951</v>
      </c>
      <c r="F130" s="124">
        <v>45.446253999999982</v>
      </c>
      <c r="G130" s="124">
        <v>52.331479999999992</v>
      </c>
      <c r="H130" s="124">
        <v>60.262029999999989</v>
      </c>
      <c r="I130" s="124">
        <v>93.043751999999998</v>
      </c>
      <c r="J130" s="117">
        <f>SUM(E130:I130)</f>
        <v>309.68546699999996</v>
      </c>
    </row>
    <row r="131" spans="2:10" x14ac:dyDescent="0.2">
      <c r="B131" s="463"/>
      <c r="C131" s="66" t="s">
        <v>11</v>
      </c>
      <c r="D131" s="210"/>
      <c r="E131" s="199">
        <f t="shared" ref="E131:J131" si="45">SUM(E129:E130)</f>
        <v>598.86328199999991</v>
      </c>
      <c r="F131" s="120">
        <f t="shared" si="45"/>
        <v>511.48278299999993</v>
      </c>
      <c r="G131" s="120">
        <f t="shared" si="45"/>
        <v>818.22196999999994</v>
      </c>
      <c r="H131" s="120">
        <f t="shared" si="45"/>
        <v>757.38958300000002</v>
      </c>
      <c r="I131" s="120">
        <f t="shared" si="45"/>
        <v>458.51989399999997</v>
      </c>
      <c r="J131" s="121">
        <f t="shared" si="45"/>
        <v>3144.4775119999995</v>
      </c>
    </row>
    <row r="132" spans="2:10" x14ac:dyDescent="0.2">
      <c r="B132" s="463"/>
      <c r="C132" s="490" t="s">
        <v>107</v>
      </c>
      <c r="D132" s="201" t="s">
        <v>0</v>
      </c>
      <c r="E132" s="123">
        <v>100.48351999999998</v>
      </c>
      <c r="F132" s="124">
        <v>60.220579999999998</v>
      </c>
      <c r="G132" s="124">
        <v>140.45169099999998</v>
      </c>
      <c r="H132" s="124">
        <v>58.433786000000005</v>
      </c>
      <c r="I132" s="124">
        <v>83.194005000000004</v>
      </c>
      <c r="J132" s="117">
        <f t="shared" ref="J132:J137" si="46">SUM(E132:I132)</f>
        <v>442.78358199999997</v>
      </c>
    </row>
    <row r="133" spans="2:10" x14ac:dyDescent="0.2">
      <c r="B133" s="463"/>
      <c r="C133" s="491"/>
      <c r="D133" s="201" t="s">
        <v>1</v>
      </c>
      <c r="E133" s="123">
        <v>211.54343800000001</v>
      </c>
      <c r="F133" s="124">
        <v>259.29782699999993</v>
      </c>
      <c r="G133" s="124">
        <v>152.00922600000001</v>
      </c>
      <c r="H133" s="124">
        <v>162.77926800000006</v>
      </c>
      <c r="I133" s="124">
        <v>632.05872699999986</v>
      </c>
      <c r="J133" s="117">
        <f t="shared" si="46"/>
        <v>1417.6884859999998</v>
      </c>
    </row>
    <row r="134" spans="2:10" x14ac:dyDescent="0.2">
      <c r="B134" s="463"/>
      <c r="C134" s="491"/>
      <c r="D134" s="201" t="s">
        <v>2</v>
      </c>
      <c r="E134" s="123">
        <v>115.310551</v>
      </c>
      <c r="F134" s="124">
        <v>9.8996000000000001E-2</v>
      </c>
      <c r="G134" s="124">
        <v>104.073576</v>
      </c>
      <c r="H134" s="124">
        <v>236.18185900000003</v>
      </c>
      <c r="I134" s="124">
        <v>34.611798</v>
      </c>
      <c r="J134" s="117">
        <f t="shared" si="46"/>
        <v>490.27678000000003</v>
      </c>
    </row>
    <row r="135" spans="2:10" x14ac:dyDescent="0.2">
      <c r="B135" s="463"/>
      <c r="C135" s="491"/>
      <c r="D135" s="201" t="s">
        <v>3</v>
      </c>
      <c r="E135" s="123">
        <v>30.696244</v>
      </c>
      <c r="F135" s="124">
        <v>0.03</v>
      </c>
      <c r="G135" s="124">
        <v>0</v>
      </c>
      <c r="H135" s="124">
        <v>3.8261999999999997E-2</v>
      </c>
      <c r="I135" s="124">
        <v>0</v>
      </c>
      <c r="J135" s="117">
        <f t="shared" si="46"/>
        <v>30.764506000000001</v>
      </c>
    </row>
    <row r="136" spans="2:10" x14ac:dyDescent="0.2">
      <c r="B136" s="463"/>
      <c r="C136" s="491"/>
      <c r="D136" s="201" t="s">
        <v>4</v>
      </c>
      <c r="E136" s="123">
        <v>113.32147000000001</v>
      </c>
      <c r="F136" s="124">
        <v>71.479119999999995</v>
      </c>
      <c r="G136" s="124">
        <v>123.26348999999999</v>
      </c>
      <c r="H136" s="124">
        <v>154.474512</v>
      </c>
      <c r="I136" s="124">
        <v>57.814261000000002</v>
      </c>
      <c r="J136" s="117">
        <f t="shared" si="46"/>
        <v>520.35285299999998</v>
      </c>
    </row>
    <row r="137" spans="2:10" x14ac:dyDescent="0.2">
      <c r="B137" s="463"/>
      <c r="C137" s="492"/>
      <c r="D137" s="201" t="s">
        <v>5</v>
      </c>
      <c r="E137" s="123">
        <v>3.3427500000000001</v>
      </c>
      <c r="F137" s="124">
        <v>198.077247</v>
      </c>
      <c r="G137" s="124">
        <v>53.557057</v>
      </c>
      <c r="H137" s="124">
        <v>147.31370900000002</v>
      </c>
      <c r="I137" s="124">
        <v>83.211231999999995</v>
      </c>
      <c r="J137" s="117">
        <f t="shared" si="46"/>
        <v>485.50199500000002</v>
      </c>
    </row>
    <row r="138" spans="2:10" x14ac:dyDescent="0.2">
      <c r="B138" s="463"/>
      <c r="C138" s="66" t="s">
        <v>6</v>
      </c>
      <c r="D138" s="210"/>
      <c r="E138" s="120">
        <f t="shared" ref="E138:J138" si="47">SUM(E132:E137)</f>
        <v>574.69797299999993</v>
      </c>
      <c r="F138" s="120">
        <f t="shared" si="47"/>
        <v>589.20376999999985</v>
      </c>
      <c r="G138" s="120">
        <f t="shared" si="47"/>
        <v>573.35503999999992</v>
      </c>
      <c r="H138" s="120">
        <f t="shared" si="47"/>
        <v>759.22139600000014</v>
      </c>
      <c r="I138" s="120">
        <f t="shared" si="47"/>
        <v>890.89002299999993</v>
      </c>
      <c r="J138" s="121">
        <f t="shared" si="47"/>
        <v>3387.3682019999997</v>
      </c>
    </row>
    <row r="139" spans="2:10" x14ac:dyDescent="0.2">
      <c r="B139" s="463"/>
      <c r="C139" s="490" t="s">
        <v>108</v>
      </c>
      <c r="D139" s="201" t="s">
        <v>81</v>
      </c>
      <c r="E139" s="123">
        <v>9.6027330000000006</v>
      </c>
      <c r="F139" s="124">
        <v>8.9273389999999999</v>
      </c>
      <c r="G139" s="124">
        <v>5.5859109999999994</v>
      </c>
      <c r="H139" s="124">
        <v>7.2028949999999998</v>
      </c>
      <c r="I139" s="124">
        <v>15.561734000000001</v>
      </c>
      <c r="J139" s="117">
        <f>SUM(E139:I139)</f>
        <v>46.880611999999999</v>
      </c>
    </row>
    <row r="140" spans="2:10" x14ac:dyDescent="0.2">
      <c r="B140" s="463"/>
      <c r="C140" s="492"/>
      <c r="D140" s="201" t="s">
        <v>109</v>
      </c>
      <c r="E140" s="123">
        <v>423.79595900000004</v>
      </c>
      <c r="F140" s="124">
        <v>60.253257999999988</v>
      </c>
      <c r="G140" s="124">
        <v>165.83752399999997</v>
      </c>
      <c r="H140" s="124">
        <v>48.369156999999994</v>
      </c>
      <c r="I140" s="124">
        <v>355.38095600000003</v>
      </c>
      <c r="J140" s="117">
        <f>SUM(E140:I140)</f>
        <v>1053.6368540000001</v>
      </c>
    </row>
    <row r="141" spans="2:10" x14ac:dyDescent="0.2">
      <c r="B141" s="464"/>
      <c r="C141" s="67" t="s">
        <v>110</v>
      </c>
      <c r="D141" s="210"/>
      <c r="E141" s="120">
        <f t="shared" ref="E141:J141" si="48">SUM(E139:E140)</f>
        <v>433.39869200000004</v>
      </c>
      <c r="F141" s="120">
        <f t="shared" si="48"/>
        <v>69.180596999999992</v>
      </c>
      <c r="G141" s="120">
        <f t="shared" si="48"/>
        <v>171.42343499999998</v>
      </c>
      <c r="H141" s="120">
        <f t="shared" si="48"/>
        <v>55.572051999999992</v>
      </c>
      <c r="I141" s="120">
        <f t="shared" si="48"/>
        <v>370.94269000000003</v>
      </c>
      <c r="J141" s="121">
        <f t="shared" si="48"/>
        <v>1100.517466</v>
      </c>
    </row>
    <row r="142" spans="2:10" ht="23.25" customHeight="1" x14ac:dyDescent="0.2">
      <c r="B142" s="33" t="s">
        <v>122</v>
      </c>
      <c r="C142" s="47"/>
      <c r="D142" s="47"/>
      <c r="E142" s="212">
        <f t="shared" ref="E142:J142" si="49">+E141+E138+E131</f>
        <v>1606.9599469999998</v>
      </c>
      <c r="F142" s="212">
        <f t="shared" si="49"/>
        <v>1169.8671499999998</v>
      </c>
      <c r="G142" s="212">
        <f t="shared" si="49"/>
        <v>1563.0004449999997</v>
      </c>
      <c r="H142" s="212">
        <f t="shared" si="49"/>
        <v>1572.183031</v>
      </c>
      <c r="I142" s="212">
        <f t="shared" si="49"/>
        <v>1720.352607</v>
      </c>
      <c r="J142" s="127">
        <f t="shared" si="49"/>
        <v>7632.3631799999994</v>
      </c>
    </row>
    <row r="143" spans="2:10" x14ac:dyDescent="0.2">
      <c r="B143" s="462">
        <v>2012</v>
      </c>
      <c r="C143" s="490" t="s">
        <v>105</v>
      </c>
      <c r="D143" s="205" t="s">
        <v>105</v>
      </c>
      <c r="E143" s="213">
        <v>562.35994500000015</v>
      </c>
      <c r="F143" s="214">
        <v>482.5810009999999</v>
      </c>
      <c r="G143" s="214">
        <v>734.48022400000013</v>
      </c>
      <c r="H143" s="214">
        <v>559.59073999999987</v>
      </c>
      <c r="I143" s="215">
        <v>436.78262000000007</v>
      </c>
      <c r="J143" s="202">
        <f>SUM(E143:I143)</f>
        <v>2775.7945300000001</v>
      </c>
    </row>
    <row r="144" spans="2:10" x14ac:dyDescent="0.2">
      <c r="B144" s="463"/>
      <c r="C144" s="492"/>
      <c r="D144" s="216" t="s">
        <v>106</v>
      </c>
      <c r="E144" s="217">
        <v>58.788870000000003</v>
      </c>
      <c r="F144" s="218">
        <v>42.345581999999993</v>
      </c>
      <c r="G144" s="218">
        <v>45.893394999999991</v>
      </c>
      <c r="H144" s="218">
        <v>59.031266000000002</v>
      </c>
      <c r="I144" s="219">
        <v>93.592450999999983</v>
      </c>
      <c r="J144" s="202">
        <f>SUM(E144:I144)</f>
        <v>299.65156399999995</v>
      </c>
    </row>
    <row r="145" spans="2:10" x14ac:dyDescent="0.2">
      <c r="B145" s="463"/>
      <c r="C145" s="66" t="s">
        <v>11</v>
      </c>
      <c r="D145" s="210"/>
      <c r="E145" s="434">
        <f t="shared" ref="E145:J145" si="50">SUM(E143:E144)</f>
        <v>621.14881500000013</v>
      </c>
      <c r="F145" s="435">
        <f t="shared" si="50"/>
        <v>524.92658299999994</v>
      </c>
      <c r="G145" s="435">
        <f t="shared" si="50"/>
        <v>780.37361900000008</v>
      </c>
      <c r="H145" s="435">
        <f t="shared" si="50"/>
        <v>618.62200599999983</v>
      </c>
      <c r="I145" s="435">
        <f t="shared" si="50"/>
        <v>530.37507100000005</v>
      </c>
      <c r="J145" s="121">
        <f t="shared" si="50"/>
        <v>3075.4460939999999</v>
      </c>
    </row>
    <row r="146" spans="2:10" x14ac:dyDescent="0.2">
      <c r="B146" s="463"/>
      <c r="C146" s="490" t="s">
        <v>107</v>
      </c>
      <c r="D146" s="201" t="s">
        <v>0</v>
      </c>
      <c r="E146" s="220">
        <v>107.040616</v>
      </c>
      <c r="F146" s="221">
        <v>126.02361300000001</v>
      </c>
      <c r="G146" s="221">
        <v>122.461158</v>
      </c>
      <c r="H146" s="221">
        <v>97.347742999999994</v>
      </c>
      <c r="I146" s="221">
        <v>104.34431400000003</v>
      </c>
      <c r="J146" s="117">
        <f t="shared" ref="J146:J151" si="51">SUM(E146:I146)</f>
        <v>557.217444</v>
      </c>
    </row>
    <row r="147" spans="2:10" x14ac:dyDescent="0.2">
      <c r="B147" s="463"/>
      <c r="C147" s="491"/>
      <c r="D147" s="201" t="s">
        <v>1</v>
      </c>
      <c r="E147" s="222">
        <v>351.798159</v>
      </c>
      <c r="F147" s="164">
        <v>314.91549500000002</v>
      </c>
      <c r="G147" s="164">
        <v>248.86225199999996</v>
      </c>
      <c r="H147" s="164">
        <v>205.04745899999998</v>
      </c>
      <c r="I147" s="164">
        <v>795.64376100000038</v>
      </c>
      <c r="J147" s="117">
        <f t="shared" si="51"/>
        <v>1916.2671260000002</v>
      </c>
    </row>
    <row r="148" spans="2:10" x14ac:dyDescent="0.2">
      <c r="B148" s="463"/>
      <c r="C148" s="491"/>
      <c r="D148" s="201" t="s">
        <v>2</v>
      </c>
      <c r="E148" s="222">
        <v>129.085251</v>
      </c>
      <c r="F148" s="164">
        <v>9.7235000000000002E-2</v>
      </c>
      <c r="G148" s="164">
        <v>82.861857999999998</v>
      </c>
      <c r="H148" s="164">
        <v>215.62548300000009</v>
      </c>
      <c r="I148" s="164">
        <v>35.317490999999997</v>
      </c>
      <c r="J148" s="117">
        <f t="shared" si="51"/>
        <v>462.98731800000013</v>
      </c>
    </row>
    <row r="149" spans="2:10" x14ac:dyDescent="0.2">
      <c r="B149" s="463"/>
      <c r="C149" s="491"/>
      <c r="D149" s="201" t="s">
        <v>3</v>
      </c>
      <c r="E149" s="222">
        <v>31.182960000000005</v>
      </c>
      <c r="F149" s="164">
        <v>0.314635</v>
      </c>
      <c r="G149" s="159">
        <v>0</v>
      </c>
      <c r="H149" s="164">
        <v>3.1207000000000002E-2</v>
      </c>
      <c r="I149" s="159">
        <v>0</v>
      </c>
      <c r="J149" s="117">
        <f t="shared" si="51"/>
        <v>31.528802000000002</v>
      </c>
    </row>
    <row r="150" spans="2:10" x14ac:dyDescent="0.2">
      <c r="B150" s="463"/>
      <c r="C150" s="491"/>
      <c r="D150" s="201" t="s">
        <v>4</v>
      </c>
      <c r="E150" s="222">
        <v>113.52424999999999</v>
      </c>
      <c r="F150" s="164">
        <v>67.28146000000001</v>
      </c>
      <c r="G150" s="164">
        <v>117.77030200000002</v>
      </c>
      <c r="H150" s="164">
        <v>131.94232</v>
      </c>
      <c r="I150" s="164">
        <v>65.348140000000001</v>
      </c>
      <c r="J150" s="117">
        <f t="shared" si="51"/>
        <v>495.86647199999999</v>
      </c>
    </row>
    <row r="151" spans="2:10" x14ac:dyDescent="0.2">
      <c r="B151" s="463"/>
      <c r="C151" s="492"/>
      <c r="D151" s="201" t="s">
        <v>5</v>
      </c>
      <c r="E151" s="222">
        <v>2.9870999999999999</v>
      </c>
      <c r="F151" s="164">
        <v>228.67049399999999</v>
      </c>
      <c r="G151" s="164">
        <v>57.636471999999998</v>
      </c>
      <c r="H151" s="164">
        <v>119.360041</v>
      </c>
      <c r="I151" s="164">
        <v>119.50616800000002</v>
      </c>
      <c r="J151" s="117">
        <f t="shared" si="51"/>
        <v>528.16027499999996</v>
      </c>
    </row>
    <row r="152" spans="2:10" x14ac:dyDescent="0.2">
      <c r="B152" s="463"/>
      <c r="C152" s="66" t="s">
        <v>6</v>
      </c>
      <c r="D152" s="210"/>
      <c r="E152" s="400">
        <f t="shared" ref="E152:J152" si="52">SUM(E146:E151)</f>
        <v>735.618336</v>
      </c>
      <c r="F152" s="400">
        <f t="shared" si="52"/>
        <v>737.30293200000006</v>
      </c>
      <c r="G152" s="400">
        <f t="shared" si="52"/>
        <v>629.59204199999999</v>
      </c>
      <c r="H152" s="400">
        <f t="shared" si="52"/>
        <v>769.35425300000009</v>
      </c>
      <c r="I152" s="400">
        <f t="shared" si="52"/>
        <v>1120.1598740000006</v>
      </c>
      <c r="J152" s="121">
        <f t="shared" si="52"/>
        <v>3992.0274369999997</v>
      </c>
    </row>
    <row r="153" spans="2:10" x14ac:dyDescent="0.2">
      <c r="B153" s="463"/>
      <c r="C153" s="490" t="s">
        <v>108</v>
      </c>
      <c r="D153" s="201" t="s">
        <v>81</v>
      </c>
      <c r="E153" s="220">
        <v>10.225939</v>
      </c>
      <c r="F153" s="221">
        <v>8.6100409999999989</v>
      </c>
      <c r="G153" s="221">
        <v>6.4495500000000003</v>
      </c>
      <c r="H153" s="221">
        <v>9.756138</v>
      </c>
      <c r="I153" s="221">
        <v>18.320024</v>
      </c>
      <c r="J153" s="117">
        <f>SUM(E153:I153)</f>
        <v>53.361692000000005</v>
      </c>
    </row>
    <row r="154" spans="2:10" x14ac:dyDescent="0.2">
      <c r="B154" s="463"/>
      <c r="C154" s="492"/>
      <c r="D154" s="201" t="s">
        <v>109</v>
      </c>
      <c r="E154" s="222">
        <v>386.65645999999992</v>
      </c>
      <c r="F154" s="164">
        <v>64.693641</v>
      </c>
      <c r="G154" s="164">
        <v>167.84732400000004</v>
      </c>
      <c r="H154" s="164">
        <v>42.131441999999993</v>
      </c>
      <c r="I154" s="164">
        <v>346.41861400000005</v>
      </c>
      <c r="J154" s="117">
        <f>SUM(E154:I154)</f>
        <v>1007.747481</v>
      </c>
    </row>
    <row r="155" spans="2:10" x14ac:dyDescent="0.2">
      <c r="B155" s="464"/>
      <c r="C155" s="67" t="s">
        <v>110</v>
      </c>
      <c r="D155" s="210"/>
      <c r="E155" s="400">
        <f t="shared" ref="E155:J155" si="53">SUM(E153:E154)</f>
        <v>396.88239899999991</v>
      </c>
      <c r="F155" s="400">
        <f t="shared" si="53"/>
        <v>73.303681999999995</v>
      </c>
      <c r="G155" s="400">
        <f t="shared" si="53"/>
        <v>174.29687400000003</v>
      </c>
      <c r="H155" s="400">
        <f t="shared" si="53"/>
        <v>51.887579999999993</v>
      </c>
      <c r="I155" s="400">
        <f t="shared" si="53"/>
        <v>364.73863800000004</v>
      </c>
      <c r="J155" s="121">
        <f t="shared" si="53"/>
        <v>1061.1091730000001</v>
      </c>
    </row>
    <row r="156" spans="2:10" ht="20.25" customHeight="1" x14ac:dyDescent="0.2">
      <c r="B156" s="33" t="s">
        <v>123</v>
      </c>
      <c r="C156" s="47"/>
      <c r="D156" s="47"/>
      <c r="E156" s="436">
        <f t="shared" ref="E156:J156" si="54">+E155+E152+E145</f>
        <v>1753.6495500000001</v>
      </c>
      <c r="F156" s="436">
        <f t="shared" si="54"/>
        <v>1335.533197</v>
      </c>
      <c r="G156" s="436">
        <f t="shared" si="54"/>
        <v>1584.2625350000001</v>
      </c>
      <c r="H156" s="436">
        <f t="shared" si="54"/>
        <v>1439.8638389999999</v>
      </c>
      <c r="I156" s="436">
        <f t="shared" si="54"/>
        <v>2015.2735830000006</v>
      </c>
      <c r="J156" s="127">
        <f t="shared" si="54"/>
        <v>8128.5827039999995</v>
      </c>
    </row>
    <row r="157" spans="2:10" x14ac:dyDescent="0.2">
      <c r="B157" s="462">
        <v>2013</v>
      </c>
      <c r="C157" s="488" t="s">
        <v>105</v>
      </c>
      <c r="D157" s="223" t="s">
        <v>105</v>
      </c>
      <c r="E157" s="224">
        <v>563.24783999999988</v>
      </c>
      <c r="F157" s="225">
        <v>499.04235399999993</v>
      </c>
      <c r="G157" s="225">
        <v>785.5876780000001</v>
      </c>
      <c r="H157" s="225">
        <v>641.05703700000004</v>
      </c>
      <c r="I157" s="225">
        <v>496.92272400000019</v>
      </c>
      <c r="J157" s="226">
        <f>SUM(E157:I157)</f>
        <v>2985.8576329999996</v>
      </c>
    </row>
    <row r="158" spans="2:10" x14ac:dyDescent="0.2">
      <c r="B158" s="463"/>
      <c r="C158" s="489"/>
      <c r="D158" s="227" t="s">
        <v>106</v>
      </c>
      <c r="E158" s="73">
        <v>47.903439999999996</v>
      </c>
      <c r="F158" s="178">
        <v>42.540211000000014</v>
      </c>
      <c r="G158" s="178">
        <v>52.864016000000007</v>
      </c>
      <c r="H158" s="178">
        <v>59.143667000000001</v>
      </c>
      <c r="I158" s="179">
        <v>96.923344999999998</v>
      </c>
      <c r="J158" s="197">
        <f>SUM(E158:I158)</f>
        <v>299.37467900000001</v>
      </c>
    </row>
    <row r="159" spans="2:10" x14ac:dyDescent="0.2">
      <c r="B159" s="463"/>
      <c r="C159" s="66" t="s">
        <v>11</v>
      </c>
      <c r="D159" s="210"/>
      <c r="E159" s="437">
        <f t="shared" ref="E159:J159" si="55">SUM(E157:E158)</f>
        <v>611.15127999999993</v>
      </c>
      <c r="F159" s="400">
        <f t="shared" si="55"/>
        <v>541.58256499999993</v>
      </c>
      <c r="G159" s="400">
        <f t="shared" si="55"/>
        <v>838.45169400000009</v>
      </c>
      <c r="H159" s="400">
        <f t="shared" si="55"/>
        <v>700.20070400000009</v>
      </c>
      <c r="I159" s="438">
        <f t="shared" si="55"/>
        <v>593.84606900000017</v>
      </c>
      <c r="J159" s="121">
        <f t="shared" si="55"/>
        <v>3285.2323119999996</v>
      </c>
    </row>
    <row r="160" spans="2:10" x14ac:dyDescent="0.2">
      <c r="B160" s="463"/>
      <c r="C160" s="490" t="s">
        <v>107</v>
      </c>
      <c r="D160" s="201" t="s">
        <v>0</v>
      </c>
      <c r="E160" s="213">
        <v>97.139879999999962</v>
      </c>
      <c r="F160" s="214">
        <v>167.42429699999997</v>
      </c>
      <c r="G160" s="214">
        <v>95.287196999999992</v>
      </c>
      <c r="H160" s="214">
        <v>119.16602599999996</v>
      </c>
      <c r="I160" s="215">
        <v>99.207690000000014</v>
      </c>
      <c r="J160" s="117">
        <f t="shared" ref="J160:J165" si="56">SUM(E160:I160)</f>
        <v>578.22508999999991</v>
      </c>
    </row>
    <row r="161" spans="2:10" x14ac:dyDescent="0.2">
      <c r="B161" s="463"/>
      <c r="C161" s="491"/>
      <c r="D161" s="201" t="s">
        <v>1</v>
      </c>
      <c r="E161" s="228">
        <v>399.67733800000059</v>
      </c>
      <c r="F161" s="229">
        <v>353.83503199999996</v>
      </c>
      <c r="G161" s="229">
        <v>277.03244599999999</v>
      </c>
      <c r="H161" s="229">
        <v>322.65804300000013</v>
      </c>
      <c r="I161" s="230">
        <v>1033.7222729999999</v>
      </c>
      <c r="J161" s="117">
        <f t="shared" si="56"/>
        <v>2386.9251320000003</v>
      </c>
    </row>
    <row r="162" spans="2:10" x14ac:dyDescent="0.2">
      <c r="B162" s="463"/>
      <c r="C162" s="491"/>
      <c r="D162" s="201" t="s">
        <v>2</v>
      </c>
      <c r="E162" s="228">
        <v>151.09792400000003</v>
      </c>
      <c r="F162" s="229">
        <v>0.100091</v>
      </c>
      <c r="G162" s="229">
        <v>84.191618999999989</v>
      </c>
      <c r="H162" s="229">
        <v>192.55800600000006</v>
      </c>
      <c r="I162" s="230">
        <v>56.464511000000009</v>
      </c>
      <c r="J162" s="117">
        <f t="shared" si="56"/>
        <v>484.41215100000011</v>
      </c>
    </row>
    <row r="163" spans="2:10" x14ac:dyDescent="0.2">
      <c r="B163" s="463"/>
      <c r="C163" s="491"/>
      <c r="D163" s="201" t="s">
        <v>3</v>
      </c>
      <c r="E163" s="228">
        <v>32.392894999999996</v>
      </c>
      <c r="F163" s="229">
        <v>0.48299999999999998</v>
      </c>
      <c r="G163" s="163">
        <v>0</v>
      </c>
      <c r="H163" s="229">
        <v>3.7486869999999999</v>
      </c>
      <c r="I163" s="163">
        <v>0</v>
      </c>
      <c r="J163" s="117">
        <f t="shared" si="56"/>
        <v>36.62458199999999</v>
      </c>
    </row>
    <row r="164" spans="2:10" x14ac:dyDescent="0.2">
      <c r="B164" s="463"/>
      <c r="C164" s="491"/>
      <c r="D164" s="201" t="s">
        <v>4</v>
      </c>
      <c r="E164" s="228">
        <v>103.31401</v>
      </c>
      <c r="F164" s="229">
        <v>91.181047999999976</v>
      </c>
      <c r="G164" s="229">
        <v>109.92422000000002</v>
      </c>
      <c r="H164" s="229">
        <v>123.99717799999999</v>
      </c>
      <c r="I164" s="230">
        <v>61.014600999999999</v>
      </c>
      <c r="J164" s="117">
        <f t="shared" si="56"/>
        <v>489.4310569999999</v>
      </c>
    </row>
    <row r="165" spans="2:10" x14ac:dyDescent="0.2">
      <c r="B165" s="463"/>
      <c r="C165" s="492"/>
      <c r="D165" s="201" t="s">
        <v>5</v>
      </c>
      <c r="E165" s="217">
        <v>6.9553799999999999</v>
      </c>
      <c r="F165" s="218">
        <v>264.71714900000006</v>
      </c>
      <c r="G165" s="218">
        <v>66.263115999999997</v>
      </c>
      <c r="H165" s="218">
        <v>144.26508100000004</v>
      </c>
      <c r="I165" s="219">
        <v>179.58835300000007</v>
      </c>
      <c r="J165" s="117">
        <f t="shared" si="56"/>
        <v>661.78907900000013</v>
      </c>
    </row>
    <row r="166" spans="2:10" x14ac:dyDescent="0.2">
      <c r="B166" s="463"/>
      <c r="C166" s="66" t="s">
        <v>6</v>
      </c>
      <c r="D166" s="210"/>
      <c r="E166" s="400">
        <f t="shared" ref="E166:J166" si="57">SUM(E160:E165)</f>
        <v>790.57742700000051</v>
      </c>
      <c r="F166" s="400">
        <f t="shared" si="57"/>
        <v>877.74061699999993</v>
      </c>
      <c r="G166" s="400">
        <f t="shared" si="57"/>
        <v>632.69859799999995</v>
      </c>
      <c r="H166" s="400">
        <f t="shared" si="57"/>
        <v>906.3930210000002</v>
      </c>
      <c r="I166" s="400">
        <f t="shared" si="57"/>
        <v>1429.9974279999999</v>
      </c>
      <c r="J166" s="121">
        <f t="shared" si="57"/>
        <v>4637.407091</v>
      </c>
    </row>
    <row r="167" spans="2:10" x14ac:dyDescent="0.2">
      <c r="B167" s="463"/>
      <c r="C167" s="490" t="s">
        <v>108</v>
      </c>
      <c r="D167" s="201" t="s">
        <v>81</v>
      </c>
      <c r="E167" s="213">
        <v>19.094051999999994</v>
      </c>
      <c r="F167" s="164">
        <v>9.2936359999999993</v>
      </c>
      <c r="G167" s="164">
        <v>6.6845590000000001</v>
      </c>
      <c r="H167" s="164">
        <v>7.6275749999999993</v>
      </c>
      <c r="I167" s="164">
        <v>32.379860000000001</v>
      </c>
      <c r="J167" s="117">
        <f>SUM(E167:I167)</f>
        <v>75.079681999999991</v>
      </c>
    </row>
    <row r="168" spans="2:10" x14ac:dyDescent="0.2">
      <c r="B168" s="463"/>
      <c r="C168" s="492"/>
      <c r="D168" s="201" t="s">
        <v>109</v>
      </c>
      <c r="E168" s="217">
        <v>441.09681799999993</v>
      </c>
      <c r="F168" s="164">
        <v>68.584364999999977</v>
      </c>
      <c r="G168" s="164">
        <v>219.19230400000004</v>
      </c>
      <c r="H168" s="164">
        <v>39.296601000000003</v>
      </c>
      <c r="I168" s="164">
        <v>274.90002699999997</v>
      </c>
      <c r="J168" s="117">
        <f>SUM(E168:I168)</f>
        <v>1043.070115</v>
      </c>
    </row>
    <row r="169" spans="2:10" x14ac:dyDescent="0.2">
      <c r="B169" s="464"/>
      <c r="C169" s="67" t="s">
        <v>110</v>
      </c>
      <c r="D169" s="210"/>
      <c r="E169" s="400">
        <f t="shared" ref="E169:J169" si="58">SUM(E167:E168)</f>
        <v>460.1908699999999</v>
      </c>
      <c r="F169" s="400">
        <f t="shared" si="58"/>
        <v>77.878000999999983</v>
      </c>
      <c r="G169" s="400">
        <f t="shared" si="58"/>
        <v>225.87686300000004</v>
      </c>
      <c r="H169" s="400">
        <f t="shared" si="58"/>
        <v>46.924176000000003</v>
      </c>
      <c r="I169" s="400">
        <f t="shared" si="58"/>
        <v>307.27988699999997</v>
      </c>
      <c r="J169" s="121">
        <f t="shared" si="58"/>
        <v>1118.149797</v>
      </c>
    </row>
    <row r="170" spans="2:10" ht="21.75" customHeight="1" x14ac:dyDescent="0.2">
      <c r="B170" s="33" t="s">
        <v>124</v>
      </c>
      <c r="C170" s="47"/>
      <c r="D170" s="47"/>
      <c r="E170" s="436">
        <f t="shared" ref="E170:J170" si="59">+E169+E166+E159</f>
        <v>1861.9195770000006</v>
      </c>
      <c r="F170" s="436">
        <f t="shared" si="59"/>
        <v>1497.2011829999999</v>
      </c>
      <c r="G170" s="436">
        <f t="shared" si="59"/>
        <v>1697.0271550000002</v>
      </c>
      <c r="H170" s="436">
        <f t="shared" si="59"/>
        <v>1653.5179010000002</v>
      </c>
      <c r="I170" s="436">
        <f t="shared" si="59"/>
        <v>2331.123384</v>
      </c>
      <c r="J170" s="127">
        <f t="shared" si="59"/>
        <v>9040.7891999999993</v>
      </c>
    </row>
    <row r="171" spans="2:10" x14ac:dyDescent="0.2">
      <c r="B171" s="462">
        <v>2014</v>
      </c>
      <c r="C171" s="488" t="s">
        <v>105</v>
      </c>
      <c r="D171" s="223" t="s">
        <v>105</v>
      </c>
      <c r="E171" s="231">
        <v>666.91029499999991</v>
      </c>
      <c r="F171" s="232">
        <v>416.83495400000004</v>
      </c>
      <c r="G171" s="232">
        <v>858.02239699999961</v>
      </c>
      <c r="H171" s="232">
        <v>666.96866199999977</v>
      </c>
      <c r="I171" s="232">
        <v>545.62514899999985</v>
      </c>
      <c r="J171" s="226">
        <f>SUM(E171:I171)</f>
        <v>3154.3614569999995</v>
      </c>
    </row>
    <row r="172" spans="2:10" x14ac:dyDescent="0.2">
      <c r="B172" s="463"/>
      <c r="C172" s="489"/>
      <c r="D172" s="227" t="s">
        <v>106</v>
      </c>
      <c r="E172" s="74">
        <v>77.613566000000006</v>
      </c>
      <c r="F172" s="63">
        <v>83.119042000000093</v>
      </c>
      <c r="G172" s="63">
        <v>69.225754999999992</v>
      </c>
      <c r="H172" s="63">
        <v>62.364737000000005</v>
      </c>
      <c r="I172" s="63">
        <v>94.831404000000035</v>
      </c>
      <c r="J172" s="233">
        <f>SUM(E172:I172)</f>
        <v>387.15450400000009</v>
      </c>
    </row>
    <row r="173" spans="2:10" x14ac:dyDescent="0.2">
      <c r="B173" s="463"/>
      <c r="C173" s="66" t="s">
        <v>11</v>
      </c>
      <c r="D173" s="210"/>
      <c r="E173" s="437">
        <f t="shared" ref="E173:J173" si="60">SUM(E171:E172)</f>
        <v>744.5238609999999</v>
      </c>
      <c r="F173" s="400">
        <f t="shared" si="60"/>
        <v>499.95399600000013</v>
      </c>
      <c r="G173" s="400">
        <f t="shared" si="60"/>
        <v>927.24815199999966</v>
      </c>
      <c r="H173" s="400">
        <f t="shared" si="60"/>
        <v>729.33339899999976</v>
      </c>
      <c r="I173" s="438">
        <f t="shared" si="60"/>
        <v>640.45655299999987</v>
      </c>
      <c r="J173" s="121">
        <f t="shared" si="60"/>
        <v>3541.5159609999996</v>
      </c>
    </row>
    <row r="174" spans="2:10" x14ac:dyDescent="0.2">
      <c r="B174" s="463"/>
      <c r="C174" s="490" t="s">
        <v>107</v>
      </c>
      <c r="D174" s="201" t="s">
        <v>0</v>
      </c>
      <c r="E174" s="72">
        <v>101.69272999999997</v>
      </c>
      <c r="F174" s="63">
        <v>187.42413400000001</v>
      </c>
      <c r="G174" s="63">
        <v>84.869879999999995</v>
      </c>
      <c r="H174" s="63">
        <v>129.17253499999998</v>
      </c>
      <c r="I174" s="63">
        <v>123.89883800000001</v>
      </c>
      <c r="J174" s="117">
        <f t="shared" ref="J174:J179" si="61">SUM(E174:I174)</f>
        <v>627.05811699999992</v>
      </c>
    </row>
    <row r="175" spans="2:10" x14ac:dyDescent="0.2">
      <c r="B175" s="463"/>
      <c r="C175" s="491"/>
      <c r="D175" s="201" t="s">
        <v>1</v>
      </c>
      <c r="E175" s="73">
        <v>493.03972000000022</v>
      </c>
      <c r="F175" s="63">
        <v>492.17083199999996</v>
      </c>
      <c r="G175" s="63">
        <v>301.01538299999987</v>
      </c>
      <c r="H175" s="63">
        <v>272.49124699999987</v>
      </c>
      <c r="I175" s="63">
        <v>1378.6652579999998</v>
      </c>
      <c r="J175" s="117">
        <f t="shared" si="61"/>
        <v>2937.3824399999999</v>
      </c>
    </row>
    <row r="176" spans="2:10" x14ac:dyDescent="0.2">
      <c r="B176" s="463"/>
      <c r="C176" s="491"/>
      <c r="D176" s="201" t="s">
        <v>2</v>
      </c>
      <c r="E176" s="73">
        <v>238.7610210000002</v>
      </c>
      <c r="F176" s="63">
        <v>0.12984999999999999</v>
      </c>
      <c r="G176" s="63">
        <v>100.02942300000002</v>
      </c>
      <c r="H176" s="63">
        <v>256.31883599999998</v>
      </c>
      <c r="I176" s="63">
        <v>30.692195999999999</v>
      </c>
      <c r="J176" s="117">
        <f t="shared" si="61"/>
        <v>625.93132600000013</v>
      </c>
    </row>
    <row r="177" spans="2:10" x14ac:dyDescent="0.2">
      <c r="B177" s="463"/>
      <c r="C177" s="491"/>
      <c r="D177" s="201" t="s">
        <v>3</v>
      </c>
      <c r="E177" s="73">
        <v>24.94500699999999</v>
      </c>
      <c r="F177" s="63">
        <v>0.61830000000000007</v>
      </c>
      <c r="G177" s="234">
        <v>0</v>
      </c>
      <c r="H177" s="63">
        <v>6.137204999999998</v>
      </c>
      <c r="I177" s="234">
        <v>0</v>
      </c>
      <c r="J177" s="117">
        <f t="shared" si="61"/>
        <v>31.700511999999989</v>
      </c>
    </row>
    <row r="178" spans="2:10" x14ac:dyDescent="0.2">
      <c r="B178" s="463"/>
      <c r="C178" s="491"/>
      <c r="D178" s="201" t="s">
        <v>4</v>
      </c>
      <c r="E178" s="73">
        <v>81.934020000000004</v>
      </c>
      <c r="F178" s="63">
        <v>88.501109999999997</v>
      </c>
      <c r="G178" s="63">
        <v>111.14440999999999</v>
      </c>
      <c r="H178" s="63">
        <v>154.09981000000002</v>
      </c>
      <c r="I178" s="63">
        <v>69.772318999999996</v>
      </c>
      <c r="J178" s="117">
        <f t="shared" si="61"/>
        <v>505.45166899999998</v>
      </c>
    </row>
    <row r="179" spans="2:10" x14ac:dyDescent="0.2">
      <c r="B179" s="463"/>
      <c r="C179" s="492"/>
      <c r="D179" s="201" t="s">
        <v>5</v>
      </c>
      <c r="E179" s="74">
        <v>8.2068500000000011</v>
      </c>
      <c r="F179" s="63">
        <v>256.66302100000001</v>
      </c>
      <c r="G179" s="63">
        <v>68.732123999999999</v>
      </c>
      <c r="H179" s="63">
        <v>187.83593299999998</v>
      </c>
      <c r="I179" s="63">
        <v>342.25738000000001</v>
      </c>
      <c r="J179" s="117">
        <f t="shared" si="61"/>
        <v>863.69530799999995</v>
      </c>
    </row>
    <row r="180" spans="2:10" x14ac:dyDescent="0.2">
      <c r="B180" s="463"/>
      <c r="C180" s="66" t="s">
        <v>6</v>
      </c>
      <c r="D180" s="210"/>
      <c r="E180" s="400">
        <f t="shared" ref="E180:J180" si="62">SUM(E174:E179)</f>
        <v>948.57934800000055</v>
      </c>
      <c r="F180" s="400">
        <f t="shared" si="62"/>
        <v>1025.507247</v>
      </c>
      <c r="G180" s="400">
        <f t="shared" si="62"/>
        <v>665.79121999999995</v>
      </c>
      <c r="H180" s="400">
        <f t="shared" si="62"/>
        <v>1006.0555659999998</v>
      </c>
      <c r="I180" s="400">
        <f t="shared" si="62"/>
        <v>1945.2859909999997</v>
      </c>
      <c r="J180" s="121">
        <f t="shared" si="62"/>
        <v>5591.2193720000005</v>
      </c>
    </row>
    <row r="181" spans="2:10" x14ac:dyDescent="0.2">
      <c r="B181" s="463"/>
      <c r="C181" s="490" t="s">
        <v>108</v>
      </c>
      <c r="D181" s="201" t="s">
        <v>81</v>
      </c>
      <c r="E181" s="72">
        <v>12.879151999999999</v>
      </c>
      <c r="F181" s="63">
        <v>9.271075999999999</v>
      </c>
      <c r="G181" s="63">
        <v>7.7768349999999993</v>
      </c>
      <c r="H181" s="63">
        <v>24.739828999999997</v>
      </c>
      <c r="I181" s="63">
        <v>30.599195000000012</v>
      </c>
      <c r="J181" s="117">
        <f>SUM(E181:I181)</f>
        <v>85.266086999999999</v>
      </c>
    </row>
    <row r="182" spans="2:10" x14ac:dyDescent="0.2">
      <c r="B182" s="463"/>
      <c r="C182" s="492"/>
      <c r="D182" s="201" t="s">
        <v>109</v>
      </c>
      <c r="E182" s="74">
        <v>404.22123600000009</v>
      </c>
      <c r="F182" s="63">
        <v>140.79980599999996</v>
      </c>
      <c r="G182" s="63">
        <v>281.5185019999999</v>
      </c>
      <c r="H182" s="63">
        <v>40.237819000000002</v>
      </c>
      <c r="I182" s="63">
        <v>284.42550700000004</v>
      </c>
      <c r="J182" s="117">
        <f>SUM(E182:I182)</f>
        <v>1151.2028700000001</v>
      </c>
    </row>
    <row r="183" spans="2:10" x14ac:dyDescent="0.2">
      <c r="B183" s="464"/>
      <c r="C183" s="67" t="s">
        <v>110</v>
      </c>
      <c r="D183" s="210"/>
      <c r="E183" s="400">
        <f t="shared" ref="E183:J183" si="63">SUM(E181:E182)</f>
        <v>417.10038800000007</v>
      </c>
      <c r="F183" s="400">
        <f t="shared" si="63"/>
        <v>150.07088199999995</v>
      </c>
      <c r="G183" s="400">
        <f t="shared" si="63"/>
        <v>289.2953369999999</v>
      </c>
      <c r="H183" s="400">
        <f t="shared" si="63"/>
        <v>64.977648000000002</v>
      </c>
      <c r="I183" s="400">
        <f t="shared" si="63"/>
        <v>315.02470200000005</v>
      </c>
      <c r="J183" s="121">
        <f t="shared" si="63"/>
        <v>1236.468957</v>
      </c>
    </row>
    <row r="184" spans="2:10" ht="18.75" customHeight="1" x14ac:dyDescent="0.2">
      <c r="B184" s="33" t="s">
        <v>211</v>
      </c>
      <c r="C184" s="47"/>
      <c r="D184" s="47"/>
      <c r="E184" s="436">
        <f t="shared" ref="E184:J184" si="64">+E183+E180+E173</f>
        <v>2110.2035970000006</v>
      </c>
      <c r="F184" s="436">
        <f t="shared" si="64"/>
        <v>1675.5321250000002</v>
      </c>
      <c r="G184" s="436">
        <f t="shared" si="64"/>
        <v>1882.3347089999995</v>
      </c>
      <c r="H184" s="436">
        <f t="shared" si="64"/>
        <v>1800.3666129999997</v>
      </c>
      <c r="I184" s="436">
        <f t="shared" si="64"/>
        <v>2900.7672459999999</v>
      </c>
      <c r="J184" s="127">
        <f t="shared" si="64"/>
        <v>10369.20429</v>
      </c>
    </row>
    <row r="185" spans="2:10" x14ac:dyDescent="0.2">
      <c r="B185" s="462">
        <v>2015</v>
      </c>
      <c r="C185" s="488" t="s">
        <v>105</v>
      </c>
      <c r="D185" s="223" t="s">
        <v>105</v>
      </c>
      <c r="E185" s="231">
        <v>746.60085900000036</v>
      </c>
      <c r="F185" s="232">
        <v>579.33664900000031</v>
      </c>
      <c r="G185" s="232">
        <v>961.89185900000007</v>
      </c>
      <c r="H185" s="232">
        <v>514.11921199999995</v>
      </c>
      <c r="I185" s="232">
        <v>635.00394600000016</v>
      </c>
      <c r="J185" s="226">
        <f>SUM(E185:I185)</f>
        <v>3436.9525250000011</v>
      </c>
    </row>
    <row r="186" spans="2:10" x14ac:dyDescent="0.2">
      <c r="B186" s="463"/>
      <c r="C186" s="489"/>
      <c r="D186" s="227" t="s">
        <v>106</v>
      </c>
      <c r="E186" s="74">
        <v>78.204465000000013</v>
      </c>
      <c r="F186" s="63">
        <v>97.089498999999904</v>
      </c>
      <c r="G186" s="63">
        <v>74.807072000000019</v>
      </c>
      <c r="H186" s="63">
        <v>60.045616000000003</v>
      </c>
      <c r="I186" s="63">
        <v>80.69009600000004</v>
      </c>
      <c r="J186" s="233">
        <f>SUM(E186:I186)</f>
        <v>390.83674799999994</v>
      </c>
    </row>
    <row r="187" spans="2:10" x14ac:dyDescent="0.2">
      <c r="B187" s="463"/>
      <c r="C187" s="66" t="s">
        <v>11</v>
      </c>
      <c r="D187" s="210"/>
      <c r="E187" s="437">
        <f t="shared" ref="E187:I187" si="65">SUM(E185:E186)</f>
        <v>824.80532400000038</v>
      </c>
      <c r="F187" s="400">
        <f t="shared" si="65"/>
        <v>676.42614800000024</v>
      </c>
      <c r="G187" s="400">
        <f t="shared" si="65"/>
        <v>1036.6989310000001</v>
      </c>
      <c r="H187" s="400">
        <f t="shared" si="65"/>
        <v>574.16482799999994</v>
      </c>
      <c r="I187" s="438">
        <f t="shared" si="65"/>
        <v>715.6940420000002</v>
      </c>
      <c r="J187" s="121">
        <f>SUM(J185:J186)</f>
        <v>3827.7892730000012</v>
      </c>
    </row>
    <row r="188" spans="2:10" x14ac:dyDescent="0.2">
      <c r="B188" s="463"/>
      <c r="C188" s="490" t="s">
        <v>107</v>
      </c>
      <c r="D188" s="201" t="s">
        <v>0</v>
      </c>
      <c r="E188" s="80">
        <v>124.68824999999998</v>
      </c>
      <c r="F188" s="81">
        <v>186.08761899999999</v>
      </c>
      <c r="G188" s="81">
        <v>78.815354000000013</v>
      </c>
      <c r="H188" s="81">
        <v>125.00728699999999</v>
      </c>
      <c r="I188" s="81">
        <v>70.669199000000006</v>
      </c>
      <c r="J188" s="117">
        <f t="shared" ref="J188:J193" si="66">SUM(E188:I188)</f>
        <v>585.26770899999997</v>
      </c>
    </row>
    <row r="189" spans="2:10" x14ac:dyDescent="0.2">
      <c r="B189" s="463"/>
      <c r="C189" s="491"/>
      <c r="D189" s="201" t="s">
        <v>1</v>
      </c>
      <c r="E189" s="82">
        <v>741.24802700000021</v>
      </c>
      <c r="F189" s="81">
        <v>501.86517500000008</v>
      </c>
      <c r="G189" s="81">
        <v>310.86253100000005</v>
      </c>
      <c r="H189" s="81">
        <v>290.66756900000007</v>
      </c>
      <c r="I189" s="81">
        <v>1163.8341639999999</v>
      </c>
      <c r="J189" s="117">
        <f t="shared" si="66"/>
        <v>3008.4774660000003</v>
      </c>
    </row>
    <row r="190" spans="2:10" x14ac:dyDescent="0.2">
      <c r="B190" s="463"/>
      <c r="C190" s="491"/>
      <c r="D190" s="201" t="s">
        <v>2</v>
      </c>
      <c r="E190" s="82">
        <v>94.023351000000005</v>
      </c>
      <c r="F190" s="81" t="s">
        <v>213</v>
      </c>
      <c r="G190" s="81">
        <v>107.46481200000002</v>
      </c>
      <c r="H190" s="81">
        <v>372.11752500000017</v>
      </c>
      <c r="I190" s="81">
        <v>31.197197000000003</v>
      </c>
      <c r="J190" s="117">
        <f t="shared" si="66"/>
        <v>604.80288500000017</v>
      </c>
    </row>
    <row r="191" spans="2:10" x14ac:dyDescent="0.2">
      <c r="B191" s="463"/>
      <c r="C191" s="491"/>
      <c r="D191" s="201" t="s">
        <v>3</v>
      </c>
      <c r="E191" s="82">
        <v>34.722957000000015</v>
      </c>
      <c r="F191" s="81" t="s">
        <v>213</v>
      </c>
      <c r="G191" s="81" t="s">
        <v>213</v>
      </c>
      <c r="H191" s="81">
        <v>8.6654059999999991</v>
      </c>
      <c r="I191" s="189" t="s">
        <v>213</v>
      </c>
      <c r="J191" s="117">
        <f t="shared" si="66"/>
        <v>43.388363000000012</v>
      </c>
    </row>
    <row r="192" spans="2:10" x14ac:dyDescent="0.2">
      <c r="B192" s="463"/>
      <c r="C192" s="491"/>
      <c r="D192" s="201" t="s">
        <v>4</v>
      </c>
      <c r="E192" s="82">
        <v>81.181437000000003</v>
      </c>
      <c r="F192" s="81">
        <v>69.369479999999996</v>
      </c>
      <c r="G192" s="81">
        <v>88.193930000000009</v>
      </c>
      <c r="H192" s="81">
        <v>334.124009</v>
      </c>
      <c r="I192" s="81">
        <v>63.831108999999998</v>
      </c>
      <c r="J192" s="117">
        <f t="shared" si="66"/>
        <v>636.69996500000002</v>
      </c>
    </row>
    <row r="193" spans="2:10" x14ac:dyDescent="0.2">
      <c r="B193" s="463"/>
      <c r="C193" s="492"/>
      <c r="D193" s="201" t="s">
        <v>5</v>
      </c>
      <c r="E193" s="83">
        <v>96.133259999999979</v>
      </c>
      <c r="F193" s="81">
        <v>292.93705999999997</v>
      </c>
      <c r="G193" s="81">
        <v>55.920331999999995</v>
      </c>
      <c r="H193" s="81">
        <v>304.26420899999999</v>
      </c>
      <c r="I193" s="81">
        <v>322.61532999999997</v>
      </c>
      <c r="J193" s="117">
        <f t="shared" si="66"/>
        <v>1071.870191</v>
      </c>
    </row>
    <row r="194" spans="2:10" x14ac:dyDescent="0.2">
      <c r="B194" s="463"/>
      <c r="C194" s="66" t="s">
        <v>6</v>
      </c>
      <c r="D194" s="210"/>
      <c r="E194" s="400">
        <f t="shared" ref="E194:J194" si="67">SUM(E188:E193)</f>
        <v>1171.9972820000005</v>
      </c>
      <c r="F194" s="400">
        <f t="shared" si="67"/>
        <v>1050.2593339999999</v>
      </c>
      <c r="G194" s="400">
        <f t="shared" si="67"/>
        <v>641.25695900000017</v>
      </c>
      <c r="H194" s="400">
        <f t="shared" si="67"/>
        <v>1434.8460050000001</v>
      </c>
      <c r="I194" s="400">
        <f t="shared" si="67"/>
        <v>1652.1469989999996</v>
      </c>
      <c r="J194" s="121">
        <f t="shared" si="67"/>
        <v>5950.5065789999999</v>
      </c>
    </row>
    <row r="195" spans="2:10" x14ac:dyDescent="0.2">
      <c r="B195" s="463"/>
      <c r="C195" s="490" t="s">
        <v>108</v>
      </c>
      <c r="D195" s="201" t="s">
        <v>81</v>
      </c>
      <c r="E195" s="72">
        <v>13.454393000000001</v>
      </c>
      <c r="F195" s="63">
        <v>9.3058260000000015</v>
      </c>
      <c r="G195" s="63">
        <v>6.5758089999999996</v>
      </c>
      <c r="H195" s="63">
        <v>24.056040000000003</v>
      </c>
      <c r="I195" s="63">
        <v>31.215504000000003</v>
      </c>
      <c r="J195" s="117">
        <f>SUM(E195:I195)</f>
        <v>84.607572000000005</v>
      </c>
    </row>
    <row r="196" spans="2:10" x14ac:dyDescent="0.2">
      <c r="B196" s="463"/>
      <c r="C196" s="492"/>
      <c r="D196" s="201" t="s">
        <v>109</v>
      </c>
      <c r="E196" s="74">
        <v>239.34914100000006</v>
      </c>
      <c r="F196" s="63">
        <v>16.585476</v>
      </c>
      <c r="G196" s="63">
        <v>214.2565120000001</v>
      </c>
      <c r="H196" s="63">
        <v>34.105850999999994</v>
      </c>
      <c r="I196" s="63">
        <v>316.48842999999988</v>
      </c>
      <c r="J196" s="117">
        <f>SUM(E196:I196)</f>
        <v>820.78540999999996</v>
      </c>
    </row>
    <row r="197" spans="2:10" x14ac:dyDescent="0.2">
      <c r="B197" s="464"/>
      <c r="C197" s="67" t="s">
        <v>110</v>
      </c>
      <c r="D197" s="210"/>
      <c r="E197" s="400">
        <f t="shared" ref="E197:J197" si="68">SUM(E195:E196)</f>
        <v>252.80353400000007</v>
      </c>
      <c r="F197" s="400">
        <f t="shared" si="68"/>
        <v>25.891302000000003</v>
      </c>
      <c r="G197" s="400">
        <f t="shared" si="68"/>
        <v>220.83232100000009</v>
      </c>
      <c r="H197" s="400">
        <f t="shared" si="68"/>
        <v>58.161890999999997</v>
      </c>
      <c r="I197" s="400">
        <f t="shared" si="68"/>
        <v>347.70393399999989</v>
      </c>
      <c r="J197" s="121">
        <f t="shared" si="68"/>
        <v>905.39298199999996</v>
      </c>
    </row>
    <row r="198" spans="2:10" x14ac:dyDescent="0.2">
      <c r="B198" s="33" t="s">
        <v>212</v>
      </c>
      <c r="C198" s="47"/>
      <c r="D198" s="47"/>
      <c r="E198" s="436">
        <f t="shared" ref="E198:J198" si="69">+E197+E194+E187</f>
        <v>2249.6061400000008</v>
      </c>
      <c r="F198" s="436">
        <f t="shared" si="69"/>
        <v>1752.5767840000001</v>
      </c>
      <c r="G198" s="436">
        <f t="shared" si="69"/>
        <v>1898.7882110000005</v>
      </c>
      <c r="H198" s="436">
        <f t="shared" si="69"/>
        <v>2067.172724</v>
      </c>
      <c r="I198" s="436">
        <f t="shared" si="69"/>
        <v>2715.5449749999998</v>
      </c>
      <c r="J198" s="127">
        <f t="shared" si="69"/>
        <v>10683.688834</v>
      </c>
    </row>
    <row r="199" spans="2:10" x14ac:dyDescent="0.2">
      <c r="B199" s="462">
        <v>2016</v>
      </c>
      <c r="C199" s="488" t="s">
        <v>105</v>
      </c>
      <c r="D199" s="223" t="s">
        <v>105</v>
      </c>
      <c r="E199" s="231">
        <v>762.77923900000019</v>
      </c>
      <c r="F199" s="232">
        <v>671.67077399999971</v>
      </c>
      <c r="G199" s="232">
        <v>974.83005400000059</v>
      </c>
      <c r="H199" s="232">
        <v>487.50731700000023</v>
      </c>
      <c r="I199" s="232">
        <v>697.42852299999981</v>
      </c>
      <c r="J199" s="226">
        <f>SUM(E199:I199)</f>
        <v>3594.2159070000007</v>
      </c>
    </row>
    <row r="200" spans="2:10" x14ac:dyDescent="0.2">
      <c r="B200" s="463"/>
      <c r="C200" s="489"/>
      <c r="D200" s="227" t="s">
        <v>106</v>
      </c>
      <c r="E200" s="74">
        <v>84.180643000000003</v>
      </c>
      <c r="F200" s="63">
        <v>92.681315999999981</v>
      </c>
      <c r="G200" s="63">
        <v>87.793175000000005</v>
      </c>
      <c r="H200" s="63">
        <v>68.979185000000072</v>
      </c>
      <c r="I200" s="63">
        <v>99.01314100000009</v>
      </c>
      <c r="J200" s="233">
        <f>SUM(E200:I200)</f>
        <v>432.64746000000014</v>
      </c>
    </row>
    <row r="201" spans="2:10" x14ac:dyDescent="0.2">
      <c r="B201" s="463"/>
      <c r="C201" s="66" t="s">
        <v>11</v>
      </c>
      <c r="D201" s="210"/>
      <c r="E201" s="437">
        <f t="shared" ref="E201:I201" si="70">SUM(E199:E200)</f>
        <v>846.95988200000022</v>
      </c>
      <c r="F201" s="400">
        <f t="shared" si="70"/>
        <v>764.35208999999963</v>
      </c>
      <c r="G201" s="400">
        <f t="shared" si="70"/>
        <v>1062.6232290000005</v>
      </c>
      <c r="H201" s="400">
        <f t="shared" si="70"/>
        <v>556.48650200000031</v>
      </c>
      <c r="I201" s="438">
        <f t="shared" si="70"/>
        <v>796.44166399999995</v>
      </c>
      <c r="J201" s="121">
        <f>SUM(J199:J200)</f>
        <v>4026.8633670000008</v>
      </c>
    </row>
    <row r="202" spans="2:10" x14ac:dyDescent="0.2">
      <c r="B202" s="463"/>
      <c r="C202" s="490" t="s">
        <v>107</v>
      </c>
      <c r="D202" s="201" t="s">
        <v>0</v>
      </c>
      <c r="E202" s="80">
        <v>134.08710000000005</v>
      </c>
      <c r="F202" s="81">
        <v>216.89519200000007</v>
      </c>
      <c r="G202" s="81">
        <v>91.240837999999997</v>
      </c>
      <c r="H202" s="81">
        <v>97.521260999999996</v>
      </c>
      <c r="I202" s="81">
        <v>71.642395999999991</v>
      </c>
      <c r="J202" s="117">
        <f t="shared" ref="J202:J207" si="71">SUM(E202:I202)</f>
        <v>611.38678700000014</v>
      </c>
    </row>
    <row r="203" spans="2:10" x14ac:dyDescent="0.2">
      <c r="B203" s="463"/>
      <c r="C203" s="491"/>
      <c r="D203" s="201" t="s">
        <v>1</v>
      </c>
      <c r="E203" s="82">
        <v>583.28730700000028</v>
      </c>
      <c r="F203" s="81">
        <v>532.64885699999934</v>
      </c>
      <c r="G203" s="81">
        <v>296.01532900000012</v>
      </c>
      <c r="H203" s="81">
        <v>341.99670899999984</v>
      </c>
      <c r="I203" s="81">
        <v>983.66149199999961</v>
      </c>
      <c r="J203" s="117">
        <f t="shared" si="71"/>
        <v>2737.6096939999993</v>
      </c>
    </row>
    <row r="204" spans="2:10" x14ac:dyDescent="0.2">
      <c r="B204" s="463"/>
      <c r="C204" s="491"/>
      <c r="D204" s="201" t="s">
        <v>2</v>
      </c>
      <c r="E204" s="82">
        <v>90.783465999999947</v>
      </c>
      <c r="F204" s="81">
        <v>0.85785699999999998</v>
      </c>
      <c r="G204" s="81">
        <v>120.65802300000004</v>
      </c>
      <c r="H204" s="81">
        <v>411.15835000000015</v>
      </c>
      <c r="I204" s="81">
        <v>42.822839000000187</v>
      </c>
      <c r="J204" s="117">
        <f t="shared" si="71"/>
        <v>666.28053500000033</v>
      </c>
    </row>
    <row r="205" spans="2:10" x14ac:dyDescent="0.2">
      <c r="B205" s="463"/>
      <c r="C205" s="491"/>
      <c r="D205" s="201" t="s">
        <v>3</v>
      </c>
      <c r="E205" s="82">
        <v>37.963728000000025</v>
      </c>
      <c r="F205" s="81">
        <v>0.40950000000000003</v>
      </c>
      <c r="G205" s="81"/>
      <c r="H205" s="81">
        <v>8.8759000000000005E-2</v>
      </c>
      <c r="I205" s="81"/>
      <c r="J205" s="117">
        <f t="shared" si="71"/>
        <v>38.461987000000029</v>
      </c>
    </row>
    <row r="206" spans="2:10" x14ac:dyDescent="0.2">
      <c r="B206" s="463"/>
      <c r="C206" s="491"/>
      <c r="D206" s="201" t="s">
        <v>4</v>
      </c>
      <c r="E206" s="82">
        <v>81.685390000000012</v>
      </c>
      <c r="F206" s="81">
        <v>71.709350000000001</v>
      </c>
      <c r="G206" s="81">
        <v>115.30121000000001</v>
      </c>
      <c r="H206" s="81">
        <v>308.3172600000002</v>
      </c>
      <c r="I206" s="81">
        <v>80.217200000000005</v>
      </c>
      <c r="J206" s="117">
        <f t="shared" si="71"/>
        <v>657.23041000000035</v>
      </c>
    </row>
    <row r="207" spans="2:10" x14ac:dyDescent="0.2">
      <c r="B207" s="463"/>
      <c r="C207" s="492"/>
      <c r="D207" s="201" t="s">
        <v>5</v>
      </c>
      <c r="E207" s="83">
        <v>140.88005999999999</v>
      </c>
      <c r="F207" s="81">
        <v>408.34324499999997</v>
      </c>
      <c r="G207" s="81">
        <v>178.52585299999998</v>
      </c>
      <c r="H207" s="81">
        <v>269.49393099999992</v>
      </c>
      <c r="I207" s="81">
        <v>308.66437000000002</v>
      </c>
      <c r="J207" s="117">
        <f t="shared" si="71"/>
        <v>1305.9074589999998</v>
      </c>
    </row>
    <row r="208" spans="2:10" x14ac:dyDescent="0.2">
      <c r="B208" s="463"/>
      <c r="C208" s="66" t="s">
        <v>6</v>
      </c>
      <c r="D208" s="210"/>
      <c r="E208" s="400">
        <f t="shared" ref="E208:J208" si="72">SUM(E202:E207)</f>
        <v>1068.6870510000003</v>
      </c>
      <c r="F208" s="400">
        <f t="shared" si="72"/>
        <v>1230.8640009999992</v>
      </c>
      <c r="G208" s="400">
        <f t="shared" si="72"/>
        <v>801.74125300000014</v>
      </c>
      <c r="H208" s="400">
        <f t="shared" si="72"/>
        <v>1428.5762700000002</v>
      </c>
      <c r="I208" s="400">
        <f t="shared" si="72"/>
        <v>1487.0082969999999</v>
      </c>
      <c r="J208" s="121">
        <f t="shared" si="72"/>
        <v>6016.8768719999998</v>
      </c>
    </row>
    <row r="209" spans="2:10" x14ac:dyDescent="0.2">
      <c r="B209" s="463"/>
      <c r="C209" s="490" t="s">
        <v>108</v>
      </c>
      <c r="D209" s="201" t="s">
        <v>81</v>
      </c>
      <c r="E209" s="72">
        <v>8.3999500000000005</v>
      </c>
      <c r="F209" s="63">
        <v>9.3217589999999984</v>
      </c>
      <c r="G209" s="63">
        <v>6.2229979999999987</v>
      </c>
      <c r="H209" s="63">
        <v>13.01291</v>
      </c>
      <c r="I209" s="63">
        <v>21.559763</v>
      </c>
      <c r="J209" s="117">
        <f>SUM(E209:I209)</f>
        <v>58.517379999999989</v>
      </c>
    </row>
    <row r="210" spans="2:10" x14ac:dyDescent="0.2">
      <c r="B210" s="463"/>
      <c r="C210" s="492"/>
      <c r="D210" s="201" t="s">
        <v>109</v>
      </c>
      <c r="E210" s="74">
        <v>255.71720600000006</v>
      </c>
      <c r="F210" s="63">
        <v>15.457936999999998</v>
      </c>
      <c r="G210" s="63">
        <v>247.34000900000007</v>
      </c>
      <c r="H210" s="63">
        <v>37.438151000000005</v>
      </c>
      <c r="I210" s="63">
        <v>349.29299100000031</v>
      </c>
      <c r="J210" s="117">
        <f>SUM(E210:I210)</f>
        <v>905.24629400000049</v>
      </c>
    </row>
    <row r="211" spans="2:10" x14ac:dyDescent="0.2">
      <c r="B211" s="464"/>
      <c r="C211" s="67" t="s">
        <v>110</v>
      </c>
      <c r="D211" s="210"/>
      <c r="E211" s="400">
        <f t="shared" ref="E211:J211" si="73">SUM(E209:E210)</f>
        <v>264.11715600000008</v>
      </c>
      <c r="F211" s="400">
        <f t="shared" si="73"/>
        <v>24.779695999999994</v>
      </c>
      <c r="G211" s="400">
        <f t="shared" si="73"/>
        <v>253.56300700000006</v>
      </c>
      <c r="H211" s="400">
        <f t="shared" si="73"/>
        <v>50.451061000000003</v>
      </c>
      <c r="I211" s="400">
        <f t="shared" si="73"/>
        <v>370.85275400000029</v>
      </c>
      <c r="J211" s="121">
        <f t="shared" si="73"/>
        <v>963.76367400000049</v>
      </c>
    </row>
    <row r="212" spans="2:10" x14ac:dyDescent="0.2">
      <c r="B212" s="33" t="s">
        <v>231</v>
      </c>
      <c r="C212" s="47"/>
      <c r="D212" s="47"/>
      <c r="E212" s="436">
        <f t="shared" ref="E212:J212" si="74">+E211+E208+E201</f>
        <v>2179.7640890000007</v>
      </c>
      <c r="F212" s="436">
        <f t="shared" si="74"/>
        <v>2019.9957869999989</v>
      </c>
      <c r="G212" s="436">
        <f t="shared" si="74"/>
        <v>2117.9274890000006</v>
      </c>
      <c r="H212" s="436">
        <f t="shared" si="74"/>
        <v>2035.5138330000004</v>
      </c>
      <c r="I212" s="436">
        <f t="shared" si="74"/>
        <v>2654.3027149999998</v>
      </c>
      <c r="J212" s="127">
        <f t="shared" si="74"/>
        <v>11007.503913</v>
      </c>
    </row>
  </sheetData>
  <mergeCells count="60">
    <mergeCell ref="B199:B211"/>
    <mergeCell ref="C199:C200"/>
    <mergeCell ref="C202:C207"/>
    <mergeCell ref="C209:C210"/>
    <mergeCell ref="B185:B197"/>
    <mergeCell ref="C185:C186"/>
    <mergeCell ref="C188:C193"/>
    <mergeCell ref="C195:C196"/>
    <mergeCell ref="E5:I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171:B183"/>
    <mergeCell ref="C171:C172"/>
    <mergeCell ref="C174:C179"/>
    <mergeCell ref="C181:C182"/>
    <mergeCell ref="B143:B155"/>
    <mergeCell ref="C143:C144"/>
    <mergeCell ref="C146:C151"/>
    <mergeCell ref="C153:C154"/>
    <mergeCell ref="B157:B169"/>
    <mergeCell ref="C157:C158"/>
    <mergeCell ref="C160:C165"/>
    <mergeCell ref="C167:C168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MCAPLE</cp:lastModifiedBy>
  <cp:lastPrinted>2016-10-10T13:02:05Z</cp:lastPrinted>
  <dcterms:created xsi:type="dcterms:W3CDTF">2006-10-24T13:52:52Z</dcterms:created>
  <dcterms:modified xsi:type="dcterms:W3CDTF">2017-09-01T11:34:26Z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1208730631</vt:i4>
  </property>
  <property fmtid="{D5CDD505-2E9C-101B-9397-08002B2CF9AE}" pid="3" name="_NewReviewCycle">
    <vt:lpwstr/>
  </property>
  <property fmtid="{D5CDD505-2E9C-101B-9397-08002B2CF9AE}" pid="4" name="_EmailSubject">
    <vt:lpwstr>Data Tables 2006</vt:lpwstr>
  </property>
  <property fmtid="{D5CDD505-2E9C-101B-9397-08002B2CF9AE}" pid="5" name="_AuthorEmail">
    <vt:lpwstr>david.wynn@environment-agency.gov.uk</vt:lpwstr>
  </property>
  <property fmtid="{D5CDD505-2E9C-101B-9397-08002B2CF9AE}" pid="6" name="_AuthorEmailDisplayName">
    <vt:lpwstr>Wynn, David</vt:lpwstr>
  </property>
  <property fmtid="{D5CDD505-2E9C-101B-9397-08002B2CF9AE}" pid="7" name="_PreviousAdHocReviewCycleID">
    <vt:i4>-1553750108</vt:i4>
  </property>
  <property fmtid="{D5CDD505-2E9C-101B-9397-08002B2CF9AE}" pid="8" name="_ReviewingToolsShownOnce">
    <vt:lpwstr/>
  </property>
</Properties>
</file>